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ste\Desktop\New Transport Outlook Model Page\"/>
    </mc:Choice>
  </mc:AlternateContent>
  <bookViews>
    <workbookView xWindow="105" yWindow="6570" windowWidth="28860" windowHeight="6765" activeTab="1"/>
  </bookViews>
  <sheets>
    <sheet name="Provenance" sheetId="21" r:id="rId1"/>
    <sheet name="Total Trip Tables" sheetId="6" r:id="rId2"/>
    <sheet name="Total Distance Tables" sheetId="12" r:id="rId3"/>
    <sheet name="Total Duration Tables" sheetId="13" r:id="rId4"/>
    <sheet name="Total Trip Tables Sup #2" sheetId="18" r:id="rId5"/>
    <sheet name="Total Trip Tables Sup #1" sheetId="9" r:id="rId6"/>
    <sheet name="Total Trip Tables Original" sheetId="3" r:id="rId7"/>
    <sheet name="Total Distance Tables Sup #2" sheetId="16" r:id="rId8"/>
    <sheet name="Total Distance Tables Sup #1" sheetId="10" r:id="rId9"/>
    <sheet name="Total Distance Tables Original" sheetId="4" r:id="rId10"/>
    <sheet name="Total Duration Tables Sup #2" sheetId="17" r:id="rId11"/>
    <sheet name="Total Duration Tables Sup #1" sheetId="11" r:id="rId12"/>
    <sheet name="Total Duration Tables Original" sheetId="5" r:id="rId13"/>
    <sheet name="Original Population" sheetId="20" r:id="rId14"/>
    <sheet name="Updated Population" sheetId="7" r:id="rId15"/>
    <sheet name="Formatted Trip Summary" sheetId="2" r:id="rId16"/>
    <sheet name="Unformatted Trip Summary" sheetId="1" r:id="rId17"/>
    <sheet name="Active Mode Assumptions" sheetId="19" r:id="rId18"/>
    <sheet name="PT Assumptions" sheetId="15" r:id="rId19"/>
    <sheet name="Other Assumptions" sheetId="8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uckland_Reference">'Formatted Trip Summary'!$A$81</definedName>
    <definedName name="BOP_Reference">'Formatted Trip Summary'!$A$249</definedName>
    <definedName name="Canterbury_Reference">'Formatted Trip Summary'!$A$858</definedName>
    <definedName name="Gisborne_Reference">'Formatted Trip Summary'!$A$319</definedName>
    <definedName name="Hawkes_Bay_Reference">'Formatted Trip Summary'!$A$403</definedName>
    <definedName name="Manawatu_Reference">'Formatted Trip Summary'!$A$550</definedName>
    <definedName name="Nelson_Reference">'Formatted Trip Summary'!$A$711</definedName>
    <definedName name="Northland_Reference">'Formatted Trip Summary'!$A$4</definedName>
    <definedName name="Otago_Reference">'Formatted Trip Summary'!$A$935</definedName>
    <definedName name="Southland_Reference">'Formatted Trip Summary'!$A$1005</definedName>
    <definedName name="Taranaki_Reference">'Formatted Trip Summary'!$A$473</definedName>
    <definedName name="Waikato_Reference">'Formatted Trip Summary'!$A$165</definedName>
    <definedName name="Wellington_Reference">'Formatted Trip Summary'!$A$627</definedName>
    <definedName name="West_Coast_Reference">'Formatted Trip Summary'!$A$788</definedName>
  </definedNames>
  <calcPr calcId="162913"/>
</workbook>
</file>

<file path=xl/calcChain.xml><?xml version="1.0" encoding="utf-8"?>
<calcChain xmlns="http://schemas.openxmlformats.org/spreadsheetml/2006/main">
  <c r="J1072" i="1" l="1"/>
  <c r="I1072" i="1"/>
  <c r="H1072" i="1"/>
  <c r="G1072" i="1"/>
  <c r="F1072" i="1"/>
  <c r="E1072" i="1"/>
  <c r="D1072" i="1"/>
  <c r="C1072" i="1"/>
  <c r="B1072" i="1"/>
  <c r="A1072" i="1"/>
  <c r="J1071" i="1"/>
  <c r="I1071" i="1"/>
  <c r="H1071" i="1"/>
  <c r="G1071" i="1"/>
  <c r="F1071" i="1"/>
  <c r="E1071" i="1"/>
  <c r="D1071" i="1"/>
  <c r="C1071" i="1"/>
  <c r="B1071" i="1"/>
  <c r="A1071" i="1"/>
  <c r="J1070" i="1"/>
  <c r="I1070" i="1"/>
  <c r="H1070" i="1"/>
  <c r="G1070" i="1"/>
  <c r="F1070" i="1"/>
  <c r="E1070" i="1"/>
  <c r="D1070" i="1"/>
  <c r="C1070" i="1"/>
  <c r="B1070" i="1"/>
  <c r="A1070" i="1"/>
  <c r="J1069" i="1"/>
  <c r="I1069" i="1"/>
  <c r="H1069" i="1"/>
  <c r="G1069" i="1"/>
  <c r="F1069" i="1"/>
  <c r="E1069" i="1"/>
  <c r="D1069" i="1"/>
  <c r="C1069" i="1"/>
  <c r="B1069" i="1"/>
  <c r="A1069" i="1"/>
  <c r="J1068" i="1"/>
  <c r="I1068" i="1"/>
  <c r="H1068" i="1"/>
  <c r="G1068" i="1"/>
  <c r="F1068" i="1"/>
  <c r="E1068" i="1"/>
  <c r="D1068" i="1"/>
  <c r="C1068" i="1"/>
  <c r="B1068" i="1"/>
  <c r="A1068" i="1"/>
  <c r="J1067" i="1"/>
  <c r="I1067" i="1"/>
  <c r="H1067" i="1"/>
  <c r="G1067" i="1"/>
  <c r="F1067" i="1"/>
  <c r="E1067" i="1"/>
  <c r="D1067" i="1"/>
  <c r="C1067" i="1"/>
  <c r="B1067" i="1"/>
  <c r="A1067" i="1"/>
  <c r="J1066" i="1"/>
  <c r="I1066" i="1"/>
  <c r="H1066" i="1"/>
  <c r="G1066" i="1"/>
  <c r="F1066" i="1"/>
  <c r="E1066" i="1"/>
  <c r="D1066" i="1"/>
  <c r="C1066" i="1"/>
  <c r="B1066" i="1"/>
  <c r="A1066" i="1"/>
  <c r="J1065" i="1"/>
  <c r="I1065" i="1"/>
  <c r="H1065" i="1"/>
  <c r="G1065" i="1"/>
  <c r="F1065" i="1"/>
  <c r="E1065" i="1"/>
  <c r="D1065" i="1"/>
  <c r="C1065" i="1"/>
  <c r="B1065" i="1"/>
  <c r="A1065" i="1"/>
  <c r="J1064" i="1"/>
  <c r="I1064" i="1"/>
  <c r="H1064" i="1"/>
  <c r="G1064" i="1"/>
  <c r="F1064" i="1"/>
  <c r="E1064" i="1"/>
  <c r="D1064" i="1"/>
  <c r="C1064" i="1"/>
  <c r="B1064" i="1"/>
  <c r="A1064" i="1"/>
  <c r="J1063" i="1"/>
  <c r="I1063" i="1"/>
  <c r="H1063" i="1"/>
  <c r="G1063" i="1"/>
  <c r="F1063" i="1"/>
  <c r="E1063" i="1"/>
  <c r="D1063" i="1"/>
  <c r="C1063" i="1"/>
  <c r="B1063" i="1"/>
  <c r="A1063" i="1"/>
  <c r="J1062" i="1"/>
  <c r="I1062" i="1"/>
  <c r="H1062" i="1"/>
  <c r="G1062" i="1"/>
  <c r="F1062" i="1"/>
  <c r="E1062" i="1"/>
  <c r="D1062" i="1"/>
  <c r="C1062" i="1"/>
  <c r="B1062" i="1"/>
  <c r="A1062" i="1"/>
  <c r="J1061" i="1"/>
  <c r="I1061" i="1"/>
  <c r="H1061" i="1"/>
  <c r="G1061" i="1"/>
  <c r="F1061" i="1"/>
  <c r="E1061" i="1"/>
  <c r="D1061" i="1"/>
  <c r="C1061" i="1"/>
  <c r="B1061" i="1"/>
  <c r="A1061" i="1"/>
  <c r="J1060" i="1"/>
  <c r="I1060" i="1"/>
  <c r="H1060" i="1"/>
  <c r="G1060" i="1"/>
  <c r="F1060" i="1"/>
  <c r="E1060" i="1"/>
  <c r="D1060" i="1"/>
  <c r="C1060" i="1"/>
  <c r="B1060" i="1"/>
  <c r="A1060" i="1"/>
  <c r="J1059" i="1"/>
  <c r="I1059" i="1"/>
  <c r="H1059" i="1"/>
  <c r="G1059" i="1"/>
  <c r="F1059" i="1"/>
  <c r="E1059" i="1"/>
  <c r="D1059" i="1"/>
  <c r="C1059" i="1"/>
  <c r="B1059" i="1"/>
  <c r="A1059" i="1"/>
  <c r="J1058" i="1"/>
  <c r="I1058" i="1"/>
  <c r="H1058" i="1"/>
  <c r="G1058" i="1"/>
  <c r="F1058" i="1"/>
  <c r="E1058" i="1"/>
  <c r="D1058" i="1"/>
  <c r="C1058" i="1"/>
  <c r="B1058" i="1"/>
  <c r="A1058" i="1"/>
  <c r="J1057" i="1"/>
  <c r="I1057" i="1"/>
  <c r="H1057" i="1"/>
  <c r="G1057" i="1"/>
  <c r="F1057" i="1"/>
  <c r="E1057" i="1"/>
  <c r="D1057" i="1"/>
  <c r="C1057" i="1"/>
  <c r="B1057" i="1"/>
  <c r="A1057" i="1"/>
  <c r="J1056" i="1"/>
  <c r="I1056" i="1"/>
  <c r="H1056" i="1"/>
  <c r="G1056" i="1"/>
  <c r="F1056" i="1"/>
  <c r="E1056" i="1"/>
  <c r="D1056" i="1"/>
  <c r="C1056" i="1"/>
  <c r="B1056" i="1"/>
  <c r="A1056" i="1"/>
  <c r="J1055" i="1"/>
  <c r="I1055" i="1"/>
  <c r="H1055" i="1"/>
  <c r="G1055" i="1"/>
  <c r="F1055" i="1"/>
  <c r="E1055" i="1"/>
  <c r="D1055" i="1"/>
  <c r="C1055" i="1"/>
  <c r="B1055" i="1"/>
  <c r="A1055" i="1"/>
  <c r="J1054" i="1"/>
  <c r="I1054" i="1"/>
  <c r="H1054" i="1"/>
  <c r="G1054" i="1"/>
  <c r="F1054" i="1"/>
  <c r="E1054" i="1"/>
  <c r="D1054" i="1"/>
  <c r="C1054" i="1"/>
  <c r="B1054" i="1"/>
  <c r="A1054" i="1"/>
  <c r="J1053" i="1"/>
  <c r="I1053" i="1"/>
  <c r="H1053" i="1"/>
  <c r="G1053" i="1"/>
  <c r="F1053" i="1"/>
  <c r="E1053" i="1"/>
  <c r="D1053" i="1"/>
  <c r="C1053" i="1"/>
  <c r="B1053" i="1"/>
  <c r="A1053" i="1"/>
  <c r="J1052" i="1"/>
  <c r="I1052" i="1"/>
  <c r="H1052" i="1"/>
  <c r="G1052" i="1"/>
  <c r="F1052" i="1"/>
  <c r="E1052" i="1"/>
  <c r="D1052" i="1"/>
  <c r="C1052" i="1"/>
  <c r="B1052" i="1"/>
  <c r="A1052" i="1"/>
  <c r="J1051" i="1"/>
  <c r="I1051" i="1"/>
  <c r="H1051" i="1"/>
  <c r="G1051" i="1"/>
  <c r="F1051" i="1"/>
  <c r="E1051" i="1"/>
  <c r="D1051" i="1"/>
  <c r="C1051" i="1"/>
  <c r="B1051" i="1"/>
  <c r="A1051" i="1"/>
  <c r="J1050" i="1"/>
  <c r="I1050" i="1"/>
  <c r="H1050" i="1"/>
  <c r="G1050" i="1"/>
  <c r="F1050" i="1"/>
  <c r="E1050" i="1"/>
  <c r="D1050" i="1"/>
  <c r="C1050" i="1"/>
  <c r="B1050" i="1"/>
  <c r="A1050" i="1"/>
  <c r="J1049" i="1"/>
  <c r="I1049" i="1"/>
  <c r="H1049" i="1"/>
  <c r="G1049" i="1"/>
  <c r="F1049" i="1"/>
  <c r="E1049" i="1"/>
  <c r="D1049" i="1"/>
  <c r="C1049" i="1"/>
  <c r="B1049" i="1"/>
  <c r="A1049" i="1"/>
  <c r="J1048" i="1"/>
  <c r="I1048" i="1"/>
  <c r="H1048" i="1"/>
  <c r="G1048" i="1"/>
  <c r="F1048" i="1"/>
  <c r="E1048" i="1"/>
  <c r="D1048" i="1"/>
  <c r="C1048" i="1"/>
  <c r="B1048" i="1"/>
  <c r="A1048" i="1"/>
  <c r="J1047" i="1"/>
  <c r="I1047" i="1"/>
  <c r="H1047" i="1"/>
  <c r="G1047" i="1"/>
  <c r="F1047" i="1"/>
  <c r="E1047" i="1"/>
  <c r="D1047" i="1"/>
  <c r="C1047" i="1"/>
  <c r="B1047" i="1"/>
  <c r="A1047" i="1"/>
  <c r="J1046" i="1"/>
  <c r="I1046" i="1"/>
  <c r="H1046" i="1"/>
  <c r="G1046" i="1"/>
  <c r="F1046" i="1"/>
  <c r="E1046" i="1"/>
  <c r="D1046" i="1"/>
  <c r="C1046" i="1"/>
  <c r="B1046" i="1"/>
  <c r="A1046" i="1"/>
  <c r="J1045" i="1"/>
  <c r="I1045" i="1"/>
  <c r="H1045" i="1"/>
  <c r="G1045" i="1"/>
  <c r="F1045" i="1"/>
  <c r="E1045" i="1"/>
  <c r="D1045" i="1"/>
  <c r="C1045" i="1"/>
  <c r="B1045" i="1"/>
  <c r="A1045" i="1"/>
  <c r="J1044" i="1"/>
  <c r="I1044" i="1"/>
  <c r="H1044" i="1"/>
  <c r="G1044" i="1"/>
  <c r="F1044" i="1"/>
  <c r="E1044" i="1"/>
  <c r="D1044" i="1"/>
  <c r="C1044" i="1"/>
  <c r="B1044" i="1"/>
  <c r="A1044" i="1"/>
  <c r="J1043" i="1"/>
  <c r="I1043" i="1"/>
  <c r="H1043" i="1"/>
  <c r="G1043" i="1"/>
  <c r="F1043" i="1"/>
  <c r="E1043" i="1"/>
  <c r="D1043" i="1"/>
  <c r="C1043" i="1"/>
  <c r="B1043" i="1"/>
  <c r="A1043" i="1"/>
  <c r="J1042" i="1"/>
  <c r="I1042" i="1"/>
  <c r="H1042" i="1"/>
  <c r="G1042" i="1"/>
  <c r="F1042" i="1"/>
  <c r="E1042" i="1"/>
  <c r="D1042" i="1"/>
  <c r="C1042" i="1"/>
  <c r="B1042" i="1"/>
  <c r="A1042" i="1"/>
  <c r="J1041" i="1"/>
  <c r="I1041" i="1"/>
  <c r="H1041" i="1"/>
  <c r="G1041" i="1"/>
  <c r="F1041" i="1"/>
  <c r="E1041" i="1"/>
  <c r="D1041" i="1"/>
  <c r="C1041" i="1"/>
  <c r="B1041" i="1"/>
  <c r="A1041" i="1"/>
  <c r="J1040" i="1"/>
  <c r="I1040" i="1"/>
  <c r="H1040" i="1"/>
  <c r="G1040" i="1"/>
  <c r="F1040" i="1"/>
  <c r="E1040" i="1"/>
  <c r="D1040" i="1"/>
  <c r="C1040" i="1"/>
  <c r="B1040" i="1"/>
  <c r="A1040" i="1"/>
  <c r="J1039" i="1"/>
  <c r="I1039" i="1"/>
  <c r="H1039" i="1"/>
  <c r="G1039" i="1"/>
  <c r="F1039" i="1"/>
  <c r="E1039" i="1"/>
  <c r="D1039" i="1"/>
  <c r="C1039" i="1"/>
  <c r="B1039" i="1"/>
  <c r="A1039" i="1"/>
  <c r="J1038" i="1"/>
  <c r="I1038" i="1"/>
  <c r="H1038" i="1"/>
  <c r="G1038" i="1"/>
  <c r="F1038" i="1"/>
  <c r="E1038" i="1"/>
  <c r="D1038" i="1"/>
  <c r="C1038" i="1"/>
  <c r="B1038" i="1"/>
  <c r="A1038" i="1"/>
  <c r="J1037" i="1"/>
  <c r="H1037" i="1"/>
  <c r="G1037" i="1"/>
  <c r="F1037" i="1"/>
  <c r="E1037" i="1"/>
  <c r="D1037" i="1"/>
  <c r="C1037" i="1"/>
  <c r="B1037" i="1"/>
  <c r="A1037" i="1"/>
  <c r="J1036" i="1"/>
  <c r="H1036" i="1"/>
  <c r="G1036" i="1"/>
  <c r="F1036" i="1"/>
  <c r="E1036" i="1"/>
  <c r="D1036" i="1"/>
  <c r="C1036" i="1"/>
  <c r="B1036" i="1"/>
  <c r="A1036" i="1"/>
  <c r="J1035" i="1"/>
  <c r="H1035" i="1"/>
  <c r="G1035" i="1"/>
  <c r="F1035" i="1"/>
  <c r="E1035" i="1"/>
  <c r="D1035" i="1"/>
  <c r="C1035" i="1"/>
  <c r="B1035" i="1"/>
  <c r="A1035" i="1"/>
  <c r="J1034" i="1"/>
  <c r="H1034" i="1"/>
  <c r="G1034" i="1"/>
  <c r="F1034" i="1"/>
  <c r="E1034" i="1"/>
  <c r="D1034" i="1"/>
  <c r="C1034" i="1"/>
  <c r="B1034" i="1"/>
  <c r="A1034" i="1"/>
  <c r="J1033" i="1"/>
  <c r="H1033" i="1"/>
  <c r="G1033" i="1"/>
  <c r="F1033" i="1"/>
  <c r="E1033" i="1"/>
  <c r="D1033" i="1"/>
  <c r="C1033" i="1"/>
  <c r="B1033" i="1"/>
  <c r="A1033" i="1"/>
  <c r="J1032" i="1"/>
  <c r="H1032" i="1"/>
  <c r="G1032" i="1"/>
  <c r="F1032" i="1"/>
  <c r="E1032" i="1"/>
  <c r="D1032" i="1"/>
  <c r="C1032" i="1"/>
  <c r="B1032" i="1"/>
  <c r="A1032" i="1"/>
  <c r="J1031" i="1"/>
  <c r="H1031" i="1"/>
  <c r="G1031" i="1"/>
  <c r="F1031" i="1"/>
  <c r="E1031" i="1"/>
  <c r="D1031" i="1"/>
  <c r="C1031" i="1"/>
  <c r="B1031" i="1"/>
  <c r="A1031" i="1"/>
  <c r="J1030" i="1"/>
  <c r="I1030" i="1"/>
  <c r="H1030" i="1"/>
  <c r="G1030" i="1"/>
  <c r="F1030" i="1"/>
  <c r="E1030" i="1"/>
  <c r="D1030" i="1"/>
  <c r="C1030" i="1"/>
  <c r="B1030" i="1"/>
  <c r="A1030" i="1"/>
  <c r="J1029" i="1"/>
  <c r="I1029" i="1"/>
  <c r="H1029" i="1"/>
  <c r="G1029" i="1"/>
  <c r="F1029" i="1"/>
  <c r="E1029" i="1"/>
  <c r="D1029" i="1"/>
  <c r="C1029" i="1"/>
  <c r="B1029" i="1"/>
  <c r="A1029" i="1"/>
  <c r="J1028" i="1"/>
  <c r="I1028" i="1"/>
  <c r="H1028" i="1"/>
  <c r="G1028" i="1"/>
  <c r="F1028" i="1"/>
  <c r="E1028" i="1"/>
  <c r="D1028" i="1"/>
  <c r="C1028" i="1"/>
  <c r="B1028" i="1"/>
  <c r="A1028" i="1"/>
  <c r="J1027" i="1"/>
  <c r="I1027" i="1"/>
  <c r="H1027" i="1"/>
  <c r="G1027" i="1"/>
  <c r="F1027" i="1"/>
  <c r="E1027" i="1"/>
  <c r="D1027" i="1"/>
  <c r="C1027" i="1"/>
  <c r="B1027" i="1"/>
  <c r="A1027" i="1"/>
  <c r="J1026" i="1"/>
  <c r="I1026" i="1"/>
  <c r="H1026" i="1"/>
  <c r="G1026" i="1"/>
  <c r="F1026" i="1"/>
  <c r="E1026" i="1"/>
  <c r="D1026" i="1"/>
  <c r="C1026" i="1"/>
  <c r="B1026" i="1"/>
  <c r="A1026" i="1"/>
  <c r="J1025" i="1"/>
  <c r="I1025" i="1"/>
  <c r="H1025" i="1"/>
  <c r="G1025" i="1"/>
  <c r="F1025" i="1"/>
  <c r="E1025" i="1"/>
  <c r="D1025" i="1"/>
  <c r="C1025" i="1"/>
  <c r="B1025" i="1"/>
  <c r="A1025" i="1"/>
  <c r="J1024" i="1"/>
  <c r="I1024" i="1"/>
  <c r="H1024" i="1"/>
  <c r="G1024" i="1"/>
  <c r="F1024" i="1"/>
  <c r="E1024" i="1"/>
  <c r="D1024" i="1"/>
  <c r="C1024" i="1"/>
  <c r="B1024" i="1"/>
  <c r="A1024" i="1"/>
  <c r="J1023" i="1"/>
  <c r="I1023" i="1"/>
  <c r="H1023" i="1"/>
  <c r="G1023" i="1"/>
  <c r="F1023" i="1"/>
  <c r="E1023" i="1"/>
  <c r="D1023" i="1"/>
  <c r="C1023" i="1"/>
  <c r="B1023" i="1"/>
  <c r="A1023" i="1"/>
  <c r="J1022" i="1"/>
  <c r="I1022" i="1"/>
  <c r="H1022" i="1"/>
  <c r="G1022" i="1"/>
  <c r="F1022" i="1"/>
  <c r="E1022" i="1"/>
  <c r="D1022" i="1"/>
  <c r="C1022" i="1"/>
  <c r="B1022" i="1"/>
  <c r="A1022" i="1"/>
  <c r="J1021" i="1"/>
  <c r="I1021" i="1"/>
  <c r="H1021" i="1"/>
  <c r="G1021" i="1"/>
  <c r="F1021" i="1"/>
  <c r="E1021" i="1"/>
  <c r="D1021" i="1"/>
  <c r="C1021" i="1"/>
  <c r="B1021" i="1"/>
  <c r="A1021" i="1"/>
  <c r="J1020" i="1"/>
  <c r="I1020" i="1"/>
  <c r="H1020" i="1"/>
  <c r="G1020" i="1"/>
  <c r="F1020" i="1"/>
  <c r="E1020" i="1"/>
  <c r="D1020" i="1"/>
  <c r="C1020" i="1"/>
  <c r="B1020" i="1"/>
  <c r="A1020" i="1"/>
  <c r="J1019" i="1"/>
  <c r="I1019" i="1"/>
  <c r="H1019" i="1"/>
  <c r="G1019" i="1"/>
  <c r="F1019" i="1"/>
  <c r="E1019" i="1"/>
  <c r="D1019" i="1"/>
  <c r="C1019" i="1"/>
  <c r="B1019" i="1"/>
  <c r="A1019" i="1"/>
  <c r="J1018" i="1"/>
  <c r="I1018" i="1"/>
  <c r="H1018" i="1"/>
  <c r="G1018" i="1"/>
  <c r="F1018" i="1"/>
  <c r="E1018" i="1"/>
  <c r="D1018" i="1"/>
  <c r="C1018" i="1"/>
  <c r="B1018" i="1"/>
  <c r="A1018" i="1"/>
  <c r="J1017" i="1"/>
  <c r="I1017" i="1"/>
  <c r="H1017" i="1"/>
  <c r="G1017" i="1"/>
  <c r="F1017" i="1"/>
  <c r="E1017" i="1"/>
  <c r="D1017" i="1"/>
  <c r="C1017" i="1"/>
  <c r="B1017" i="1"/>
  <c r="A1017" i="1"/>
  <c r="J1016" i="1"/>
  <c r="I1016" i="1"/>
  <c r="H1016" i="1"/>
  <c r="G1016" i="1"/>
  <c r="F1016" i="1"/>
  <c r="E1016" i="1"/>
  <c r="D1016" i="1"/>
  <c r="C1016" i="1"/>
  <c r="B1016" i="1"/>
  <c r="A1016" i="1"/>
  <c r="J1015" i="1"/>
  <c r="I1015" i="1"/>
  <c r="H1015" i="1"/>
  <c r="G1015" i="1"/>
  <c r="F1015" i="1"/>
  <c r="E1015" i="1"/>
  <c r="D1015" i="1"/>
  <c r="C1015" i="1"/>
  <c r="B1015" i="1"/>
  <c r="A1015" i="1"/>
  <c r="J1014" i="1"/>
  <c r="I1014" i="1"/>
  <c r="H1014" i="1"/>
  <c r="G1014" i="1"/>
  <c r="F1014" i="1"/>
  <c r="E1014" i="1"/>
  <c r="D1014" i="1"/>
  <c r="C1014" i="1"/>
  <c r="B1014" i="1"/>
  <c r="A1014" i="1"/>
  <c r="J1013" i="1"/>
  <c r="I1013" i="1"/>
  <c r="H1013" i="1"/>
  <c r="G1013" i="1"/>
  <c r="F1013" i="1"/>
  <c r="E1013" i="1"/>
  <c r="D1013" i="1"/>
  <c r="C1013" i="1"/>
  <c r="B1013" i="1"/>
  <c r="A1013" i="1"/>
  <c r="J1012" i="1"/>
  <c r="I1012" i="1"/>
  <c r="H1012" i="1"/>
  <c r="G1012" i="1"/>
  <c r="F1012" i="1"/>
  <c r="E1012" i="1"/>
  <c r="D1012" i="1"/>
  <c r="C1012" i="1"/>
  <c r="B1012" i="1"/>
  <c r="A1012" i="1"/>
  <c r="J1011" i="1"/>
  <c r="I1011" i="1"/>
  <c r="H1011" i="1"/>
  <c r="G1011" i="1"/>
  <c r="F1011" i="1"/>
  <c r="E1011" i="1"/>
  <c r="D1011" i="1"/>
  <c r="C1011" i="1"/>
  <c r="B1011" i="1"/>
  <c r="A1011" i="1"/>
  <c r="J1010" i="1"/>
  <c r="I1010" i="1"/>
  <c r="H1010" i="1"/>
  <c r="G1010" i="1"/>
  <c r="F1010" i="1"/>
  <c r="E1010" i="1"/>
  <c r="D1010" i="1"/>
  <c r="C1010" i="1"/>
  <c r="B1010" i="1"/>
  <c r="A1010" i="1"/>
  <c r="J1009" i="1"/>
  <c r="I1009" i="1"/>
  <c r="H1009" i="1"/>
  <c r="G1009" i="1"/>
  <c r="F1009" i="1"/>
  <c r="E1009" i="1"/>
  <c r="D1009" i="1"/>
  <c r="C1009" i="1"/>
  <c r="B1009" i="1"/>
  <c r="A1009" i="1"/>
  <c r="J1008" i="1"/>
  <c r="I1008" i="1"/>
  <c r="H1008" i="1"/>
  <c r="G1008" i="1"/>
  <c r="F1008" i="1"/>
  <c r="E1008" i="1"/>
  <c r="D1008" i="1"/>
  <c r="C1008" i="1"/>
  <c r="B1008" i="1"/>
  <c r="A1008" i="1"/>
  <c r="J1007" i="1"/>
  <c r="I1007" i="1"/>
  <c r="H1007" i="1"/>
  <c r="G1007" i="1"/>
  <c r="F1007" i="1"/>
  <c r="E1007" i="1"/>
  <c r="D1007" i="1"/>
  <c r="C1007" i="1"/>
  <c r="B1007" i="1"/>
  <c r="A1007" i="1"/>
  <c r="J1006" i="1"/>
  <c r="I1006" i="1"/>
  <c r="H1006" i="1"/>
  <c r="G1006" i="1"/>
  <c r="F1006" i="1"/>
  <c r="E1006" i="1"/>
  <c r="D1006" i="1"/>
  <c r="C1006" i="1"/>
  <c r="B1006" i="1"/>
  <c r="A1006" i="1"/>
  <c r="J1005" i="1"/>
  <c r="I1005" i="1"/>
  <c r="H1005" i="1"/>
  <c r="G1005" i="1"/>
  <c r="F1005" i="1"/>
  <c r="E1005" i="1"/>
  <c r="D1005" i="1"/>
  <c r="C1005" i="1"/>
  <c r="B1005" i="1"/>
  <c r="A1005" i="1"/>
  <c r="J1004" i="1"/>
  <c r="I1004" i="1"/>
  <c r="H1004" i="1"/>
  <c r="G1004" i="1"/>
  <c r="F1004" i="1"/>
  <c r="E1004" i="1"/>
  <c r="D1004" i="1"/>
  <c r="C1004" i="1"/>
  <c r="B1004" i="1"/>
  <c r="A1004" i="1"/>
  <c r="J1003" i="1"/>
  <c r="I1003" i="1"/>
  <c r="H1003" i="1"/>
  <c r="G1003" i="1"/>
  <c r="F1003" i="1"/>
  <c r="E1003" i="1"/>
  <c r="D1003" i="1"/>
  <c r="C1003" i="1"/>
  <c r="B1003" i="1"/>
  <c r="A1003" i="1"/>
  <c r="J1002" i="1"/>
  <c r="I1002" i="1"/>
  <c r="H1002" i="1"/>
  <c r="G1002" i="1"/>
  <c r="F1002" i="1"/>
  <c r="E1002" i="1"/>
  <c r="D1002" i="1"/>
  <c r="C1002" i="1"/>
  <c r="B1002" i="1"/>
  <c r="A1002" i="1"/>
  <c r="J1001" i="1"/>
  <c r="I1001" i="1"/>
  <c r="H1001" i="1"/>
  <c r="G1001" i="1"/>
  <c r="F1001" i="1"/>
  <c r="E1001" i="1"/>
  <c r="D1001" i="1"/>
  <c r="C1001" i="1"/>
  <c r="B1001" i="1"/>
  <c r="A1001" i="1"/>
  <c r="J1000" i="1"/>
  <c r="I1000" i="1"/>
  <c r="H1000" i="1"/>
  <c r="G1000" i="1"/>
  <c r="F1000" i="1"/>
  <c r="E1000" i="1"/>
  <c r="D1000" i="1"/>
  <c r="C1000" i="1"/>
  <c r="B1000" i="1"/>
  <c r="A1000" i="1"/>
  <c r="J999" i="1"/>
  <c r="I999" i="1"/>
  <c r="H999" i="1"/>
  <c r="G999" i="1"/>
  <c r="F999" i="1"/>
  <c r="E999" i="1"/>
  <c r="D999" i="1"/>
  <c r="C999" i="1"/>
  <c r="B999" i="1"/>
  <c r="A999" i="1"/>
  <c r="J998" i="1"/>
  <c r="I998" i="1"/>
  <c r="H998" i="1"/>
  <c r="G998" i="1"/>
  <c r="F998" i="1"/>
  <c r="E998" i="1"/>
  <c r="D998" i="1"/>
  <c r="C998" i="1"/>
  <c r="B998" i="1"/>
  <c r="A998" i="1"/>
  <c r="J997" i="1"/>
  <c r="I997" i="1"/>
  <c r="H997" i="1"/>
  <c r="G997" i="1"/>
  <c r="F997" i="1"/>
  <c r="E997" i="1"/>
  <c r="D997" i="1"/>
  <c r="C997" i="1"/>
  <c r="B997" i="1"/>
  <c r="A997" i="1"/>
  <c r="J996" i="1"/>
  <c r="I996" i="1"/>
  <c r="H996" i="1"/>
  <c r="G996" i="1"/>
  <c r="F996" i="1"/>
  <c r="E996" i="1"/>
  <c r="D996" i="1"/>
  <c r="C996" i="1"/>
  <c r="B996" i="1"/>
  <c r="A996" i="1"/>
  <c r="J995" i="1"/>
  <c r="I995" i="1"/>
  <c r="H995" i="1"/>
  <c r="G995" i="1"/>
  <c r="F995" i="1"/>
  <c r="E995" i="1"/>
  <c r="D995" i="1"/>
  <c r="C995" i="1"/>
  <c r="B995" i="1"/>
  <c r="A995" i="1"/>
  <c r="J994" i="1"/>
  <c r="I994" i="1"/>
  <c r="H994" i="1"/>
  <c r="G994" i="1"/>
  <c r="F994" i="1"/>
  <c r="E994" i="1"/>
  <c r="D994" i="1"/>
  <c r="C994" i="1"/>
  <c r="B994" i="1"/>
  <c r="A994" i="1"/>
  <c r="J993" i="1"/>
  <c r="I993" i="1"/>
  <c r="H993" i="1"/>
  <c r="G993" i="1"/>
  <c r="F993" i="1"/>
  <c r="E993" i="1"/>
  <c r="D993" i="1"/>
  <c r="C993" i="1"/>
  <c r="B993" i="1"/>
  <c r="A993" i="1"/>
  <c r="J992" i="1"/>
  <c r="I992" i="1"/>
  <c r="H992" i="1"/>
  <c r="G992" i="1"/>
  <c r="F992" i="1"/>
  <c r="E992" i="1"/>
  <c r="D992" i="1"/>
  <c r="C992" i="1"/>
  <c r="B992" i="1"/>
  <c r="A992" i="1"/>
  <c r="J991" i="1"/>
  <c r="I991" i="1"/>
  <c r="H991" i="1"/>
  <c r="G991" i="1"/>
  <c r="F991" i="1"/>
  <c r="E991" i="1"/>
  <c r="D991" i="1"/>
  <c r="C991" i="1"/>
  <c r="B991" i="1"/>
  <c r="A991" i="1"/>
  <c r="J990" i="1"/>
  <c r="I990" i="1"/>
  <c r="H990" i="1"/>
  <c r="G990" i="1"/>
  <c r="F990" i="1"/>
  <c r="E990" i="1"/>
  <c r="D990" i="1"/>
  <c r="C990" i="1"/>
  <c r="B990" i="1"/>
  <c r="A990" i="1"/>
  <c r="J989" i="1"/>
  <c r="I989" i="1"/>
  <c r="H989" i="1"/>
  <c r="G989" i="1"/>
  <c r="F989" i="1"/>
  <c r="E989" i="1"/>
  <c r="D989" i="1"/>
  <c r="C989" i="1"/>
  <c r="B989" i="1"/>
  <c r="A989" i="1"/>
  <c r="J988" i="1"/>
  <c r="I988" i="1"/>
  <c r="H988" i="1"/>
  <c r="G988" i="1"/>
  <c r="F988" i="1"/>
  <c r="E988" i="1"/>
  <c r="D988" i="1"/>
  <c r="C988" i="1"/>
  <c r="B988" i="1"/>
  <c r="A988" i="1"/>
  <c r="J987" i="1"/>
  <c r="I987" i="1"/>
  <c r="H987" i="1"/>
  <c r="G987" i="1"/>
  <c r="F987" i="1"/>
  <c r="E987" i="1"/>
  <c r="D987" i="1"/>
  <c r="C987" i="1"/>
  <c r="B987" i="1"/>
  <c r="A987" i="1"/>
  <c r="J986" i="1"/>
  <c r="I986" i="1"/>
  <c r="H986" i="1"/>
  <c r="G986" i="1"/>
  <c r="F986" i="1"/>
  <c r="E986" i="1"/>
  <c r="D986" i="1"/>
  <c r="C986" i="1"/>
  <c r="B986" i="1"/>
  <c r="A986" i="1"/>
  <c r="J985" i="1"/>
  <c r="I985" i="1"/>
  <c r="H985" i="1"/>
  <c r="G985" i="1"/>
  <c r="F985" i="1"/>
  <c r="E985" i="1"/>
  <c r="D985" i="1"/>
  <c r="C985" i="1"/>
  <c r="B985" i="1"/>
  <c r="A985" i="1"/>
  <c r="J984" i="1"/>
  <c r="I984" i="1"/>
  <c r="H984" i="1"/>
  <c r="G984" i="1"/>
  <c r="F984" i="1"/>
  <c r="E984" i="1"/>
  <c r="D984" i="1"/>
  <c r="C984" i="1"/>
  <c r="B984" i="1"/>
  <c r="A984" i="1"/>
  <c r="J983" i="1"/>
  <c r="I983" i="1"/>
  <c r="H983" i="1"/>
  <c r="G983" i="1"/>
  <c r="F983" i="1"/>
  <c r="E983" i="1"/>
  <c r="D983" i="1"/>
  <c r="C983" i="1"/>
  <c r="B983" i="1"/>
  <c r="A983" i="1"/>
  <c r="J982" i="1"/>
  <c r="I982" i="1"/>
  <c r="H982" i="1"/>
  <c r="G982" i="1"/>
  <c r="F982" i="1"/>
  <c r="E982" i="1"/>
  <c r="D982" i="1"/>
  <c r="C982" i="1"/>
  <c r="B982" i="1"/>
  <c r="A982" i="1"/>
  <c r="J981" i="1"/>
  <c r="I981" i="1"/>
  <c r="H981" i="1"/>
  <c r="G981" i="1"/>
  <c r="F981" i="1"/>
  <c r="E981" i="1"/>
  <c r="D981" i="1"/>
  <c r="C981" i="1"/>
  <c r="B981" i="1"/>
  <c r="A981" i="1"/>
  <c r="J980" i="1"/>
  <c r="I980" i="1"/>
  <c r="H980" i="1"/>
  <c r="G980" i="1"/>
  <c r="F980" i="1"/>
  <c r="E980" i="1"/>
  <c r="D980" i="1"/>
  <c r="C980" i="1"/>
  <c r="B980" i="1"/>
  <c r="A980" i="1"/>
  <c r="J979" i="1"/>
  <c r="I979" i="1"/>
  <c r="H979" i="1"/>
  <c r="G979" i="1"/>
  <c r="F979" i="1"/>
  <c r="E979" i="1"/>
  <c r="D979" i="1"/>
  <c r="C979" i="1"/>
  <c r="B979" i="1"/>
  <c r="A979" i="1"/>
  <c r="J978" i="1"/>
  <c r="I978" i="1"/>
  <c r="H978" i="1"/>
  <c r="G978" i="1"/>
  <c r="F978" i="1"/>
  <c r="E978" i="1"/>
  <c r="D978" i="1"/>
  <c r="C978" i="1"/>
  <c r="B978" i="1"/>
  <c r="A978" i="1"/>
  <c r="J977" i="1"/>
  <c r="I977" i="1"/>
  <c r="H977" i="1"/>
  <c r="G977" i="1"/>
  <c r="F977" i="1"/>
  <c r="E977" i="1"/>
  <c r="D977" i="1"/>
  <c r="C977" i="1"/>
  <c r="B977" i="1"/>
  <c r="A977" i="1"/>
  <c r="J976" i="1"/>
  <c r="I976" i="1"/>
  <c r="H976" i="1"/>
  <c r="G976" i="1"/>
  <c r="F976" i="1"/>
  <c r="E976" i="1"/>
  <c r="D976" i="1"/>
  <c r="C976" i="1"/>
  <c r="B976" i="1"/>
  <c r="A976" i="1"/>
  <c r="J975" i="1"/>
  <c r="I975" i="1"/>
  <c r="H975" i="1"/>
  <c r="G975" i="1"/>
  <c r="F975" i="1"/>
  <c r="E975" i="1"/>
  <c r="D975" i="1"/>
  <c r="C975" i="1"/>
  <c r="B975" i="1"/>
  <c r="A975" i="1"/>
  <c r="J974" i="1"/>
  <c r="I974" i="1"/>
  <c r="H974" i="1"/>
  <c r="G974" i="1"/>
  <c r="F974" i="1"/>
  <c r="E974" i="1"/>
  <c r="D974" i="1"/>
  <c r="C974" i="1"/>
  <c r="B974" i="1"/>
  <c r="A974" i="1"/>
  <c r="J973" i="1"/>
  <c r="I973" i="1"/>
  <c r="H973" i="1"/>
  <c r="G973" i="1"/>
  <c r="F973" i="1"/>
  <c r="E973" i="1"/>
  <c r="D973" i="1"/>
  <c r="C973" i="1"/>
  <c r="B973" i="1"/>
  <c r="A973" i="1"/>
  <c r="J972" i="1"/>
  <c r="I972" i="1"/>
  <c r="H972" i="1"/>
  <c r="G972" i="1"/>
  <c r="F972" i="1"/>
  <c r="E972" i="1"/>
  <c r="D972" i="1"/>
  <c r="C972" i="1"/>
  <c r="B972" i="1"/>
  <c r="A972" i="1"/>
  <c r="J971" i="1"/>
  <c r="I971" i="1"/>
  <c r="H971" i="1"/>
  <c r="G971" i="1"/>
  <c r="F971" i="1"/>
  <c r="E971" i="1"/>
  <c r="D971" i="1"/>
  <c r="C971" i="1"/>
  <c r="B971" i="1"/>
  <c r="A971" i="1"/>
  <c r="J970" i="1"/>
  <c r="I970" i="1"/>
  <c r="H970" i="1"/>
  <c r="G970" i="1"/>
  <c r="F970" i="1"/>
  <c r="E970" i="1"/>
  <c r="D970" i="1"/>
  <c r="C970" i="1"/>
  <c r="B970" i="1"/>
  <c r="A970" i="1"/>
  <c r="J969" i="1"/>
  <c r="I969" i="1"/>
  <c r="H969" i="1"/>
  <c r="G969" i="1"/>
  <c r="F969" i="1"/>
  <c r="E969" i="1"/>
  <c r="D969" i="1"/>
  <c r="C969" i="1"/>
  <c r="B969" i="1"/>
  <c r="A969" i="1"/>
  <c r="J968" i="1"/>
  <c r="I968" i="1"/>
  <c r="H968" i="1"/>
  <c r="G968" i="1"/>
  <c r="F968" i="1"/>
  <c r="E968" i="1"/>
  <c r="D968" i="1"/>
  <c r="C968" i="1"/>
  <c r="B968" i="1"/>
  <c r="A968" i="1"/>
  <c r="J967" i="1"/>
  <c r="H967" i="1"/>
  <c r="G967" i="1"/>
  <c r="F967" i="1"/>
  <c r="E967" i="1"/>
  <c r="D967" i="1"/>
  <c r="C967" i="1"/>
  <c r="B967" i="1"/>
  <c r="A967" i="1"/>
  <c r="J966" i="1"/>
  <c r="H966" i="1"/>
  <c r="G966" i="1"/>
  <c r="F966" i="1"/>
  <c r="E966" i="1"/>
  <c r="D966" i="1"/>
  <c r="C966" i="1"/>
  <c r="B966" i="1"/>
  <c r="A966" i="1"/>
  <c r="J965" i="1"/>
  <c r="H965" i="1"/>
  <c r="G965" i="1"/>
  <c r="F965" i="1"/>
  <c r="E965" i="1"/>
  <c r="D965" i="1"/>
  <c r="C965" i="1"/>
  <c r="B965" i="1"/>
  <c r="A965" i="1"/>
  <c r="J964" i="1"/>
  <c r="H964" i="1"/>
  <c r="G964" i="1"/>
  <c r="F964" i="1"/>
  <c r="E964" i="1"/>
  <c r="D964" i="1"/>
  <c r="C964" i="1"/>
  <c r="B964" i="1"/>
  <c r="A964" i="1"/>
  <c r="J963" i="1"/>
  <c r="H963" i="1"/>
  <c r="G963" i="1"/>
  <c r="F963" i="1"/>
  <c r="E963" i="1"/>
  <c r="D963" i="1"/>
  <c r="C963" i="1"/>
  <c r="B963" i="1"/>
  <c r="A963" i="1"/>
  <c r="J962" i="1"/>
  <c r="H962" i="1"/>
  <c r="G962" i="1"/>
  <c r="F962" i="1"/>
  <c r="E962" i="1"/>
  <c r="D962" i="1"/>
  <c r="C962" i="1"/>
  <c r="B962" i="1"/>
  <c r="A962" i="1"/>
  <c r="J961" i="1"/>
  <c r="H961" i="1"/>
  <c r="G961" i="1"/>
  <c r="F961" i="1"/>
  <c r="E961" i="1"/>
  <c r="D961" i="1"/>
  <c r="C961" i="1"/>
  <c r="B961" i="1"/>
  <c r="A961" i="1"/>
  <c r="J960" i="1"/>
  <c r="I960" i="1"/>
  <c r="H960" i="1"/>
  <c r="G960" i="1"/>
  <c r="F960" i="1"/>
  <c r="E960" i="1"/>
  <c r="D960" i="1"/>
  <c r="C960" i="1"/>
  <c r="B960" i="1"/>
  <c r="A960" i="1"/>
  <c r="J959" i="1"/>
  <c r="I959" i="1"/>
  <c r="H959" i="1"/>
  <c r="G959" i="1"/>
  <c r="F959" i="1"/>
  <c r="E959" i="1"/>
  <c r="D959" i="1"/>
  <c r="C959" i="1"/>
  <c r="B959" i="1"/>
  <c r="A959" i="1"/>
  <c r="J958" i="1"/>
  <c r="I958" i="1"/>
  <c r="H958" i="1"/>
  <c r="G958" i="1"/>
  <c r="F958" i="1"/>
  <c r="E958" i="1"/>
  <c r="D958" i="1"/>
  <c r="C958" i="1"/>
  <c r="B958" i="1"/>
  <c r="A958" i="1"/>
  <c r="J957" i="1"/>
  <c r="I957" i="1"/>
  <c r="H957" i="1"/>
  <c r="G957" i="1"/>
  <c r="F957" i="1"/>
  <c r="E957" i="1"/>
  <c r="D957" i="1"/>
  <c r="C957" i="1"/>
  <c r="B957" i="1"/>
  <c r="A957" i="1"/>
  <c r="J956" i="1"/>
  <c r="I956" i="1"/>
  <c r="H956" i="1"/>
  <c r="G956" i="1"/>
  <c r="F956" i="1"/>
  <c r="E956" i="1"/>
  <c r="D956" i="1"/>
  <c r="C956" i="1"/>
  <c r="B956" i="1"/>
  <c r="A956" i="1"/>
  <c r="J955" i="1"/>
  <c r="I955" i="1"/>
  <c r="H955" i="1"/>
  <c r="G955" i="1"/>
  <c r="F955" i="1"/>
  <c r="E955" i="1"/>
  <c r="D955" i="1"/>
  <c r="C955" i="1"/>
  <c r="B955" i="1"/>
  <c r="A955" i="1"/>
  <c r="J954" i="1"/>
  <c r="I954" i="1"/>
  <c r="H954" i="1"/>
  <c r="G954" i="1"/>
  <c r="F954" i="1"/>
  <c r="E954" i="1"/>
  <c r="D954" i="1"/>
  <c r="C954" i="1"/>
  <c r="B954" i="1"/>
  <c r="A954" i="1"/>
  <c r="J953" i="1"/>
  <c r="I953" i="1"/>
  <c r="H953" i="1"/>
  <c r="G953" i="1"/>
  <c r="F953" i="1"/>
  <c r="E953" i="1"/>
  <c r="D953" i="1"/>
  <c r="C953" i="1"/>
  <c r="B953" i="1"/>
  <c r="A953" i="1"/>
  <c r="J952" i="1"/>
  <c r="I952" i="1"/>
  <c r="H952" i="1"/>
  <c r="G952" i="1"/>
  <c r="F952" i="1"/>
  <c r="E952" i="1"/>
  <c r="D952" i="1"/>
  <c r="C952" i="1"/>
  <c r="B952" i="1"/>
  <c r="A952" i="1"/>
  <c r="J951" i="1"/>
  <c r="I951" i="1"/>
  <c r="H951" i="1"/>
  <c r="G951" i="1"/>
  <c r="F951" i="1"/>
  <c r="E951" i="1"/>
  <c r="D951" i="1"/>
  <c r="C951" i="1"/>
  <c r="B951" i="1"/>
  <c r="A951" i="1"/>
  <c r="J950" i="1"/>
  <c r="I950" i="1"/>
  <c r="H950" i="1"/>
  <c r="G950" i="1"/>
  <c r="F950" i="1"/>
  <c r="E950" i="1"/>
  <c r="D950" i="1"/>
  <c r="C950" i="1"/>
  <c r="B950" i="1"/>
  <c r="A950" i="1"/>
  <c r="J949" i="1"/>
  <c r="I949" i="1"/>
  <c r="H949" i="1"/>
  <c r="G949" i="1"/>
  <c r="F949" i="1"/>
  <c r="E949" i="1"/>
  <c r="D949" i="1"/>
  <c r="C949" i="1"/>
  <c r="B949" i="1"/>
  <c r="A949" i="1"/>
  <c r="J948" i="1"/>
  <c r="I948" i="1"/>
  <c r="H948" i="1"/>
  <c r="G948" i="1"/>
  <c r="F948" i="1"/>
  <c r="E948" i="1"/>
  <c r="D948" i="1"/>
  <c r="C948" i="1"/>
  <c r="B948" i="1"/>
  <c r="A948" i="1"/>
  <c r="J947" i="1"/>
  <c r="I947" i="1"/>
  <c r="H947" i="1"/>
  <c r="G947" i="1"/>
  <c r="F947" i="1"/>
  <c r="E947" i="1"/>
  <c r="D947" i="1"/>
  <c r="C947" i="1"/>
  <c r="B947" i="1"/>
  <c r="A947" i="1"/>
  <c r="J946" i="1"/>
  <c r="I946" i="1"/>
  <c r="H946" i="1"/>
  <c r="G946" i="1"/>
  <c r="F946" i="1"/>
  <c r="E946" i="1"/>
  <c r="D946" i="1"/>
  <c r="C946" i="1"/>
  <c r="B946" i="1"/>
  <c r="A946" i="1"/>
  <c r="J945" i="1"/>
  <c r="I945" i="1"/>
  <c r="H945" i="1"/>
  <c r="G945" i="1"/>
  <c r="F945" i="1"/>
  <c r="E945" i="1"/>
  <c r="D945" i="1"/>
  <c r="C945" i="1"/>
  <c r="B945" i="1"/>
  <c r="A945" i="1"/>
  <c r="J944" i="1"/>
  <c r="I944" i="1"/>
  <c r="H944" i="1"/>
  <c r="G944" i="1"/>
  <c r="F944" i="1"/>
  <c r="E944" i="1"/>
  <c r="D944" i="1"/>
  <c r="C944" i="1"/>
  <c r="B944" i="1"/>
  <c r="A944" i="1"/>
  <c r="J943" i="1"/>
  <c r="I943" i="1"/>
  <c r="H943" i="1"/>
  <c r="G943" i="1"/>
  <c r="F943" i="1"/>
  <c r="E943" i="1"/>
  <c r="D943" i="1"/>
  <c r="C943" i="1"/>
  <c r="B943" i="1"/>
  <c r="A943" i="1"/>
  <c r="J942" i="1"/>
  <c r="I942" i="1"/>
  <c r="H942" i="1"/>
  <c r="G942" i="1"/>
  <c r="F942" i="1"/>
  <c r="E942" i="1"/>
  <c r="D942" i="1"/>
  <c r="C942" i="1"/>
  <c r="B942" i="1"/>
  <c r="A942" i="1"/>
  <c r="J941" i="1"/>
  <c r="I941" i="1"/>
  <c r="H941" i="1"/>
  <c r="G941" i="1"/>
  <c r="F941" i="1"/>
  <c r="E941" i="1"/>
  <c r="D941" i="1"/>
  <c r="C941" i="1"/>
  <c r="B941" i="1"/>
  <c r="A941" i="1"/>
  <c r="J940" i="1"/>
  <c r="I940" i="1"/>
  <c r="H940" i="1"/>
  <c r="G940" i="1"/>
  <c r="F940" i="1"/>
  <c r="E940" i="1"/>
  <c r="D940" i="1"/>
  <c r="C940" i="1"/>
  <c r="B940" i="1"/>
  <c r="A940" i="1"/>
  <c r="J939" i="1"/>
  <c r="I939" i="1"/>
  <c r="H939" i="1"/>
  <c r="G939" i="1"/>
  <c r="F939" i="1"/>
  <c r="E939" i="1"/>
  <c r="D939" i="1"/>
  <c r="C939" i="1"/>
  <c r="B939" i="1"/>
  <c r="A939" i="1"/>
  <c r="J938" i="1"/>
  <c r="I938" i="1"/>
  <c r="H938" i="1"/>
  <c r="G938" i="1"/>
  <c r="F938" i="1"/>
  <c r="E938" i="1"/>
  <c r="D938" i="1"/>
  <c r="C938" i="1"/>
  <c r="B938" i="1"/>
  <c r="A938" i="1"/>
  <c r="J937" i="1"/>
  <c r="I937" i="1"/>
  <c r="H937" i="1"/>
  <c r="G937" i="1"/>
  <c r="F937" i="1"/>
  <c r="E937" i="1"/>
  <c r="D937" i="1"/>
  <c r="C937" i="1"/>
  <c r="B937" i="1"/>
  <c r="A937" i="1"/>
  <c r="J936" i="1"/>
  <c r="I936" i="1"/>
  <c r="H936" i="1"/>
  <c r="G936" i="1"/>
  <c r="F936" i="1"/>
  <c r="E936" i="1"/>
  <c r="D936" i="1"/>
  <c r="C936" i="1"/>
  <c r="B936" i="1"/>
  <c r="A936" i="1"/>
  <c r="J935" i="1"/>
  <c r="I935" i="1"/>
  <c r="H935" i="1"/>
  <c r="G935" i="1"/>
  <c r="F935" i="1"/>
  <c r="E935" i="1"/>
  <c r="D935" i="1"/>
  <c r="C935" i="1"/>
  <c r="B935" i="1"/>
  <c r="A935" i="1"/>
  <c r="J934" i="1"/>
  <c r="I934" i="1"/>
  <c r="H934" i="1"/>
  <c r="G934" i="1"/>
  <c r="F934" i="1"/>
  <c r="E934" i="1"/>
  <c r="D934" i="1"/>
  <c r="C934" i="1"/>
  <c r="B934" i="1"/>
  <c r="A934" i="1"/>
  <c r="J933" i="1"/>
  <c r="I933" i="1"/>
  <c r="H933" i="1"/>
  <c r="G933" i="1"/>
  <c r="F933" i="1"/>
  <c r="E933" i="1"/>
  <c r="D933" i="1"/>
  <c r="C933" i="1"/>
  <c r="B933" i="1"/>
  <c r="A933" i="1"/>
  <c r="J932" i="1"/>
  <c r="I932" i="1"/>
  <c r="H932" i="1"/>
  <c r="G932" i="1"/>
  <c r="F932" i="1"/>
  <c r="E932" i="1"/>
  <c r="D932" i="1"/>
  <c r="C932" i="1"/>
  <c r="B932" i="1"/>
  <c r="A932" i="1"/>
  <c r="J931" i="1"/>
  <c r="I931" i="1"/>
  <c r="H931" i="1"/>
  <c r="G931" i="1"/>
  <c r="F931" i="1"/>
  <c r="E931" i="1"/>
  <c r="D931" i="1"/>
  <c r="C931" i="1"/>
  <c r="B931" i="1"/>
  <c r="A931" i="1"/>
  <c r="J930" i="1"/>
  <c r="I930" i="1"/>
  <c r="H930" i="1"/>
  <c r="G930" i="1"/>
  <c r="F930" i="1"/>
  <c r="E930" i="1"/>
  <c r="D930" i="1"/>
  <c r="C930" i="1"/>
  <c r="B930" i="1"/>
  <c r="A930" i="1"/>
  <c r="J929" i="1"/>
  <c r="I929" i="1"/>
  <c r="H929" i="1"/>
  <c r="G929" i="1"/>
  <c r="F929" i="1"/>
  <c r="E929" i="1"/>
  <c r="D929" i="1"/>
  <c r="C929" i="1"/>
  <c r="B929" i="1"/>
  <c r="A929" i="1"/>
  <c r="J928" i="1"/>
  <c r="I928" i="1"/>
  <c r="H928" i="1"/>
  <c r="G928" i="1"/>
  <c r="F928" i="1"/>
  <c r="E928" i="1"/>
  <c r="D928" i="1"/>
  <c r="C928" i="1"/>
  <c r="B928" i="1"/>
  <c r="A928" i="1"/>
  <c r="J927" i="1"/>
  <c r="I927" i="1"/>
  <c r="H927" i="1"/>
  <c r="G927" i="1"/>
  <c r="F927" i="1"/>
  <c r="E927" i="1"/>
  <c r="D927" i="1"/>
  <c r="C927" i="1"/>
  <c r="B927" i="1"/>
  <c r="A927" i="1"/>
  <c r="J926" i="1"/>
  <c r="I926" i="1"/>
  <c r="H926" i="1"/>
  <c r="G926" i="1"/>
  <c r="F926" i="1"/>
  <c r="E926" i="1"/>
  <c r="D926" i="1"/>
  <c r="C926" i="1"/>
  <c r="B926" i="1"/>
  <c r="A926" i="1"/>
  <c r="J925" i="1"/>
  <c r="I925" i="1"/>
  <c r="H925" i="1"/>
  <c r="G925" i="1"/>
  <c r="F925" i="1"/>
  <c r="E925" i="1"/>
  <c r="D925" i="1"/>
  <c r="C925" i="1"/>
  <c r="B925" i="1"/>
  <c r="A925" i="1"/>
  <c r="J924" i="1"/>
  <c r="I924" i="1"/>
  <c r="H924" i="1"/>
  <c r="G924" i="1"/>
  <c r="F924" i="1"/>
  <c r="E924" i="1"/>
  <c r="D924" i="1"/>
  <c r="C924" i="1"/>
  <c r="B924" i="1"/>
  <c r="A924" i="1"/>
  <c r="J923" i="1"/>
  <c r="I923" i="1"/>
  <c r="H923" i="1"/>
  <c r="G923" i="1"/>
  <c r="F923" i="1"/>
  <c r="E923" i="1"/>
  <c r="D923" i="1"/>
  <c r="C923" i="1"/>
  <c r="B923" i="1"/>
  <c r="A923" i="1"/>
  <c r="J922" i="1"/>
  <c r="I922" i="1"/>
  <c r="H922" i="1"/>
  <c r="G922" i="1"/>
  <c r="F922" i="1"/>
  <c r="E922" i="1"/>
  <c r="D922" i="1"/>
  <c r="C922" i="1"/>
  <c r="B922" i="1"/>
  <c r="A922" i="1"/>
  <c r="J921" i="1"/>
  <c r="I921" i="1"/>
  <c r="H921" i="1"/>
  <c r="G921" i="1"/>
  <c r="F921" i="1"/>
  <c r="E921" i="1"/>
  <c r="D921" i="1"/>
  <c r="C921" i="1"/>
  <c r="B921" i="1"/>
  <c r="A921" i="1"/>
  <c r="J920" i="1"/>
  <c r="I920" i="1"/>
  <c r="H920" i="1"/>
  <c r="G920" i="1"/>
  <c r="F920" i="1"/>
  <c r="E920" i="1"/>
  <c r="D920" i="1"/>
  <c r="C920" i="1"/>
  <c r="B920" i="1"/>
  <c r="A920" i="1"/>
  <c r="J919" i="1"/>
  <c r="I919" i="1"/>
  <c r="H919" i="1"/>
  <c r="G919" i="1"/>
  <c r="F919" i="1"/>
  <c r="E919" i="1"/>
  <c r="D919" i="1"/>
  <c r="C919" i="1"/>
  <c r="B919" i="1"/>
  <c r="A919" i="1"/>
  <c r="J918" i="1"/>
  <c r="I918" i="1"/>
  <c r="H918" i="1"/>
  <c r="G918" i="1"/>
  <c r="F918" i="1"/>
  <c r="E918" i="1"/>
  <c r="D918" i="1"/>
  <c r="C918" i="1"/>
  <c r="B918" i="1"/>
  <c r="A918" i="1"/>
  <c r="J917" i="1"/>
  <c r="I917" i="1"/>
  <c r="H917" i="1"/>
  <c r="G917" i="1"/>
  <c r="F917" i="1"/>
  <c r="E917" i="1"/>
  <c r="D917" i="1"/>
  <c r="C917" i="1"/>
  <c r="B917" i="1"/>
  <c r="A917" i="1"/>
  <c r="J916" i="1"/>
  <c r="I916" i="1"/>
  <c r="H916" i="1"/>
  <c r="G916" i="1"/>
  <c r="F916" i="1"/>
  <c r="E916" i="1"/>
  <c r="D916" i="1"/>
  <c r="C916" i="1"/>
  <c r="B916" i="1"/>
  <c r="A916" i="1"/>
  <c r="J915" i="1"/>
  <c r="I915" i="1"/>
  <c r="H915" i="1"/>
  <c r="G915" i="1"/>
  <c r="F915" i="1"/>
  <c r="E915" i="1"/>
  <c r="D915" i="1"/>
  <c r="C915" i="1"/>
  <c r="B915" i="1"/>
  <c r="A915" i="1"/>
  <c r="J914" i="1"/>
  <c r="I914" i="1"/>
  <c r="H914" i="1"/>
  <c r="G914" i="1"/>
  <c r="F914" i="1"/>
  <c r="E914" i="1"/>
  <c r="D914" i="1"/>
  <c r="C914" i="1"/>
  <c r="B914" i="1"/>
  <c r="A914" i="1"/>
  <c r="J913" i="1"/>
  <c r="I913" i="1"/>
  <c r="H913" i="1"/>
  <c r="G913" i="1"/>
  <c r="F913" i="1"/>
  <c r="E913" i="1"/>
  <c r="D913" i="1"/>
  <c r="C913" i="1"/>
  <c r="B913" i="1"/>
  <c r="A913" i="1"/>
  <c r="J912" i="1"/>
  <c r="I912" i="1"/>
  <c r="H912" i="1"/>
  <c r="G912" i="1"/>
  <c r="F912" i="1"/>
  <c r="E912" i="1"/>
  <c r="D912" i="1"/>
  <c r="C912" i="1"/>
  <c r="B912" i="1"/>
  <c r="A912" i="1"/>
  <c r="J911" i="1"/>
  <c r="I911" i="1"/>
  <c r="H911" i="1"/>
  <c r="G911" i="1"/>
  <c r="F911" i="1"/>
  <c r="E911" i="1"/>
  <c r="D911" i="1"/>
  <c r="C911" i="1"/>
  <c r="B911" i="1"/>
  <c r="A911" i="1"/>
  <c r="J910" i="1"/>
  <c r="I910" i="1"/>
  <c r="H910" i="1"/>
  <c r="G910" i="1"/>
  <c r="F910" i="1"/>
  <c r="E910" i="1"/>
  <c r="D910" i="1"/>
  <c r="C910" i="1"/>
  <c r="B910" i="1"/>
  <c r="A910" i="1"/>
  <c r="J909" i="1"/>
  <c r="I909" i="1"/>
  <c r="H909" i="1"/>
  <c r="G909" i="1"/>
  <c r="F909" i="1"/>
  <c r="E909" i="1"/>
  <c r="D909" i="1"/>
  <c r="C909" i="1"/>
  <c r="B909" i="1"/>
  <c r="A909" i="1"/>
  <c r="J908" i="1"/>
  <c r="I908" i="1"/>
  <c r="H908" i="1"/>
  <c r="G908" i="1"/>
  <c r="F908" i="1"/>
  <c r="E908" i="1"/>
  <c r="D908" i="1"/>
  <c r="C908" i="1"/>
  <c r="B908" i="1"/>
  <c r="A908" i="1"/>
  <c r="J907" i="1"/>
  <c r="I907" i="1"/>
  <c r="H907" i="1"/>
  <c r="G907" i="1"/>
  <c r="F907" i="1"/>
  <c r="E907" i="1"/>
  <c r="D907" i="1"/>
  <c r="C907" i="1"/>
  <c r="B907" i="1"/>
  <c r="A907" i="1"/>
  <c r="J906" i="1"/>
  <c r="I906" i="1"/>
  <c r="H906" i="1"/>
  <c r="G906" i="1"/>
  <c r="F906" i="1"/>
  <c r="E906" i="1"/>
  <c r="D906" i="1"/>
  <c r="C906" i="1"/>
  <c r="B906" i="1"/>
  <c r="A906" i="1"/>
  <c r="J905" i="1"/>
  <c r="I905" i="1"/>
  <c r="H905" i="1"/>
  <c r="G905" i="1"/>
  <c r="F905" i="1"/>
  <c r="E905" i="1"/>
  <c r="D905" i="1"/>
  <c r="C905" i="1"/>
  <c r="B905" i="1"/>
  <c r="A905" i="1"/>
  <c r="J904" i="1"/>
  <c r="I904" i="1"/>
  <c r="H904" i="1"/>
  <c r="G904" i="1"/>
  <c r="F904" i="1"/>
  <c r="E904" i="1"/>
  <c r="D904" i="1"/>
  <c r="C904" i="1"/>
  <c r="B904" i="1"/>
  <c r="A904" i="1"/>
  <c r="J903" i="1"/>
  <c r="I903" i="1"/>
  <c r="H903" i="1"/>
  <c r="G903" i="1"/>
  <c r="F903" i="1"/>
  <c r="E903" i="1"/>
  <c r="D903" i="1"/>
  <c r="C903" i="1"/>
  <c r="B903" i="1"/>
  <c r="A903" i="1"/>
  <c r="J902" i="1"/>
  <c r="I902" i="1"/>
  <c r="H902" i="1"/>
  <c r="G902" i="1"/>
  <c r="F902" i="1"/>
  <c r="E902" i="1"/>
  <c r="D902" i="1"/>
  <c r="C902" i="1"/>
  <c r="B902" i="1"/>
  <c r="A902" i="1"/>
  <c r="J901" i="1"/>
  <c r="I901" i="1"/>
  <c r="H901" i="1"/>
  <c r="G901" i="1"/>
  <c r="F901" i="1"/>
  <c r="E901" i="1"/>
  <c r="D901" i="1"/>
  <c r="C901" i="1"/>
  <c r="B901" i="1"/>
  <c r="A901" i="1"/>
  <c r="J900" i="1"/>
  <c r="I900" i="1"/>
  <c r="H900" i="1"/>
  <c r="G900" i="1"/>
  <c r="F900" i="1"/>
  <c r="E900" i="1"/>
  <c r="D900" i="1"/>
  <c r="C900" i="1"/>
  <c r="B900" i="1"/>
  <c r="A900" i="1"/>
  <c r="J899" i="1"/>
  <c r="I899" i="1"/>
  <c r="H899" i="1"/>
  <c r="G899" i="1"/>
  <c r="F899" i="1"/>
  <c r="E899" i="1"/>
  <c r="D899" i="1"/>
  <c r="C899" i="1"/>
  <c r="B899" i="1"/>
  <c r="A899" i="1"/>
  <c r="J898" i="1"/>
  <c r="I898" i="1"/>
  <c r="H898" i="1"/>
  <c r="G898" i="1"/>
  <c r="F898" i="1"/>
  <c r="E898" i="1"/>
  <c r="D898" i="1"/>
  <c r="C898" i="1"/>
  <c r="B898" i="1"/>
  <c r="A898" i="1"/>
  <c r="J897" i="1"/>
  <c r="I897" i="1"/>
  <c r="H897" i="1"/>
  <c r="G897" i="1"/>
  <c r="F897" i="1"/>
  <c r="E897" i="1"/>
  <c r="D897" i="1"/>
  <c r="C897" i="1"/>
  <c r="B897" i="1"/>
  <c r="A897" i="1"/>
  <c r="J896" i="1"/>
  <c r="I896" i="1"/>
  <c r="H896" i="1"/>
  <c r="G896" i="1"/>
  <c r="F896" i="1"/>
  <c r="E896" i="1"/>
  <c r="D896" i="1"/>
  <c r="C896" i="1"/>
  <c r="B896" i="1"/>
  <c r="A896" i="1"/>
  <c r="J895" i="1"/>
  <c r="I895" i="1"/>
  <c r="H895" i="1"/>
  <c r="G895" i="1"/>
  <c r="F895" i="1"/>
  <c r="E895" i="1"/>
  <c r="D895" i="1"/>
  <c r="C895" i="1"/>
  <c r="B895" i="1"/>
  <c r="A895" i="1"/>
  <c r="J894" i="1"/>
  <c r="I894" i="1"/>
  <c r="H894" i="1"/>
  <c r="G894" i="1"/>
  <c r="F894" i="1"/>
  <c r="E894" i="1"/>
  <c r="D894" i="1"/>
  <c r="C894" i="1"/>
  <c r="B894" i="1"/>
  <c r="A894" i="1"/>
  <c r="J893" i="1"/>
  <c r="I893" i="1"/>
  <c r="H893" i="1"/>
  <c r="G893" i="1"/>
  <c r="F893" i="1"/>
  <c r="E893" i="1"/>
  <c r="D893" i="1"/>
  <c r="C893" i="1"/>
  <c r="B893" i="1"/>
  <c r="A893" i="1"/>
  <c r="J892" i="1"/>
  <c r="I892" i="1"/>
  <c r="H892" i="1"/>
  <c r="G892" i="1"/>
  <c r="F892" i="1"/>
  <c r="E892" i="1"/>
  <c r="D892" i="1"/>
  <c r="C892" i="1"/>
  <c r="B892" i="1"/>
  <c r="A892" i="1"/>
  <c r="J891" i="1"/>
  <c r="I891" i="1"/>
  <c r="H891" i="1"/>
  <c r="G891" i="1"/>
  <c r="F891" i="1"/>
  <c r="E891" i="1"/>
  <c r="D891" i="1"/>
  <c r="C891" i="1"/>
  <c r="B891" i="1"/>
  <c r="A891" i="1"/>
  <c r="J890" i="1"/>
  <c r="H890" i="1"/>
  <c r="G890" i="1"/>
  <c r="F890" i="1"/>
  <c r="E890" i="1"/>
  <c r="D890" i="1"/>
  <c r="C890" i="1"/>
  <c r="B890" i="1"/>
  <c r="A890" i="1"/>
  <c r="J889" i="1"/>
  <c r="H889" i="1"/>
  <c r="G889" i="1"/>
  <c r="F889" i="1"/>
  <c r="E889" i="1"/>
  <c r="D889" i="1"/>
  <c r="C889" i="1"/>
  <c r="B889" i="1"/>
  <c r="A889" i="1"/>
  <c r="J888" i="1"/>
  <c r="H888" i="1"/>
  <c r="G888" i="1"/>
  <c r="F888" i="1"/>
  <c r="E888" i="1"/>
  <c r="D888" i="1"/>
  <c r="C888" i="1"/>
  <c r="B888" i="1"/>
  <c r="A888" i="1"/>
  <c r="J887" i="1"/>
  <c r="H887" i="1"/>
  <c r="G887" i="1"/>
  <c r="F887" i="1"/>
  <c r="E887" i="1"/>
  <c r="D887" i="1"/>
  <c r="C887" i="1"/>
  <c r="B887" i="1"/>
  <c r="A887" i="1"/>
  <c r="J886" i="1"/>
  <c r="H886" i="1"/>
  <c r="G886" i="1"/>
  <c r="F886" i="1"/>
  <c r="E886" i="1"/>
  <c r="D886" i="1"/>
  <c r="C886" i="1"/>
  <c r="B886" i="1"/>
  <c r="A886" i="1"/>
  <c r="J885" i="1"/>
  <c r="H885" i="1"/>
  <c r="G885" i="1"/>
  <c r="F885" i="1"/>
  <c r="E885" i="1"/>
  <c r="D885" i="1"/>
  <c r="C885" i="1"/>
  <c r="B885" i="1"/>
  <c r="A885" i="1"/>
  <c r="J884" i="1"/>
  <c r="H884" i="1"/>
  <c r="G884" i="1"/>
  <c r="F884" i="1"/>
  <c r="E884" i="1"/>
  <c r="D884" i="1"/>
  <c r="C884" i="1"/>
  <c r="B884" i="1"/>
  <c r="A884" i="1"/>
  <c r="J883" i="1"/>
  <c r="I883" i="1"/>
  <c r="H883" i="1"/>
  <c r="G883" i="1"/>
  <c r="F883" i="1"/>
  <c r="E883" i="1"/>
  <c r="D883" i="1"/>
  <c r="C883" i="1"/>
  <c r="B883" i="1"/>
  <c r="A883" i="1"/>
  <c r="J882" i="1"/>
  <c r="I882" i="1"/>
  <c r="H882" i="1"/>
  <c r="G882" i="1"/>
  <c r="F882" i="1"/>
  <c r="E882" i="1"/>
  <c r="D882" i="1"/>
  <c r="C882" i="1"/>
  <c r="B882" i="1"/>
  <c r="A882" i="1"/>
  <c r="J881" i="1"/>
  <c r="I881" i="1"/>
  <c r="H881" i="1"/>
  <c r="G881" i="1"/>
  <c r="F881" i="1"/>
  <c r="E881" i="1"/>
  <c r="D881" i="1"/>
  <c r="C881" i="1"/>
  <c r="B881" i="1"/>
  <c r="A881" i="1"/>
  <c r="J880" i="1"/>
  <c r="I880" i="1"/>
  <c r="H880" i="1"/>
  <c r="G880" i="1"/>
  <c r="F880" i="1"/>
  <c r="E880" i="1"/>
  <c r="D880" i="1"/>
  <c r="C880" i="1"/>
  <c r="B880" i="1"/>
  <c r="A880" i="1"/>
  <c r="J879" i="1"/>
  <c r="I879" i="1"/>
  <c r="H879" i="1"/>
  <c r="G879" i="1"/>
  <c r="F879" i="1"/>
  <c r="E879" i="1"/>
  <c r="D879" i="1"/>
  <c r="C879" i="1"/>
  <c r="B879" i="1"/>
  <c r="A879" i="1"/>
  <c r="J878" i="1"/>
  <c r="I878" i="1"/>
  <c r="H878" i="1"/>
  <c r="G878" i="1"/>
  <c r="F878" i="1"/>
  <c r="E878" i="1"/>
  <c r="D878" i="1"/>
  <c r="C878" i="1"/>
  <c r="B878" i="1"/>
  <c r="A878" i="1"/>
  <c r="J877" i="1"/>
  <c r="I877" i="1"/>
  <c r="H877" i="1"/>
  <c r="G877" i="1"/>
  <c r="F877" i="1"/>
  <c r="E877" i="1"/>
  <c r="D877" i="1"/>
  <c r="C877" i="1"/>
  <c r="B877" i="1"/>
  <c r="A877" i="1"/>
  <c r="J876" i="1"/>
  <c r="I876" i="1"/>
  <c r="H876" i="1"/>
  <c r="G876" i="1"/>
  <c r="F876" i="1"/>
  <c r="E876" i="1"/>
  <c r="D876" i="1"/>
  <c r="C876" i="1"/>
  <c r="B876" i="1"/>
  <c r="A876" i="1"/>
  <c r="J875" i="1"/>
  <c r="I875" i="1"/>
  <c r="H875" i="1"/>
  <c r="G875" i="1"/>
  <c r="F875" i="1"/>
  <c r="E875" i="1"/>
  <c r="D875" i="1"/>
  <c r="C875" i="1"/>
  <c r="B875" i="1"/>
  <c r="A875" i="1"/>
  <c r="J874" i="1"/>
  <c r="I874" i="1"/>
  <c r="H874" i="1"/>
  <c r="G874" i="1"/>
  <c r="F874" i="1"/>
  <c r="E874" i="1"/>
  <c r="D874" i="1"/>
  <c r="C874" i="1"/>
  <c r="B874" i="1"/>
  <c r="A874" i="1"/>
  <c r="J873" i="1"/>
  <c r="I873" i="1"/>
  <c r="H873" i="1"/>
  <c r="G873" i="1"/>
  <c r="F873" i="1"/>
  <c r="E873" i="1"/>
  <c r="D873" i="1"/>
  <c r="C873" i="1"/>
  <c r="B873" i="1"/>
  <c r="A873" i="1"/>
  <c r="J872" i="1"/>
  <c r="I872" i="1"/>
  <c r="H872" i="1"/>
  <c r="G872" i="1"/>
  <c r="F872" i="1"/>
  <c r="E872" i="1"/>
  <c r="D872" i="1"/>
  <c r="C872" i="1"/>
  <c r="B872" i="1"/>
  <c r="A872" i="1"/>
  <c r="J871" i="1"/>
  <c r="I871" i="1"/>
  <c r="H871" i="1"/>
  <c r="G871" i="1"/>
  <c r="F871" i="1"/>
  <c r="E871" i="1"/>
  <c r="D871" i="1"/>
  <c r="C871" i="1"/>
  <c r="B871" i="1"/>
  <c r="A871" i="1"/>
  <c r="J870" i="1"/>
  <c r="I870" i="1"/>
  <c r="H870" i="1"/>
  <c r="G870" i="1"/>
  <c r="F870" i="1"/>
  <c r="E870" i="1"/>
  <c r="D870" i="1"/>
  <c r="C870" i="1"/>
  <c r="B870" i="1"/>
  <c r="A870" i="1"/>
  <c r="J869" i="1"/>
  <c r="I869" i="1"/>
  <c r="H869" i="1"/>
  <c r="G869" i="1"/>
  <c r="F869" i="1"/>
  <c r="E869" i="1"/>
  <c r="D869" i="1"/>
  <c r="C869" i="1"/>
  <c r="B869" i="1"/>
  <c r="A869" i="1"/>
  <c r="J868" i="1"/>
  <c r="I868" i="1"/>
  <c r="H868" i="1"/>
  <c r="G868" i="1"/>
  <c r="F868" i="1"/>
  <c r="E868" i="1"/>
  <c r="D868" i="1"/>
  <c r="C868" i="1"/>
  <c r="B868" i="1"/>
  <c r="A868" i="1"/>
  <c r="J867" i="1"/>
  <c r="I867" i="1"/>
  <c r="H867" i="1"/>
  <c r="G867" i="1"/>
  <c r="F867" i="1"/>
  <c r="E867" i="1"/>
  <c r="D867" i="1"/>
  <c r="C867" i="1"/>
  <c r="B867" i="1"/>
  <c r="A867" i="1"/>
  <c r="J866" i="1"/>
  <c r="I866" i="1"/>
  <c r="H866" i="1"/>
  <c r="G866" i="1"/>
  <c r="F866" i="1"/>
  <c r="E866" i="1"/>
  <c r="D866" i="1"/>
  <c r="C866" i="1"/>
  <c r="B866" i="1"/>
  <c r="A866" i="1"/>
  <c r="J865" i="1"/>
  <c r="I865" i="1"/>
  <c r="H865" i="1"/>
  <c r="G865" i="1"/>
  <c r="F865" i="1"/>
  <c r="E865" i="1"/>
  <c r="D865" i="1"/>
  <c r="C865" i="1"/>
  <c r="B865" i="1"/>
  <c r="A865" i="1"/>
  <c r="J864" i="1"/>
  <c r="I864" i="1"/>
  <c r="H864" i="1"/>
  <c r="G864" i="1"/>
  <c r="F864" i="1"/>
  <c r="E864" i="1"/>
  <c r="D864" i="1"/>
  <c r="C864" i="1"/>
  <c r="B864" i="1"/>
  <c r="A864" i="1"/>
  <c r="J863" i="1"/>
  <c r="I863" i="1"/>
  <c r="H863" i="1"/>
  <c r="G863" i="1"/>
  <c r="F863" i="1"/>
  <c r="E863" i="1"/>
  <c r="D863" i="1"/>
  <c r="C863" i="1"/>
  <c r="B863" i="1"/>
  <c r="A863" i="1"/>
  <c r="J862" i="1"/>
  <c r="I862" i="1"/>
  <c r="H862" i="1"/>
  <c r="G862" i="1"/>
  <c r="F862" i="1"/>
  <c r="E862" i="1"/>
  <c r="D862" i="1"/>
  <c r="C862" i="1"/>
  <c r="B862" i="1"/>
  <c r="A862" i="1"/>
  <c r="J861" i="1"/>
  <c r="I861" i="1"/>
  <c r="H861" i="1"/>
  <c r="G861" i="1"/>
  <c r="F861" i="1"/>
  <c r="E861" i="1"/>
  <c r="D861" i="1"/>
  <c r="C861" i="1"/>
  <c r="B861" i="1"/>
  <c r="A861" i="1"/>
  <c r="J860" i="1"/>
  <c r="I860" i="1"/>
  <c r="H860" i="1"/>
  <c r="G860" i="1"/>
  <c r="F860" i="1"/>
  <c r="E860" i="1"/>
  <c r="D860" i="1"/>
  <c r="C860" i="1"/>
  <c r="B860" i="1"/>
  <c r="A860" i="1"/>
  <c r="J859" i="1"/>
  <c r="I859" i="1"/>
  <c r="H859" i="1"/>
  <c r="G859" i="1"/>
  <c r="F859" i="1"/>
  <c r="E859" i="1"/>
  <c r="D859" i="1"/>
  <c r="C859" i="1"/>
  <c r="B859" i="1"/>
  <c r="A859" i="1"/>
  <c r="J858" i="1"/>
  <c r="I858" i="1"/>
  <c r="H858" i="1"/>
  <c r="G858" i="1"/>
  <c r="F858" i="1"/>
  <c r="E858" i="1"/>
  <c r="D858" i="1"/>
  <c r="C858" i="1"/>
  <c r="B858" i="1"/>
  <c r="A858" i="1"/>
  <c r="J857" i="1"/>
  <c r="I857" i="1"/>
  <c r="H857" i="1"/>
  <c r="G857" i="1"/>
  <c r="F857" i="1"/>
  <c r="E857" i="1"/>
  <c r="D857" i="1"/>
  <c r="C857" i="1"/>
  <c r="B857" i="1"/>
  <c r="A857" i="1"/>
  <c r="J856" i="1"/>
  <c r="I856" i="1"/>
  <c r="H856" i="1"/>
  <c r="G856" i="1"/>
  <c r="F856" i="1"/>
  <c r="E856" i="1"/>
  <c r="D856" i="1"/>
  <c r="C856" i="1"/>
  <c r="B856" i="1"/>
  <c r="A856" i="1"/>
  <c r="J855" i="1"/>
  <c r="I855" i="1"/>
  <c r="H855" i="1"/>
  <c r="G855" i="1"/>
  <c r="F855" i="1"/>
  <c r="E855" i="1"/>
  <c r="D855" i="1"/>
  <c r="C855" i="1"/>
  <c r="B855" i="1"/>
  <c r="A855" i="1"/>
  <c r="J854" i="1"/>
  <c r="I854" i="1"/>
  <c r="H854" i="1"/>
  <c r="G854" i="1"/>
  <c r="F854" i="1"/>
  <c r="E854" i="1"/>
  <c r="D854" i="1"/>
  <c r="C854" i="1"/>
  <c r="B854" i="1"/>
  <c r="A854" i="1"/>
  <c r="J853" i="1"/>
  <c r="I853" i="1"/>
  <c r="H853" i="1"/>
  <c r="G853" i="1"/>
  <c r="F853" i="1"/>
  <c r="E853" i="1"/>
  <c r="D853" i="1"/>
  <c r="C853" i="1"/>
  <c r="B853" i="1"/>
  <c r="A853" i="1"/>
  <c r="J852" i="1"/>
  <c r="I852" i="1"/>
  <c r="H852" i="1"/>
  <c r="G852" i="1"/>
  <c r="F852" i="1"/>
  <c r="E852" i="1"/>
  <c r="D852" i="1"/>
  <c r="C852" i="1"/>
  <c r="B852" i="1"/>
  <c r="A852" i="1"/>
  <c r="J851" i="1"/>
  <c r="I851" i="1"/>
  <c r="H851" i="1"/>
  <c r="G851" i="1"/>
  <c r="F851" i="1"/>
  <c r="E851" i="1"/>
  <c r="D851" i="1"/>
  <c r="C851" i="1"/>
  <c r="B851" i="1"/>
  <c r="A851" i="1"/>
  <c r="J850" i="1"/>
  <c r="I850" i="1"/>
  <c r="H850" i="1"/>
  <c r="G850" i="1"/>
  <c r="F850" i="1"/>
  <c r="E850" i="1"/>
  <c r="D850" i="1"/>
  <c r="C850" i="1"/>
  <c r="B850" i="1"/>
  <c r="A850" i="1"/>
  <c r="J849" i="1"/>
  <c r="I849" i="1"/>
  <c r="H849" i="1"/>
  <c r="G849" i="1"/>
  <c r="F849" i="1"/>
  <c r="E849" i="1"/>
  <c r="D849" i="1"/>
  <c r="C849" i="1"/>
  <c r="B849" i="1"/>
  <c r="A849" i="1"/>
  <c r="J848" i="1"/>
  <c r="I848" i="1"/>
  <c r="H848" i="1"/>
  <c r="G848" i="1"/>
  <c r="F848" i="1"/>
  <c r="E848" i="1"/>
  <c r="D848" i="1"/>
  <c r="C848" i="1"/>
  <c r="B848" i="1"/>
  <c r="A848" i="1"/>
  <c r="J847" i="1"/>
  <c r="I847" i="1"/>
  <c r="H847" i="1"/>
  <c r="G847" i="1"/>
  <c r="F847" i="1"/>
  <c r="E847" i="1"/>
  <c r="D847" i="1"/>
  <c r="C847" i="1"/>
  <c r="B847" i="1"/>
  <c r="A847" i="1"/>
  <c r="J846" i="1"/>
  <c r="I846" i="1"/>
  <c r="H846" i="1"/>
  <c r="G846" i="1"/>
  <c r="F846" i="1"/>
  <c r="E846" i="1"/>
  <c r="D846" i="1"/>
  <c r="C846" i="1"/>
  <c r="B846" i="1"/>
  <c r="A846" i="1"/>
  <c r="J845" i="1"/>
  <c r="I845" i="1"/>
  <c r="H845" i="1"/>
  <c r="G845" i="1"/>
  <c r="F845" i="1"/>
  <c r="E845" i="1"/>
  <c r="D845" i="1"/>
  <c r="C845" i="1"/>
  <c r="B845" i="1"/>
  <c r="A845" i="1"/>
  <c r="J844" i="1"/>
  <c r="I844" i="1"/>
  <c r="H844" i="1"/>
  <c r="G844" i="1"/>
  <c r="F844" i="1"/>
  <c r="E844" i="1"/>
  <c r="D844" i="1"/>
  <c r="C844" i="1"/>
  <c r="B844" i="1"/>
  <c r="A844" i="1"/>
  <c r="J843" i="1"/>
  <c r="I843" i="1"/>
  <c r="H843" i="1"/>
  <c r="G843" i="1"/>
  <c r="F843" i="1"/>
  <c r="E843" i="1"/>
  <c r="D843" i="1"/>
  <c r="C843" i="1"/>
  <c r="B843" i="1"/>
  <c r="A843" i="1"/>
  <c r="J842" i="1"/>
  <c r="I842" i="1"/>
  <c r="H842" i="1"/>
  <c r="G842" i="1"/>
  <c r="F842" i="1"/>
  <c r="E842" i="1"/>
  <c r="D842" i="1"/>
  <c r="C842" i="1"/>
  <c r="B842" i="1"/>
  <c r="A842" i="1"/>
  <c r="J841" i="1"/>
  <c r="I841" i="1"/>
  <c r="H841" i="1"/>
  <c r="G841" i="1"/>
  <c r="F841" i="1"/>
  <c r="E841" i="1"/>
  <c r="D841" i="1"/>
  <c r="C841" i="1"/>
  <c r="B841" i="1"/>
  <c r="A841" i="1"/>
  <c r="J840" i="1"/>
  <c r="I840" i="1"/>
  <c r="H840" i="1"/>
  <c r="G840" i="1"/>
  <c r="F840" i="1"/>
  <c r="E840" i="1"/>
  <c r="D840" i="1"/>
  <c r="C840" i="1"/>
  <c r="B840" i="1"/>
  <c r="A840" i="1"/>
  <c r="J839" i="1"/>
  <c r="I839" i="1"/>
  <c r="H839" i="1"/>
  <c r="G839" i="1"/>
  <c r="F839" i="1"/>
  <c r="E839" i="1"/>
  <c r="D839" i="1"/>
  <c r="C839" i="1"/>
  <c r="B839" i="1"/>
  <c r="A839" i="1"/>
  <c r="J838" i="1"/>
  <c r="I838" i="1"/>
  <c r="H838" i="1"/>
  <c r="G838" i="1"/>
  <c r="F838" i="1"/>
  <c r="E838" i="1"/>
  <c r="D838" i="1"/>
  <c r="C838" i="1"/>
  <c r="B838" i="1"/>
  <c r="A838" i="1"/>
  <c r="J837" i="1"/>
  <c r="I837" i="1"/>
  <c r="H837" i="1"/>
  <c r="G837" i="1"/>
  <c r="F837" i="1"/>
  <c r="E837" i="1"/>
  <c r="D837" i="1"/>
  <c r="C837" i="1"/>
  <c r="B837" i="1"/>
  <c r="A837" i="1"/>
  <c r="J836" i="1"/>
  <c r="I836" i="1"/>
  <c r="H836" i="1"/>
  <c r="G836" i="1"/>
  <c r="F836" i="1"/>
  <c r="E836" i="1"/>
  <c r="D836" i="1"/>
  <c r="C836" i="1"/>
  <c r="B836" i="1"/>
  <c r="A836" i="1"/>
  <c r="J835" i="1"/>
  <c r="I835" i="1"/>
  <c r="H835" i="1"/>
  <c r="G835" i="1"/>
  <c r="F835" i="1"/>
  <c r="E835" i="1"/>
  <c r="D835" i="1"/>
  <c r="C835" i="1"/>
  <c r="B835" i="1"/>
  <c r="A835" i="1"/>
  <c r="J834" i="1"/>
  <c r="I834" i="1"/>
  <c r="H834" i="1"/>
  <c r="G834" i="1"/>
  <c r="F834" i="1"/>
  <c r="E834" i="1"/>
  <c r="D834" i="1"/>
  <c r="C834" i="1"/>
  <c r="B834" i="1"/>
  <c r="A834" i="1"/>
  <c r="J833" i="1"/>
  <c r="I833" i="1"/>
  <c r="H833" i="1"/>
  <c r="G833" i="1"/>
  <c r="F833" i="1"/>
  <c r="E833" i="1"/>
  <c r="D833" i="1"/>
  <c r="C833" i="1"/>
  <c r="B833" i="1"/>
  <c r="A833" i="1"/>
  <c r="J832" i="1"/>
  <c r="I832" i="1"/>
  <c r="H832" i="1"/>
  <c r="G832" i="1"/>
  <c r="F832" i="1"/>
  <c r="E832" i="1"/>
  <c r="D832" i="1"/>
  <c r="C832" i="1"/>
  <c r="B832" i="1"/>
  <c r="A832" i="1"/>
  <c r="J831" i="1"/>
  <c r="I831" i="1"/>
  <c r="H831" i="1"/>
  <c r="G831" i="1"/>
  <c r="F831" i="1"/>
  <c r="E831" i="1"/>
  <c r="D831" i="1"/>
  <c r="C831" i="1"/>
  <c r="B831" i="1"/>
  <c r="A831" i="1"/>
  <c r="J830" i="1"/>
  <c r="I830" i="1"/>
  <c r="H830" i="1"/>
  <c r="G830" i="1"/>
  <c r="F830" i="1"/>
  <c r="E830" i="1"/>
  <c r="D830" i="1"/>
  <c r="C830" i="1"/>
  <c r="B830" i="1"/>
  <c r="A830" i="1"/>
  <c r="J829" i="1"/>
  <c r="I829" i="1"/>
  <c r="H829" i="1"/>
  <c r="G829" i="1"/>
  <c r="F829" i="1"/>
  <c r="E829" i="1"/>
  <c r="D829" i="1"/>
  <c r="C829" i="1"/>
  <c r="B829" i="1"/>
  <c r="A829" i="1"/>
  <c r="J828" i="1"/>
  <c r="I828" i="1"/>
  <c r="H828" i="1"/>
  <c r="G828" i="1"/>
  <c r="F828" i="1"/>
  <c r="E828" i="1"/>
  <c r="D828" i="1"/>
  <c r="C828" i="1"/>
  <c r="B828" i="1"/>
  <c r="A828" i="1"/>
  <c r="J827" i="1"/>
  <c r="I827" i="1"/>
  <c r="H827" i="1"/>
  <c r="G827" i="1"/>
  <c r="F827" i="1"/>
  <c r="E827" i="1"/>
  <c r="D827" i="1"/>
  <c r="C827" i="1"/>
  <c r="B827" i="1"/>
  <c r="A827" i="1"/>
  <c r="J826" i="1"/>
  <c r="I826" i="1"/>
  <c r="H826" i="1"/>
  <c r="G826" i="1"/>
  <c r="F826" i="1"/>
  <c r="E826" i="1"/>
  <c r="D826" i="1"/>
  <c r="C826" i="1"/>
  <c r="B826" i="1"/>
  <c r="A826" i="1"/>
  <c r="J825" i="1"/>
  <c r="I825" i="1"/>
  <c r="H825" i="1"/>
  <c r="G825" i="1"/>
  <c r="F825" i="1"/>
  <c r="E825" i="1"/>
  <c r="D825" i="1"/>
  <c r="C825" i="1"/>
  <c r="B825" i="1"/>
  <c r="A825" i="1"/>
  <c r="J824" i="1"/>
  <c r="I824" i="1"/>
  <c r="H824" i="1"/>
  <c r="G824" i="1"/>
  <c r="F824" i="1"/>
  <c r="E824" i="1"/>
  <c r="D824" i="1"/>
  <c r="C824" i="1"/>
  <c r="B824" i="1"/>
  <c r="A824" i="1"/>
  <c r="J823" i="1"/>
  <c r="I823" i="1"/>
  <c r="H823" i="1"/>
  <c r="G823" i="1"/>
  <c r="F823" i="1"/>
  <c r="E823" i="1"/>
  <c r="D823" i="1"/>
  <c r="C823" i="1"/>
  <c r="B823" i="1"/>
  <c r="A823" i="1"/>
  <c r="J822" i="1"/>
  <c r="I822" i="1"/>
  <c r="H822" i="1"/>
  <c r="G822" i="1"/>
  <c r="F822" i="1"/>
  <c r="E822" i="1"/>
  <c r="D822" i="1"/>
  <c r="C822" i="1"/>
  <c r="B822" i="1"/>
  <c r="A822" i="1"/>
  <c r="J821" i="1"/>
  <c r="I821" i="1"/>
  <c r="H821" i="1"/>
  <c r="G821" i="1"/>
  <c r="F821" i="1"/>
  <c r="E821" i="1"/>
  <c r="D821" i="1"/>
  <c r="C821" i="1"/>
  <c r="B821" i="1"/>
  <c r="A821" i="1"/>
  <c r="J820" i="1"/>
  <c r="H820" i="1"/>
  <c r="G820" i="1"/>
  <c r="F820" i="1"/>
  <c r="E820" i="1"/>
  <c r="D820" i="1"/>
  <c r="C820" i="1"/>
  <c r="B820" i="1"/>
  <c r="A820" i="1"/>
  <c r="J819" i="1"/>
  <c r="H819" i="1"/>
  <c r="G819" i="1"/>
  <c r="F819" i="1"/>
  <c r="E819" i="1"/>
  <c r="D819" i="1"/>
  <c r="C819" i="1"/>
  <c r="B819" i="1"/>
  <c r="A819" i="1"/>
  <c r="J818" i="1"/>
  <c r="H818" i="1"/>
  <c r="G818" i="1"/>
  <c r="F818" i="1"/>
  <c r="E818" i="1"/>
  <c r="D818" i="1"/>
  <c r="C818" i="1"/>
  <c r="B818" i="1"/>
  <c r="A818" i="1"/>
  <c r="J817" i="1"/>
  <c r="H817" i="1"/>
  <c r="G817" i="1"/>
  <c r="F817" i="1"/>
  <c r="E817" i="1"/>
  <c r="D817" i="1"/>
  <c r="C817" i="1"/>
  <c r="B817" i="1"/>
  <c r="A817" i="1"/>
  <c r="J816" i="1"/>
  <c r="H816" i="1"/>
  <c r="G816" i="1"/>
  <c r="F816" i="1"/>
  <c r="E816" i="1"/>
  <c r="D816" i="1"/>
  <c r="C816" i="1"/>
  <c r="B816" i="1"/>
  <c r="A816" i="1"/>
  <c r="J815" i="1"/>
  <c r="H815" i="1"/>
  <c r="G815" i="1"/>
  <c r="F815" i="1"/>
  <c r="E815" i="1"/>
  <c r="D815" i="1"/>
  <c r="C815" i="1"/>
  <c r="B815" i="1"/>
  <c r="A815" i="1"/>
  <c r="J814" i="1"/>
  <c r="H814" i="1"/>
  <c r="G814" i="1"/>
  <c r="F814" i="1"/>
  <c r="E814" i="1"/>
  <c r="D814" i="1"/>
  <c r="C814" i="1"/>
  <c r="B814" i="1"/>
  <c r="A814" i="1"/>
  <c r="J813" i="1"/>
  <c r="I813" i="1"/>
  <c r="H813" i="1"/>
  <c r="G813" i="1"/>
  <c r="F813" i="1"/>
  <c r="E813" i="1"/>
  <c r="D813" i="1"/>
  <c r="C813" i="1"/>
  <c r="B813" i="1"/>
  <c r="A813" i="1"/>
  <c r="J812" i="1"/>
  <c r="I812" i="1"/>
  <c r="H812" i="1"/>
  <c r="G812" i="1"/>
  <c r="F812" i="1"/>
  <c r="E812" i="1"/>
  <c r="D812" i="1"/>
  <c r="C812" i="1"/>
  <c r="B812" i="1"/>
  <c r="A812" i="1"/>
  <c r="J811" i="1"/>
  <c r="I811" i="1"/>
  <c r="H811" i="1"/>
  <c r="G811" i="1"/>
  <c r="F811" i="1"/>
  <c r="E811" i="1"/>
  <c r="D811" i="1"/>
  <c r="C811" i="1"/>
  <c r="B811" i="1"/>
  <c r="A811" i="1"/>
  <c r="J810" i="1"/>
  <c r="I810" i="1"/>
  <c r="H810" i="1"/>
  <c r="G810" i="1"/>
  <c r="F810" i="1"/>
  <c r="E810" i="1"/>
  <c r="D810" i="1"/>
  <c r="C810" i="1"/>
  <c r="B810" i="1"/>
  <c r="A810" i="1"/>
  <c r="J809" i="1"/>
  <c r="I809" i="1"/>
  <c r="H809" i="1"/>
  <c r="G809" i="1"/>
  <c r="F809" i="1"/>
  <c r="E809" i="1"/>
  <c r="D809" i="1"/>
  <c r="C809" i="1"/>
  <c r="B809" i="1"/>
  <c r="A809" i="1"/>
  <c r="J808" i="1"/>
  <c r="I808" i="1"/>
  <c r="H808" i="1"/>
  <c r="G808" i="1"/>
  <c r="F808" i="1"/>
  <c r="E808" i="1"/>
  <c r="D808" i="1"/>
  <c r="C808" i="1"/>
  <c r="B808" i="1"/>
  <c r="A808" i="1"/>
  <c r="J807" i="1"/>
  <c r="I807" i="1"/>
  <c r="H807" i="1"/>
  <c r="G807" i="1"/>
  <c r="F807" i="1"/>
  <c r="E807" i="1"/>
  <c r="D807" i="1"/>
  <c r="C807" i="1"/>
  <c r="B807" i="1"/>
  <c r="A807" i="1"/>
  <c r="J806" i="1"/>
  <c r="I806" i="1"/>
  <c r="H806" i="1"/>
  <c r="G806" i="1"/>
  <c r="F806" i="1"/>
  <c r="E806" i="1"/>
  <c r="D806" i="1"/>
  <c r="C806" i="1"/>
  <c r="B806" i="1"/>
  <c r="A806" i="1"/>
  <c r="J805" i="1"/>
  <c r="I805" i="1"/>
  <c r="H805" i="1"/>
  <c r="G805" i="1"/>
  <c r="F805" i="1"/>
  <c r="E805" i="1"/>
  <c r="D805" i="1"/>
  <c r="C805" i="1"/>
  <c r="B805" i="1"/>
  <c r="A805" i="1"/>
  <c r="J804" i="1"/>
  <c r="I804" i="1"/>
  <c r="H804" i="1"/>
  <c r="G804" i="1"/>
  <c r="F804" i="1"/>
  <c r="E804" i="1"/>
  <c r="D804" i="1"/>
  <c r="C804" i="1"/>
  <c r="B804" i="1"/>
  <c r="A804" i="1"/>
  <c r="J803" i="1"/>
  <c r="I803" i="1"/>
  <c r="H803" i="1"/>
  <c r="G803" i="1"/>
  <c r="F803" i="1"/>
  <c r="E803" i="1"/>
  <c r="D803" i="1"/>
  <c r="C803" i="1"/>
  <c r="B803" i="1"/>
  <c r="A803" i="1"/>
  <c r="J802" i="1"/>
  <c r="I802" i="1"/>
  <c r="H802" i="1"/>
  <c r="G802" i="1"/>
  <c r="F802" i="1"/>
  <c r="E802" i="1"/>
  <c r="D802" i="1"/>
  <c r="C802" i="1"/>
  <c r="B802" i="1"/>
  <c r="A802" i="1"/>
  <c r="J801" i="1"/>
  <c r="I801" i="1"/>
  <c r="H801" i="1"/>
  <c r="G801" i="1"/>
  <c r="F801" i="1"/>
  <c r="E801" i="1"/>
  <c r="D801" i="1"/>
  <c r="C801" i="1"/>
  <c r="B801" i="1"/>
  <c r="A801" i="1"/>
  <c r="J800" i="1"/>
  <c r="I800" i="1"/>
  <c r="H800" i="1"/>
  <c r="G800" i="1"/>
  <c r="F800" i="1"/>
  <c r="E800" i="1"/>
  <c r="D800" i="1"/>
  <c r="C800" i="1"/>
  <c r="B800" i="1"/>
  <c r="A800" i="1"/>
  <c r="J799" i="1"/>
  <c r="I799" i="1"/>
  <c r="H799" i="1"/>
  <c r="G799" i="1"/>
  <c r="F799" i="1"/>
  <c r="E799" i="1"/>
  <c r="D799" i="1"/>
  <c r="C799" i="1"/>
  <c r="B799" i="1"/>
  <c r="A799" i="1"/>
  <c r="J798" i="1"/>
  <c r="I798" i="1"/>
  <c r="H798" i="1"/>
  <c r="G798" i="1"/>
  <c r="F798" i="1"/>
  <c r="E798" i="1"/>
  <c r="D798" i="1"/>
  <c r="C798" i="1"/>
  <c r="B798" i="1"/>
  <c r="A798" i="1"/>
  <c r="J797" i="1"/>
  <c r="I797" i="1"/>
  <c r="H797" i="1"/>
  <c r="G797" i="1"/>
  <c r="F797" i="1"/>
  <c r="E797" i="1"/>
  <c r="D797" i="1"/>
  <c r="C797" i="1"/>
  <c r="B797" i="1"/>
  <c r="A797" i="1"/>
  <c r="J796" i="1"/>
  <c r="I796" i="1"/>
  <c r="H796" i="1"/>
  <c r="G796" i="1"/>
  <c r="F796" i="1"/>
  <c r="E796" i="1"/>
  <c r="D796" i="1"/>
  <c r="C796" i="1"/>
  <c r="B796" i="1"/>
  <c r="A796" i="1"/>
  <c r="J795" i="1"/>
  <c r="I795" i="1"/>
  <c r="H795" i="1"/>
  <c r="G795" i="1"/>
  <c r="F795" i="1"/>
  <c r="E795" i="1"/>
  <c r="D795" i="1"/>
  <c r="C795" i="1"/>
  <c r="B795" i="1"/>
  <c r="A795" i="1"/>
  <c r="J794" i="1"/>
  <c r="I794" i="1"/>
  <c r="H794" i="1"/>
  <c r="G794" i="1"/>
  <c r="F794" i="1"/>
  <c r="E794" i="1"/>
  <c r="D794" i="1"/>
  <c r="C794" i="1"/>
  <c r="B794" i="1"/>
  <c r="A794" i="1"/>
  <c r="J793" i="1"/>
  <c r="I793" i="1"/>
  <c r="H793" i="1"/>
  <c r="G793" i="1"/>
  <c r="F793" i="1"/>
  <c r="E793" i="1"/>
  <c r="D793" i="1"/>
  <c r="C793" i="1"/>
  <c r="B793" i="1"/>
  <c r="A793" i="1"/>
  <c r="J792" i="1"/>
  <c r="I792" i="1"/>
  <c r="H792" i="1"/>
  <c r="G792" i="1"/>
  <c r="F792" i="1"/>
  <c r="E792" i="1"/>
  <c r="D792" i="1"/>
  <c r="C792" i="1"/>
  <c r="B792" i="1"/>
  <c r="A792" i="1"/>
  <c r="J791" i="1"/>
  <c r="I791" i="1"/>
  <c r="H791" i="1"/>
  <c r="G791" i="1"/>
  <c r="F791" i="1"/>
  <c r="E791" i="1"/>
  <c r="D791" i="1"/>
  <c r="C791" i="1"/>
  <c r="B791" i="1"/>
  <c r="A791" i="1"/>
  <c r="J790" i="1"/>
  <c r="I790" i="1"/>
  <c r="H790" i="1"/>
  <c r="G790" i="1"/>
  <c r="F790" i="1"/>
  <c r="E790" i="1"/>
  <c r="D790" i="1"/>
  <c r="C790" i="1"/>
  <c r="B790" i="1"/>
  <c r="A790" i="1"/>
  <c r="J789" i="1"/>
  <c r="I789" i="1"/>
  <c r="H789" i="1"/>
  <c r="G789" i="1"/>
  <c r="F789" i="1"/>
  <c r="E789" i="1"/>
  <c r="D789" i="1"/>
  <c r="C789" i="1"/>
  <c r="B789" i="1"/>
  <c r="A789" i="1"/>
  <c r="J788" i="1"/>
  <c r="I788" i="1"/>
  <c r="H788" i="1"/>
  <c r="G788" i="1"/>
  <c r="F788" i="1"/>
  <c r="E788" i="1"/>
  <c r="D788" i="1"/>
  <c r="C788" i="1"/>
  <c r="B788" i="1"/>
  <c r="A788" i="1"/>
  <c r="J787" i="1"/>
  <c r="I787" i="1"/>
  <c r="H787" i="1"/>
  <c r="G787" i="1"/>
  <c r="F787" i="1"/>
  <c r="E787" i="1"/>
  <c r="D787" i="1"/>
  <c r="C787" i="1"/>
  <c r="B787" i="1"/>
  <c r="A787" i="1"/>
  <c r="J786" i="1"/>
  <c r="I786" i="1"/>
  <c r="H786" i="1"/>
  <c r="G786" i="1"/>
  <c r="F786" i="1"/>
  <c r="E786" i="1"/>
  <c r="D786" i="1"/>
  <c r="C786" i="1"/>
  <c r="B786" i="1"/>
  <c r="A786" i="1"/>
  <c r="J785" i="1"/>
  <c r="I785" i="1"/>
  <c r="H785" i="1"/>
  <c r="G785" i="1"/>
  <c r="F785" i="1"/>
  <c r="E785" i="1"/>
  <c r="D785" i="1"/>
  <c r="C785" i="1"/>
  <c r="B785" i="1"/>
  <c r="A785" i="1"/>
  <c r="J784" i="1"/>
  <c r="I784" i="1"/>
  <c r="H784" i="1"/>
  <c r="G784" i="1"/>
  <c r="F784" i="1"/>
  <c r="E784" i="1"/>
  <c r="D784" i="1"/>
  <c r="C784" i="1"/>
  <c r="B784" i="1"/>
  <c r="A784" i="1"/>
  <c r="J783" i="1"/>
  <c r="I783" i="1"/>
  <c r="H783" i="1"/>
  <c r="G783" i="1"/>
  <c r="F783" i="1"/>
  <c r="E783" i="1"/>
  <c r="D783" i="1"/>
  <c r="C783" i="1"/>
  <c r="B783" i="1"/>
  <c r="A783" i="1"/>
  <c r="J782" i="1"/>
  <c r="I782" i="1"/>
  <c r="H782" i="1"/>
  <c r="G782" i="1"/>
  <c r="F782" i="1"/>
  <c r="E782" i="1"/>
  <c r="D782" i="1"/>
  <c r="C782" i="1"/>
  <c r="B782" i="1"/>
  <c r="A782" i="1"/>
  <c r="J781" i="1"/>
  <c r="I781" i="1"/>
  <c r="H781" i="1"/>
  <c r="G781" i="1"/>
  <c r="F781" i="1"/>
  <c r="E781" i="1"/>
  <c r="D781" i="1"/>
  <c r="C781" i="1"/>
  <c r="B781" i="1"/>
  <c r="A781" i="1"/>
  <c r="J780" i="1"/>
  <c r="I780" i="1"/>
  <c r="H780" i="1"/>
  <c r="G780" i="1"/>
  <c r="F780" i="1"/>
  <c r="E780" i="1"/>
  <c r="D780" i="1"/>
  <c r="C780" i="1"/>
  <c r="B780" i="1"/>
  <c r="A780" i="1"/>
  <c r="J779" i="1"/>
  <c r="I779" i="1"/>
  <c r="H779" i="1"/>
  <c r="G779" i="1"/>
  <c r="F779" i="1"/>
  <c r="E779" i="1"/>
  <c r="D779" i="1"/>
  <c r="C779" i="1"/>
  <c r="B779" i="1"/>
  <c r="A779" i="1"/>
  <c r="J778" i="1"/>
  <c r="I778" i="1"/>
  <c r="H778" i="1"/>
  <c r="G778" i="1"/>
  <c r="F778" i="1"/>
  <c r="E778" i="1"/>
  <c r="D778" i="1"/>
  <c r="C778" i="1"/>
  <c r="B778" i="1"/>
  <c r="A778" i="1"/>
  <c r="J777" i="1"/>
  <c r="I777" i="1"/>
  <c r="H777" i="1"/>
  <c r="G777" i="1"/>
  <c r="F777" i="1"/>
  <c r="E777" i="1"/>
  <c r="D777" i="1"/>
  <c r="C777" i="1"/>
  <c r="B777" i="1"/>
  <c r="A777" i="1"/>
  <c r="J776" i="1"/>
  <c r="I776" i="1"/>
  <c r="H776" i="1"/>
  <c r="G776" i="1"/>
  <c r="F776" i="1"/>
  <c r="E776" i="1"/>
  <c r="D776" i="1"/>
  <c r="C776" i="1"/>
  <c r="B776" i="1"/>
  <c r="A776" i="1"/>
  <c r="J775" i="1"/>
  <c r="I775" i="1"/>
  <c r="H775" i="1"/>
  <c r="G775" i="1"/>
  <c r="F775" i="1"/>
  <c r="E775" i="1"/>
  <c r="D775" i="1"/>
  <c r="C775" i="1"/>
  <c r="B775" i="1"/>
  <c r="A775" i="1"/>
  <c r="J774" i="1"/>
  <c r="I774" i="1"/>
  <c r="H774" i="1"/>
  <c r="G774" i="1"/>
  <c r="F774" i="1"/>
  <c r="E774" i="1"/>
  <c r="D774" i="1"/>
  <c r="C774" i="1"/>
  <c r="B774" i="1"/>
  <c r="A774" i="1"/>
  <c r="J773" i="1"/>
  <c r="I773" i="1"/>
  <c r="H773" i="1"/>
  <c r="G773" i="1"/>
  <c r="F773" i="1"/>
  <c r="E773" i="1"/>
  <c r="D773" i="1"/>
  <c r="C773" i="1"/>
  <c r="B773" i="1"/>
  <c r="A773" i="1"/>
  <c r="J772" i="1"/>
  <c r="I772" i="1"/>
  <c r="H772" i="1"/>
  <c r="G772" i="1"/>
  <c r="F772" i="1"/>
  <c r="E772" i="1"/>
  <c r="D772" i="1"/>
  <c r="C772" i="1"/>
  <c r="B772" i="1"/>
  <c r="A772" i="1"/>
  <c r="J771" i="1"/>
  <c r="I771" i="1"/>
  <c r="H771" i="1"/>
  <c r="G771" i="1"/>
  <c r="F771" i="1"/>
  <c r="E771" i="1"/>
  <c r="D771" i="1"/>
  <c r="C771" i="1"/>
  <c r="B771" i="1"/>
  <c r="A771" i="1"/>
  <c r="J770" i="1"/>
  <c r="I770" i="1"/>
  <c r="H770" i="1"/>
  <c r="G770" i="1"/>
  <c r="F770" i="1"/>
  <c r="E770" i="1"/>
  <c r="D770" i="1"/>
  <c r="C770" i="1"/>
  <c r="B770" i="1"/>
  <c r="A770" i="1"/>
  <c r="J769" i="1"/>
  <c r="I769" i="1"/>
  <c r="H769" i="1"/>
  <c r="G769" i="1"/>
  <c r="F769" i="1"/>
  <c r="E769" i="1"/>
  <c r="D769" i="1"/>
  <c r="C769" i="1"/>
  <c r="B769" i="1"/>
  <c r="A769" i="1"/>
  <c r="J768" i="1"/>
  <c r="I768" i="1"/>
  <c r="H768" i="1"/>
  <c r="G768" i="1"/>
  <c r="F768" i="1"/>
  <c r="E768" i="1"/>
  <c r="D768" i="1"/>
  <c r="C768" i="1"/>
  <c r="B768" i="1"/>
  <c r="A768" i="1"/>
  <c r="J767" i="1"/>
  <c r="I767" i="1"/>
  <c r="H767" i="1"/>
  <c r="G767" i="1"/>
  <c r="F767" i="1"/>
  <c r="E767" i="1"/>
  <c r="D767" i="1"/>
  <c r="C767" i="1"/>
  <c r="B767" i="1"/>
  <c r="A767" i="1"/>
  <c r="J766" i="1"/>
  <c r="I766" i="1"/>
  <c r="H766" i="1"/>
  <c r="G766" i="1"/>
  <c r="F766" i="1"/>
  <c r="E766" i="1"/>
  <c r="D766" i="1"/>
  <c r="C766" i="1"/>
  <c r="B766" i="1"/>
  <c r="A766" i="1"/>
  <c r="J765" i="1"/>
  <c r="I765" i="1"/>
  <c r="H765" i="1"/>
  <c r="G765" i="1"/>
  <c r="F765" i="1"/>
  <c r="E765" i="1"/>
  <c r="D765" i="1"/>
  <c r="C765" i="1"/>
  <c r="B765" i="1"/>
  <c r="A765" i="1"/>
  <c r="J764" i="1"/>
  <c r="I764" i="1"/>
  <c r="H764" i="1"/>
  <c r="G764" i="1"/>
  <c r="F764" i="1"/>
  <c r="E764" i="1"/>
  <c r="D764" i="1"/>
  <c r="C764" i="1"/>
  <c r="B764" i="1"/>
  <c r="A764" i="1"/>
  <c r="J763" i="1"/>
  <c r="I763" i="1"/>
  <c r="H763" i="1"/>
  <c r="G763" i="1"/>
  <c r="F763" i="1"/>
  <c r="E763" i="1"/>
  <c r="D763" i="1"/>
  <c r="C763" i="1"/>
  <c r="B763" i="1"/>
  <c r="A763" i="1"/>
  <c r="J762" i="1"/>
  <c r="I762" i="1"/>
  <c r="H762" i="1"/>
  <c r="G762" i="1"/>
  <c r="F762" i="1"/>
  <c r="E762" i="1"/>
  <c r="D762" i="1"/>
  <c r="C762" i="1"/>
  <c r="B762" i="1"/>
  <c r="A762" i="1"/>
  <c r="J761" i="1"/>
  <c r="I761" i="1"/>
  <c r="H761" i="1"/>
  <c r="G761" i="1"/>
  <c r="F761" i="1"/>
  <c r="E761" i="1"/>
  <c r="D761" i="1"/>
  <c r="C761" i="1"/>
  <c r="B761" i="1"/>
  <c r="A761" i="1"/>
  <c r="J760" i="1"/>
  <c r="I760" i="1"/>
  <c r="H760" i="1"/>
  <c r="G760" i="1"/>
  <c r="F760" i="1"/>
  <c r="E760" i="1"/>
  <c r="D760" i="1"/>
  <c r="C760" i="1"/>
  <c r="B760" i="1"/>
  <c r="A760" i="1"/>
  <c r="J759" i="1"/>
  <c r="I759" i="1"/>
  <c r="H759" i="1"/>
  <c r="G759" i="1"/>
  <c r="F759" i="1"/>
  <c r="E759" i="1"/>
  <c r="D759" i="1"/>
  <c r="C759" i="1"/>
  <c r="B759" i="1"/>
  <c r="A759" i="1"/>
  <c r="J758" i="1"/>
  <c r="I758" i="1"/>
  <c r="H758" i="1"/>
  <c r="G758" i="1"/>
  <c r="F758" i="1"/>
  <c r="E758" i="1"/>
  <c r="D758" i="1"/>
  <c r="C758" i="1"/>
  <c r="B758" i="1"/>
  <c r="A758" i="1"/>
  <c r="J757" i="1"/>
  <c r="I757" i="1"/>
  <c r="H757" i="1"/>
  <c r="G757" i="1"/>
  <c r="F757" i="1"/>
  <c r="E757" i="1"/>
  <c r="D757" i="1"/>
  <c r="C757" i="1"/>
  <c r="B757" i="1"/>
  <c r="A757" i="1"/>
  <c r="J756" i="1"/>
  <c r="I756" i="1"/>
  <c r="H756" i="1"/>
  <c r="G756" i="1"/>
  <c r="F756" i="1"/>
  <c r="E756" i="1"/>
  <c r="D756" i="1"/>
  <c r="C756" i="1"/>
  <c r="B756" i="1"/>
  <c r="A756" i="1"/>
  <c r="J755" i="1"/>
  <c r="I755" i="1"/>
  <c r="H755" i="1"/>
  <c r="G755" i="1"/>
  <c r="F755" i="1"/>
  <c r="E755" i="1"/>
  <c r="D755" i="1"/>
  <c r="C755" i="1"/>
  <c r="B755" i="1"/>
  <c r="A755" i="1"/>
  <c r="J754" i="1"/>
  <c r="I754" i="1"/>
  <c r="H754" i="1"/>
  <c r="G754" i="1"/>
  <c r="F754" i="1"/>
  <c r="E754" i="1"/>
  <c r="D754" i="1"/>
  <c r="C754" i="1"/>
  <c r="B754" i="1"/>
  <c r="A754" i="1"/>
  <c r="J753" i="1"/>
  <c r="I753" i="1"/>
  <c r="H753" i="1"/>
  <c r="G753" i="1"/>
  <c r="F753" i="1"/>
  <c r="E753" i="1"/>
  <c r="D753" i="1"/>
  <c r="C753" i="1"/>
  <c r="B753" i="1"/>
  <c r="A753" i="1"/>
  <c r="J752" i="1"/>
  <c r="I752" i="1"/>
  <c r="H752" i="1"/>
  <c r="G752" i="1"/>
  <c r="F752" i="1"/>
  <c r="E752" i="1"/>
  <c r="D752" i="1"/>
  <c r="C752" i="1"/>
  <c r="B752" i="1"/>
  <c r="A752" i="1"/>
  <c r="J751" i="1"/>
  <c r="I751" i="1"/>
  <c r="H751" i="1"/>
  <c r="G751" i="1"/>
  <c r="F751" i="1"/>
  <c r="E751" i="1"/>
  <c r="D751" i="1"/>
  <c r="C751" i="1"/>
  <c r="B751" i="1"/>
  <c r="A751" i="1"/>
  <c r="J750" i="1"/>
  <c r="I750" i="1"/>
  <c r="H750" i="1"/>
  <c r="G750" i="1"/>
  <c r="F750" i="1"/>
  <c r="E750" i="1"/>
  <c r="D750" i="1"/>
  <c r="C750" i="1"/>
  <c r="B750" i="1"/>
  <c r="A750" i="1"/>
  <c r="J749" i="1"/>
  <c r="I749" i="1"/>
  <c r="H749" i="1"/>
  <c r="G749" i="1"/>
  <c r="F749" i="1"/>
  <c r="E749" i="1"/>
  <c r="D749" i="1"/>
  <c r="C749" i="1"/>
  <c r="B749" i="1"/>
  <c r="A749" i="1"/>
  <c r="J748" i="1"/>
  <c r="I748" i="1"/>
  <c r="H748" i="1"/>
  <c r="G748" i="1"/>
  <c r="F748" i="1"/>
  <c r="E748" i="1"/>
  <c r="D748" i="1"/>
  <c r="C748" i="1"/>
  <c r="B748" i="1"/>
  <c r="A748" i="1"/>
  <c r="J747" i="1"/>
  <c r="I747" i="1"/>
  <c r="H747" i="1"/>
  <c r="G747" i="1"/>
  <c r="F747" i="1"/>
  <c r="E747" i="1"/>
  <c r="D747" i="1"/>
  <c r="C747" i="1"/>
  <c r="B747" i="1"/>
  <c r="A747" i="1"/>
  <c r="J746" i="1"/>
  <c r="I746" i="1"/>
  <c r="H746" i="1"/>
  <c r="G746" i="1"/>
  <c r="F746" i="1"/>
  <c r="E746" i="1"/>
  <c r="D746" i="1"/>
  <c r="C746" i="1"/>
  <c r="B746" i="1"/>
  <c r="A746" i="1"/>
  <c r="J745" i="1"/>
  <c r="I745" i="1"/>
  <c r="H745" i="1"/>
  <c r="G745" i="1"/>
  <c r="F745" i="1"/>
  <c r="E745" i="1"/>
  <c r="D745" i="1"/>
  <c r="C745" i="1"/>
  <c r="B745" i="1"/>
  <c r="A745" i="1"/>
  <c r="J744" i="1"/>
  <c r="I744" i="1"/>
  <c r="H744" i="1"/>
  <c r="G744" i="1"/>
  <c r="F744" i="1"/>
  <c r="E744" i="1"/>
  <c r="D744" i="1"/>
  <c r="C744" i="1"/>
  <c r="B744" i="1"/>
  <c r="A744" i="1"/>
  <c r="J743" i="1"/>
  <c r="H743" i="1"/>
  <c r="G743" i="1"/>
  <c r="F743" i="1"/>
  <c r="E743" i="1"/>
  <c r="D743" i="1"/>
  <c r="C743" i="1"/>
  <c r="B743" i="1"/>
  <c r="A743" i="1"/>
  <c r="J742" i="1"/>
  <c r="H742" i="1"/>
  <c r="G742" i="1"/>
  <c r="F742" i="1"/>
  <c r="E742" i="1"/>
  <c r="D742" i="1"/>
  <c r="C742" i="1"/>
  <c r="B742" i="1"/>
  <c r="A742" i="1"/>
  <c r="J741" i="1"/>
  <c r="H741" i="1"/>
  <c r="G741" i="1"/>
  <c r="F741" i="1"/>
  <c r="E741" i="1"/>
  <c r="D741" i="1"/>
  <c r="C741" i="1"/>
  <c r="B741" i="1"/>
  <c r="A741" i="1"/>
  <c r="J740" i="1"/>
  <c r="H740" i="1"/>
  <c r="G740" i="1"/>
  <c r="F740" i="1"/>
  <c r="E740" i="1"/>
  <c r="D740" i="1"/>
  <c r="C740" i="1"/>
  <c r="B740" i="1"/>
  <c r="A740" i="1"/>
  <c r="J739" i="1"/>
  <c r="H739" i="1"/>
  <c r="G739" i="1"/>
  <c r="F739" i="1"/>
  <c r="E739" i="1"/>
  <c r="D739" i="1"/>
  <c r="C739" i="1"/>
  <c r="B739" i="1"/>
  <c r="A739" i="1"/>
  <c r="J738" i="1"/>
  <c r="H738" i="1"/>
  <c r="G738" i="1"/>
  <c r="F738" i="1"/>
  <c r="E738" i="1"/>
  <c r="D738" i="1"/>
  <c r="C738" i="1"/>
  <c r="B738" i="1"/>
  <c r="A738" i="1"/>
  <c r="J737" i="1"/>
  <c r="H737" i="1"/>
  <c r="G737" i="1"/>
  <c r="F737" i="1"/>
  <c r="E737" i="1"/>
  <c r="D737" i="1"/>
  <c r="C737" i="1"/>
  <c r="B737" i="1"/>
  <c r="A737" i="1"/>
  <c r="J736" i="1"/>
  <c r="I736" i="1"/>
  <c r="H736" i="1"/>
  <c r="G736" i="1"/>
  <c r="F736" i="1"/>
  <c r="E736" i="1"/>
  <c r="D736" i="1"/>
  <c r="C736" i="1"/>
  <c r="B736" i="1"/>
  <c r="A736" i="1"/>
  <c r="J735" i="1"/>
  <c r="I735" i="1"/>
  <c r="H735" i="1"/>
  <c r="G735" i="1"/>
  <c r="F735" i="1"/>
  <c r="E735" i="1"/>
  <c r="D735" i="1"/>
  <c r="C735" i="1"/>
  <c r="B735" i="1"/>
  <c r="A735" i="1"/>
  <c r="J734" i="1"/>
  <c r="I734" i="1"/>
  <c r="H734" i="1"/>
  <c r="G734" i="1"/>
  <c r="F734" i="1"/>
  <c r="E734" i="1"/>
  <c r="D734" i="1"/>
  <c r="C734" i="1"/>
  <c r="B734" i="1"/>
  <c r="A734" i="1"/>
  <c r="J733" i="1"/>
  <c r="I733" i="1"/>
  <c r="H733" i="1"/>
  <c r="G733" i="1"/>
  <c r="F733" i="1"/>
  <c r="E733" i="1"/>
  <c r="D733" i="1"/>
  <c r="C733" i="1"/>
  <c r="B733" i="1"/>
  <c r="A733" i="1"/>
  <c r="J732" i="1"/>
  <c r="I732" i="1"/>
  <c r="H732" i="1"/>
  <c r="G732" i="1"/>
  <c r="F732" i="1"/>
  <c r="E732" i="1"/>
  <c r="D732" i="1"/>
  <c r="C732" i="1"/>
  <c r="B732" i="1"/>
  <c r="A732" i="1"/>
  <c r="J731" i="1"/>
  <c r="I731" i="1"/>
  <c r="H731" i="1"/>
  <c r="G731" i="1"/>
  <c r="F731" i="1"/>
  <c r="E731" i="1"/>
  <c r="D731" i="1"/>
  <c r="C731" i="1"/>
  <c r="B731" i="1"/>
  <c r="A731" i="1"/>
  <c r="J730" i="1"/>
  <c r="I730" i="1"/>
  <c r="H730" i="1"/>
  <c r="G730" i="1"/>
  <c r="F730" i="1"/>
  <c r="E730" i="1"/>
  <c r="D730" i="1"/>
  <c r="C730" i="1"/>
  <c r="B730" i="1"/>
  <c r="A730" i="1"/>
  <c r="J729" i="1"/>
  <c r="I729" i="1"/>
  <c r="H729" i="1"/>
  <c r="G729" i="1"/>
  <c r="F729" i="1"/>
  <c r="E729" i="1"/>
  <c r="D729" i="1"/>
  <c r="C729" i="1"/>
  <c r="B729" i="1"/>
  <c r="A729" i="1"/>
  <c r="J728" i="1"/>
  <c r="I728" i="1"/>
  <c r="H728" i="1"/>
  <c r="G728" i="1"/>
  <c r="F728" i="1"/>
  <c r="E728" i="1"/>
  <c r="D728" i="1"/>
  <c r="C728" i="1"/>
  <c r="B728" i="1"/>
  <c r="A728" i="1"/>
  <c r="J727" i="1"/>
  <c r="I727" i="1"/>
  <c r="H727" i="1"/>
  <c r="G727" i="1"/>
  <c r="F727" i="1"/>
  <c r="E727" i="1"/>
  <c r="D727" i="1"/>
  <c r="C727" i="1"/>
  <c r="B727" i="1"/>
  <c r="A727" i="1"/>
  <c r="J726" i="1"/>
  <c r="I726" i="1"/>
  <c r="H726" i="1"/>
  <c r="G726" i="1"/>
  <c r="F726" i="1"/>
  <c r="E726" i="1"/>
  <c r="D726" i="1"/>
  <c r="C726" i="1"/>
  <c r="B726" i="1"/>
  <c r="A726" i="1"/>
  <c r="J725" i="1"/>
  <c r="I725" i="1"/>
  <c r="H725" i="1"/>
  <c r="G725" i="1"/>
  <c r="F725" i="1"/>
  <c r="E725" i="1"/>
  <c r="D725" i="1"/>
  <c r="C725" i="1"/>
  <c r="B725" i="1"/>
  <c r="A725" i="1"/>
  <c r="J724" i="1"/>
  <c r="I724" i="1"/>
  <c r="H724" i="1"/>
  <c r="G724" i="1"/>
  <c r="F724" i="1"/>
  <c r="E724" i="1"/>
  <c r="D724" i="1"/>
  <c r="C724" i="1"/>
  <c r="B724" i="1"/>
  <c r="A724" i="1"/>
  <c r="J723" i="1"/>
  <c r="I723" i="1"/>
  <c r="H723" i="1"/>
  <c r="G723" i="1"/>
  <c r="F723" i="1"/>
  <c r="E723" i="1"/>
  <c r="D723" i="1"/>
  <c r="C723" i="1"/>
  <c r="B723" i="1"/>
  <c r="A723" i="1"/>
  <c r="J722" i="1"/>
  <c r="I722" i="1"/>
  <c r="H722" i="1"/>
  <c r="G722" i="1"/>
  <c r="F722" i="1"/>
  <c r="E722" i="1"/>
  <c r="D722" i="1"/>
  <c r="C722" i="1"/>
  <c r="B722" i="1"/>
  <c r="A722" i="1"/>
  <c r="J721" i="1"/>
  <c r="I721" i="1"/>
  <c r="H721" i="1"/>
  <c r="G721" i="1"/>
  <c r="F721" i="1"/>
  <c r="E721" i="1"/>
  <c r="D721" i="1"/>
  <c r="C721" i="1"/>
  <c r="B721" i="1"/>
  <c r="A721" i="1"/>
  <c r="J720" i="1"/>
  <c r="I720" i="1"/>
  <c r="H720" i="1"/>
  <c r="G720" i="1"/>
  <c r="F720" i="1"/>
  <c r="E720" i="1"/>
  <c r="D720" i="1"/>
  <c r="C720" i="1"/>
  <c r="B720" i="1"/>
  <c r="A720" i="1"/>
  <c r="J719" i="1"/>
  <c r="I719" i="1"/>
  <c r="H719" i="1"/>
  <c r="G719" i="1"/>
  <c r="F719" i="1"/>
  <c r="E719" i="1"/>
  <c r="D719" i="1"/>
  <c r="C719" i="1"/>
  <c r="B719" i="1"/>
  <c r="A719" i="1"/>
  <c r="J718" i="1"/>
  <c r="I718" i="1"/>
  <c r="H718" i="1"/>
  <c r="G718" i="1"/>
  <c r="F718" i="1"/>
  <c r="E718" i="1"/>
  <c r="D718" i="1"/>
  <c r="C718" i="1"/>
  <c r="B718" i="1"/>
  <c r="A718" i="1"/>
  <c r="J717" i="1"/>
  <c r="I717" i="1"/>
  <c r="H717" i="1"/>
  <c r="G717" i="1"/>
  <c r="F717" i="1"/>
  <c r="E717" i="1"/>
  <c r="D717" i="1"/>
  <c r="C717" i="1"/>
  <c r="B717" i="1"/>
  <c r="A717" i="1"/>
  <c r="J716" i="1"/>
  <c r="I716" i="1"/>
  <c r="H716" i="1"/>
  <c r="G716" i="1"/>
  <c r="F716" i="1"/>
  <c r="E716" i="1"/>
  <c r="D716" i="1"/>
  <c r="C716" i="1"/>
  <c r="B716" i="1"/>
  <c r="A716" i="1"/>
  <c r="J715" i="1"/>
  <c r="I715" i="1"/>
  <c r="H715" i="1"/>
  <c r="G715" i="1"/>
  <c r="F715" i="1"/>
  <c r="E715" i="1"/>
  <c r="D715" i="1"/>
  <c r="C715" i="1"/>
  <c r="B715" i="1"/>
  <c r="A715" i="1"/>
  <c r="J714" i="1"/>
  <c r="I714" i="1"/>
  <c r="H714" i="1"/>
  <c r="G714" i="1"/>
  <c r="F714" i="1"/>
  <c r="E714" i="1"/>
  <c r="D714" i="1"/>
  <c r="C714" i="1"/>
  <c r="B714" i="1"/>
  <c r="A714" i="1"/>
  <c r="J713" i="1"/>
  <c r="I713" i="1"/>
  <c r="H713" i="1"/>
  <c r="G713" i="1"/>
  <c r="F713" i="1"/>
  <c r="E713" i="1"/>
  <c r="D713" i="1"/>
  <c r="C713" i="1"/>
  <c r="B713" i="1"/>
  <c r="A713" i="1"/>
  <c r="J712" i="1"/>
  <c r="I712" i="1"/>
  <c r="H712" i="1"/>
  <c r="G712" i="1"/>
  <c r="F712" i="1"/>
  <c r="E712" i="1"/>
  <c r="D712" i="1"/>
  <c r="C712" i="1"/>
  <c r="B712" i="1"/>
  <c r="A712" i="1"/>
  <c r="J711" i="1"/>
  <c r="I711" i="1"/>
  <c r="H711" i="1"/>
  <c r="G711" i="1"/>
  <c r="F711" i="1"/>
  <c r="E711" i="1"/>
  <c r="D711" i="1"/>
  <c r="C711" i="1"/>
  <c r="B711" i="1"/>
  <c r="A711" i="1"/>
  <c r="J710" i="1"/>
  <c r="I710" i="1"/>
  <c r="H710" i="1"/>
  <c r="G710" i="1"/>
  <c r="F710" i="1"/>
  <c r="E710" i="1"/>
  <c r="D710" i="1"/>
  <c r="C710" i="1"/>
  <c r="B710" i="1"/>
  <c r="A710" i="1"/>
  <c r="J709" i="1"/>
  <c r="I709" i="1"/>
  <c r="H709" i="1"/>
  <c r="G709" i="1"/>
  <c r="F709" i="1"/>
  <c r="E709" i="1"/>
  <c r="D709" i="1"/>
  <c r="C709" i="1"/>
  <c r="B709" i="1"/>
  <c r="A709" i="1"/>
  <c r="J708" i="1"/>
  <c r="I708" i="1"/>
  <c r="H708" i="1"/>
  <c r="G708" i="1"/>
  <c r="F708" i="1"/>
  <c r="E708" i="1"/>
  <c r="D708" i="1"/>
  <c r="C708" i="1"/>
  <c r="B708" i="1"/>
  <c r="A708" i="1"/>
  <c r="J707" i="1"/>
  <c r="I707" i="1"/>
  <c r="H707" i="1"/>
  <c r="G707" i="1"/>
  <c r="F707" i="1"/>
  <c r="E707" i="1"/>
  <c r="D707" i="1"/>
  <c r="C707" i="1"/>
  <c r="B707" i="1"/>
  <c r="A707" i="1"/>
  <c r="J706" i="1"/>
  <c r="I706" i="1"/>
  <c r="H706" i="1"/>
  <c r="G706" i="1"/>
  <c r="F706" i="1"/>
  <c r="E706" i="1"/>
  <c r="D706" i="1"/>
  <c r="C706" i="1"/>
  <c r="B706" i="1"/>
  <c r="A706" i="1"/>
  <c r="J705" i="1"/>
  <c r="I705" i="1"/>
  <c r="H705" i="1"/>
  <c r="G705" i="1"/>
  <c r="F705" i="1"/>
  <c r="E705" i="1"/>
  <c r="D705" i="1"/>
  <c r="C705" i="1"/>
  <c r="B705" i="1"/>
  <c r="A705" i="1"/>
  <c r="J704" i="1"/>
  <c r="I704" i="1"/>
  <c r="H704" i="1"/>
  <c r="G704" i="1"/>
  <c r="F704" i="1"/>
  <c r="E704" i="1"/>
  <c r="D704" i="1"/>
  <c r="C704" i="1"/>
  <c r="B704" i="1"/>
  <c r="A704" i="1"/>
  <c r="J703" i="1"/>
  <c r="I703" i="1"/>
  <c r="H703" i="1"/>
  <c r="G703" i="1"/>
  <c r="F703" i="1"/>
  <c r="E703" i="1"/>
  <c r="D703" i="1"/>
  <c r="C703" i="1"/>
  <c r="B703" i="1"/>
  <c r="A703" i="1"/>
  <c r="J702" i="1"/>
  <c r="I702" i="1"/>
  <c r="H702" i="1"/>
  <c r="G702" i="1"/>
  <c r="F702" i="1"/>
  <c r="E702" i="1"/>
  <c r="D702" i="1"/>
  <c r="C702" i="1"/>
  <c r="B702" i="1"/>
  <c r="A702" i="1"/>
  <c r="J701" i="1"/>
  <c r="I701" i="1"/>
  <c r="H701" i="1"/>
  <c r="G701" i="1"/>
  <c r="F701" i="1"/>
  <c r="E701" i="1"/>
  <c r="D701" i="1"/>
  <c r="C701" i="1"/>
  <c r="B701" i="1"/>
  <c r="A701" i="1"/>
  <c r="J700" i="1"/>
  <c r="I700" i="1"/>
  <c r="H700" i="1"/>
  <c r="G700" i="1"/>
  <c r="F700" i="1"/>
  <c r="E700" i="1"/>
  <c r="D700" i="1"/>
  <c r="C700" i="1"/>
  <c r="B700" i="1"/>
  <c r="A700" i="1"/>
  <c r="J699" i="1"/>
  <c r="I699" i="1"/>
  <c r="H699" i="1"/>
  <c r="G699" i="1"/>
  <c r="F699" i="1"/>
  <c r="E699" i="1"/>
  <c r="D699" i="1"/>
  <c r="C699" i="1"/>
  <c r="B699" i="1"/>
  <c r="A699" i="1"/>
  <c r="J698" i="1"/>
  <c r="I698" i="1"/>
  <c r="H698" i="1"/>
  <c r="G698" i="1"/>
  <c r="F698" i="1"/>
  <c r="E698" i="1"/>
  <c r="D698" i="1"/>
  <c r="C698" i="1"/>
  <c r="B698" i="1"/>
  <c r="A698" i="1"/>
  <c r="J697" i="1"/>
  <c r="I697" i="1"/>
  <c r="H697" i="1"/>
  <c r="G697" i="1"/>
  <c r="F697" i="1"/>
  <c r="E697" i="1"/>
  <c r="D697" i="1"/>
  <c r="C697" i="1"/>
  <c r="B697" i="1"/>
  <c r="A697" i="1"/>
  <c r="J696" i="1"/>
  <c r="I696" i="1"/>
  <c r="H696" i="1"/>
  <c r="G696" i="1"/>
  <c r="F696" i="1"/>
  <c r="E696" i="1"/>
  <c r="D696" i="1"/>
  <c r="C696" i="1"/>
  <c r="B696" i="1"/>
  <c r="A696" i="1"/>
  <c r="J695" i="1"/>
  <c r="I695" i="1"/>
  <c r="H695" i="1"/>
  <c r="G695" i="1"/>
  <c r="F695" i="1"/>
  <c r="E695" i="1"/>
  <c r="D695" i="1"/>
  <c r="C695" i="1"/>
  <c r="B695" i="1"/>
  <c r="A695" i="1"/>
  <c r="J694" i="1"/>
  <c r="I694" i="1"/>
  <c r="H694" i="1"/>
  <c r="G694" i="1"/>
  <c r="F694" i="1"/>
  <c r="E694" i="1"/>
  <c r="D694" i="1"/>
  <c r="C694" i="1"/>
  <c r="B694" i="1"/>
  <c r="A694" i="1"/>
  <c r="J693" i="1"/>
  <c r="I693" i="1"/>
  <c r="H693" i="1"/>
  <c r="G693" i="1"/>
  <c r="F693" i="1"/>
  <c r="E693" i="1"/>
  <c r="D693" i="1"/>
  <c r="C693" i="1"/>
  <c r="B693" i="1"/>
  <c r="A693" i="1"/>
  <c r="J692" i="1"/>
  <c r="I692" i="1"/>
  <c r="H692" i="1"/>
  <c r="G692" i="1"/>
  <c r="F692" i="1"/>
  <c r="E692" i="1"/>
  <c r="D692" i="1"/>
  <c r="C692" i="1"/>
  <c r="B692" i="1"/>
  <c r="A692" i="1"/>
  <c r="J691" i="1"/>
  <c r="I691" i="1"/>
  <c r="H691" i="1"/>
  <c r="G691" i="1"/>
  <c r="F691" i="1"/>
  <c r="E691" i="1"/>
  <c r="D691" i="1"/>
  <c r="C691" i="1"/>
  <c r="B691" i="1"/>
  <c r="A691" i="1"/>
  <c r="J690" i="1"/>
  <c r="I690" i="1"/>
  <c r="H690" i="1"/>
  <c r="G690" i="1"/>
  <c r="F690" i="1"/>
  <c r="E690" i="1"/>
  <c r="D690" i="1"/>
  <c r="C690" i="1"/>
  <c r="B690" i="1"/>
  <c r="A690" i="1"/>
  <c r="J689" i="1"/>
  <c r="I689" i="1"/>
  <c r="H689" i="1"/>
  <c r="G689" i="1"/>
  <c r="F689" i="1"/>
  <c r="E689" i="1"/>
  <c r="D689" i="1"/>
  <c r="C689" i="1"/>
  <c r="B689" i="1"/>
  <c r="A689" i="1"/>
  <c r="J688" i="1"/>
  <c r="I688" i="1"/>
  <c r="H688" i="1"/>
  <c r="G688" i="1"/>
  <c r="F688" i="1"/>
  <c r="E688" i="1"/>
  <c r="D688" i="1"/>
  <c r="C688" i="1"/>
  <c r="B688" i="1"/>
  <c r="A688" i="1"/>
  <c r="J687" i="1"/>
  <c r="I687" i="1"/>
  <c r="H687" i="1"/>
  <c r="G687" i="1"/>
  <c r="F687" i="1"/>
  <c r="E687" i="1"/>
  <c r="D687" i="1"/>
  <c r="C687" i="1"/>
  <c r="B687" i="1"/>
  <c r="A687" i="1"/>
  <c r="J686" i="1"/>
  <c r="I686" i="1"/>
  <c r="H686" i="1"/>
  <c r="G686" i="1"/>
  <c r="F686" i="1"/>
  <c r="E686" i="1"/>
  <c r="D686" i="1"/>
  <c r="C686" i="1"/>
  <c r="B686" i="1"/>
  <c r="A686" i="1"/>
  <c r="J685" i="1"/>
  <c r="I685" i="1"/>
  <c r="H685" i="1"/>
  <c r="G685" i="1"/>
  <c r="F685" i="1"/>
  <c r="E685" i="1"/>
  <c r="D685" i="1"/>
  <c r="C685" i="1"/>
  <c r="B685" i="1"/>
  <c r="A685" i="1"/>
  <c r="J684" i="1"/>
  <c r="I684" i="1"/>
  <c r="H684" i="1"/>
  <c r="G684" i="1"/>
  <c r="F684" i="1"/>
  <c r="E684" i="1"/>
  <c r="D684" i="1"/>
  <c r="C684" i="1"/>
  <c r="B684" i="1"/>
  <c r="A684" i="1"/>
  <c r="J683" i="1"/>
  <c r="I683" i="1"/>
  <c r="H683" i="1"/>
  <c r="G683" i="1"/>
  <c r="F683" i="1"/>
  <c r="E683" i="1"/>
  <c r="D683" i="1"/>
  <c r="C683" i="1"/>
  <c r="B683" i="1"/>
  <c r="A683" i="1"/>
  <c r="J682" i="1"/>
  <c r="I682" i="1"/>
  <c r="H682" i="1"/>
  <c r="G682" i="1"/>
  <c r="F682" i="1"/>
  <c r="E682" i="1"/>
  <c r="D682" i="1"/>
  <c r="C682" i="1"/>
  <c r="B682" i="1"/>
  <c r="A682" i="1"/>
  <c r="J681" i="1"/>
  <c r="I681" i="1"/>
  <c r="H681" i="1"/>
  <c r="G681" i="1"/>
  <c r="F681" i="1"/>
  <c r="E681" i="1"/>
  <c r="D681" i="1"/>
  <c r="C681" i="1"/>
  <c r="B681" i="1"/>
  <c r="A681" i="1"/>
  <c r="J680" i="1"/>
  <c r="I680" i="1"/>
  <c r="H680" i="1"/>
  <c r="G680" i="1"/>
  <c r="F680" i="1"/>
  <c r="E680" i="1"/>
  <c r="D680" i="1"/>
  <c r="C680" i="1"/>
  <c r="B680" i="1"/>
  <c r="A680" i="1"/>
  <c r="J679" i="1"/>
  <c r="I679" i="1"/>
  <c r="H679" i="1"/>
  <c r="G679" i="1"/>
  <c r="F679" i="1"/>
  <c r="E679" i="1"/>
  <c r="D679" i="1"/>
  <c r="C679" i="1"/>
  <c r="B679" i="1"/>
  <c r="A679" i="1"/>
  <c r="J678" i="1"/>
  <c r="I678" i="1"/>
  <c r="H678" i="1"/>
  <c r="G678" i="1"/>
  <c r="F678" i="1"/>
  <c r="E678" i="1"/>
  <c r="D678" i="1"/>
  <c r="C678" i="1"/>
  <c r="B678" i="1"/>
  <c r="A678" i="1"/>
  <c r="J677" i="1"/>
  <c r="I677" i="1"/>
  <c r="H677" i="1"/>
  <c r="G677" i="1"/>
  <c r="F677" i="1"/>
  <c r="E677" i="1"/>
  <c r="D677" i="1"/>
  <c r="C677" i="1"/>
  <c r="B677" i="1"/>
  <c r="A677" i="1"/>
  <c r="J676" i="1"/>
  <c r="I676" i="1"/>
  <c r="H676" i="1"/>
  <c r="G676" i="1"/>
  <c r="F676" i="1"/>
  <c r="E676" i="1"/>
  <c r="D676" i="1"/>
  <c r="C676" i="1"/>
  <c r="B676" i="1"/>
  <c r="A676" i="1"/>
  <c r="J675" i="1"/>
  <c r="I675" i="1"/>
  <c r="H675" i="1"/>
  <c r="G675" i="1"/>
  <c r="F675" i="1"/>
  <c r="E675" i="1"/>
  <c r="D675" i="1"/>
  <c r="C675" i="1"/>
  <c r="B675" i="1"/>
  <c r="A675" i="1"/>
  <c r="J674" i="1"/>
  <c r="I674" i="1"/>
  <c r="H674" i="1"/>
  <c r="G674" i="1"/>
  <c r="F674" i="1"/>
  <c r="E674" i="1"/>
  <c r="D674" i="1"/>
  <c r="C674" i="1"/>
  <c r="B674" i="1"/>
  <c r="A674" i="1"/>
  <c r="J673" i="1"/>
  <c r="I673" i="1"/>
  <c r="H673" i="1"/>
  <c r="G673" i="1"/>
  <c r="F673" i="1"/>
  <c r="E673" i="1"/>
  <c r="D673" i="1"/>
  <c r="C673" i="1"/>
  <c r="B673" i="1"/>
  <c r="A673" i="1"/>
  <c r="J672" i="1"/>
  <c r="I672" i="1"/>
  <c r="H672" i="1"/>
  <c r="G672" i="1"/>
  <c r="F672" i="1"/>
  <c r="E672" i="1"/>
  <c r="D672" i="1"/>
  <c r="C672" i="1"/>
  <c r="B672" i="1"/>
  <c r="A672" i="1"/>
  <c r="J671" i="1"/>
  <c r="I671" i="1"/>
  <c r="H671" i="1"/>
  <c r="G671" i="1"/>
  <c r="F671" i="1"/>
  <c r="E671" i="1"/>
  <c r="D671" i="1"/>
  <c r="C671" i="1"/>
  <c r="B671" i="1"/>
  <c r="A671" i="1"/>
  <c r="J670" i="1"/>
  <c r="I670" i="1"/>
  <c r="H670" i="1"/>
  <c r="G670" i="1"/>
  <c r="F670" i="1"/>
  <c r="E670" i="1"/>
  <c r="D670" i="1"/>
  <c r="C670" i="1"/>
  <c r="B670" i="1"/>
  <c r="A670" i="1"/>
  <c r="J669" i="1"/>
  <c r="I669" i="1"/>
  <c r="H669" i="1"/>
  <c r="G669" i="1"/>
  <c r="F669" i="1"/>
  <c r="E669" i="1"/>
  <c r="D669" i="1"/>
  <c r="C669" i="1"/>
  <c r="B669" i="1"/>
  <c r="A669" i="1"/>
  <c r="J668" i="1"/>
  <c r="I668" i="1"/>
  <c r="H668" i="1"/>
  <c r="G668" i="1"/>
  <c r="F668" i="1"/>
  <c r="E668" i="1"/>
  <c r="D668" i="1"/>
  <c r="C668" i="1"/>
  <c r="B668" i="1"/>
  <c r="A668" i="1"/>
  <c r="J667" i="1"/>
  <c r="I667" i="1"/>
  <c r="H667" i="1"/>
  <c r="G667" i="1"/>
  <c r="F667" i="1"/>
  <c r="E667" i="1"/>
  <c r="D667" i="1"/>
  <c r="C667" i="1"/>
  <c r="B667" i="1"/>
  <c r="A667" i="1"/>
  <c r="J666" i="1"/>
  <c r="I666" i="1"/>
  <c r="H666" i="1"/>
  <c r="G666" i="1"/>
  <c r="F666" i="1"/>
  <c r="E666" i="1"/>
  <c r="D666" i="1"/>
  <c r="C666" i="1"/>
  <c r="B666" i="1"/>
  <c r="A666" i="1"/>
  <c r="J665" i="1"/>
  <c r="I665" i="1"/>
  <c r="H665" i="1"/>
  <c r="G665" i="1"/>
  <c r="F665" i="1"/>
  <c r="E665" i="1"/>
  <c r="D665" i="1"/>
  <c r="C665" i="1"/>
  <c r="B665" i="1"/>
  <c r="A665" i="1"/>
  <c r="J664" i="1"/>
  <c r="I664" i="1"/>
  <c r="H664" i="1"/>
  <c r="G664" i="1"/>
  <c r="F664" i="1"/>
  <c r="E664" i="1"/>
  <c r="D664" i="1"/>
  <c r="C664" i="1"/>
  <c r="B664" i="1"/>
  <c r="A664" i="1"/>
  <c r="J663" i="1"/>
  <c r="I663" i="1"/>
  <c r="H663" i="1"/>
  <c r="G663" i="1"/>
  <c r="F663" i="1"/>
  <c r="E663" i="1"/>
  <c r="D663" i="1"/>
  <c r="C663" i="1"/>
  <c r="B663" i="1"/>
  <c r="A663" i="1"/>
  <c r="J662" i="1"/>
  <c r="I662" i="1"/>
  <c r="H662" i="1"/>
  <c r="G662" i="1"/>
  <c r="F662" i="1"/>
  <c r="E662" i="1"/>
  <c r="D662" i="1"/>
  <c r="C662" i="1"/>
  <c r="B662" i="1"/>
  <c r="A662" i="1"/>
  <c r="J661" i="1"/>
  <c r="I661" i="1"/>
  <c r="H661" i="1"/>
  <c r="G661" i="1"/>
  <c r="F661" i="1"/>
  <c r="E661" i="1"/>
  <c r="D661" i="1"/>
  <c r="C661" i="1"/>
  <c r="B661" i="1"/>
  <c r="A661" i="1"/>
  <c r="J660" i="1"/>
  <c r="I660" i="1"/>
  <c r="H660" i="1"/>
  <c r="G660" i="1"/>
  <c r="F660" i="1"/>
  <c r="E660" i="1"/>
  <c r="D660" i="1"/>
  <c r="C660" i="1"/>
  <c r="B660" i="1"/>
  <c r="A660" i="1"/>
  <c r="J659" i="1"/>
  <c r="H659" i="1"/>
  <c r="G659" i="1"/>
  <c r="F659" i="1"/>
  <c r="E659" i="1"/>
  <c r="D659" i="1"/>
  <c r="C659" i="1"/>
  <c r="B659" i="1"/>
  <c r="A659" i="1"/>
  <c r="J658" i="1"/>
  <c r="H658" i="1"/>
  <c r="G658" i="1"/>
  <c r="F658" i="1"/>
  <c r="E658" i="1"/>
  <c r="D658" i="1"/>
  <c r="C658" i="1"/>
  <c r="B658" i="1"/>
  <c r="A658" i="1"/>
  <c r="J657" i="1"/>
  <c r="H657" i="1"/>
  <c r="G657" i="1"/>
  <c r="F657" i="1"/>
  <c r="E657" i="1"/>
  <c r="D657" i="1"/>
  <c r="C657" i="1"/>
  <c r="B657" i="1"/>
  <c r="A657" i="1"/>
  <c r="J656" i="1"/>
  <c r="H656" i="1"/>
  <c r="G656" i="1"/>
  <c r="F656" i="1"/>
  <c r="E656" i="1"/>
  <c r="D656" i="1"/>
  <c r="C656" i="1"/>
  <c r="B656" i="1"/>
  <c r="A656" i="1"/>
  <c r="J655" i="1"/>
  <c r="H655" i="1"/>
  <c r="G655" i="1"/>
  <c r="F655" i="1"/>
  <c r="E655" i="1"/>
  <c r="D655" i="1"/>
  <c r="C655" i="1"/>
  <c r="B655" i="1"/>
  <c r="A655" i="1"/>
  <c r="J654" i="1"/>
  <c r="H654" i="1"/>
  <c r="G654" i="1"/>
  <c r="F654" i="1"/>
  <c r="E654" i="1"/>
  <c r="D654" i="1"/>
  <c r="C654" i="1"/>
  <c r="B654" i="1"/>
  <c r="A654" i="1"/>
  <c r="J653" i="1"/>
  <c r="H653" i="1"/>
  <c r="G653" i="1"/>
  <c r="F653" i="1"/>
  <c r="E653" i="1"/>
  <c r="D653" i="1"/>
  <c r="C653" i="1"/>
  <c r="B653" i="1"/>
  <c r="A653" i="1"/>
  <c r="J652" i="1"/>
  <c r="I652" i="1"/>
  <c r="H652" i="1"/>
  <c r="G652" i="1"/>
  <c r="F652" i="1"/>
  <c r="E652" i="1"/>
  <c r="D652" i="1"/>
  <c r="C652" i="1"/>
  <c r="B652" i="1"/>
  <c r="A652" i="1"/>
  <c r="J651" i="1"/>
  <c r="I651" i="1"/>
  <c r="H651" i="1"/>
  <c r="G651" i="1"/>
  <c r="F651" i="1"/>
  <c r="E651" i="1"/>
  <c r="D651" i="1"/>
  <c r="C651" i="1"/>
  <c r="B651" i="1"/>
  <c r="A651" i="1"/>
  <c r="J650" i="1"/>
  <c r="I650" i="1"/>
  <c r="H650" i="1"/>
  <c r="G650" i="1"/>
  <c r="F650" i="1"/>
  <c r="E650" i="1"/>
  <c r="D650" i="1"/>
  <c r="C650" i="1"/>
  <c r="B650" i="1"/>
  <c r="A650" i="1"/>
  <c r="J649" i="1"/>
  <c r="I649" i="1"/>
  <c r="H649" i="1"/>
  <c r="G649" i="1"/>
  <c r="F649" i="1"/>
  <c r="E649" i="1"/>
  <c r="D649" i="1"/>
  <c r="C649" i="1"/>
  <c r="B649" i="1"/>
  <c r="A649" i="1"/>
  <c r="J648" i="1"/>
  <c r="I648" i="1"/>
  <c r="H648" i="1"/>
  <c r="G648" i="1"/>
  <c r="F648" i="1"/>
  <c r="E648" i="1"/>
  <c r="D648" i="1"/>
  <c r="C648" i="1"/>
  <c r="B648" i="1"/>
  <c r="A648" i="1"/>
  <c r="J647" i="1"/>
  <c r="I647" i="1"/>
  <c r="H647" i="1"/>
  <c r="G647" i="1"/>
  <c r="F647" i="1"/>
  <c r="E647" i="1"/>
  <c r="D647" i="1"/>
  <c r="C647" i="1"/>
  <c r="B647" i="1"/>
  <c r="A647" i="1"/>
  <c r="J646" i="1"/>
  <c r="I646" i="1"/>
  <c r="H646" i="1"/>
  <c r="G646" i="1"/>
  <c r="F646" i="1"/>
  <c r="E646" i="1"/>
  <c r="D646" i="1"/>
  <c r="C646" i="1"/>
  <c r="B646" i="1"/>
  <c r="A646" i="1"/>
  <c r="J645" i="1"/>
  <c r="I645" i="1"/>
  <c r="H645" i="1"/>
  <c r="G645" i="1"/>
  <c r="F645" i="1"/>
  <c r="E645" i="1"/>
  <c r="D645" i="1"/>
  <c r="C645" i="1"/>
  <c r="B645" i="1"/>
  <c r="A645" i="1"/>
  <c r="J644" i="1"/>
  <c r="I644" i="1"/>
  <c r="H644" i="1"/>
  <c r="G644" i="1"/>
  <c r="F644" i="1"/>
  <c r="E644" i="1"/>
  <c r="D644" i="1"/>
  <c r="C644" i="1"/>
  <c r="B644" i="1"/>
  <c r="A644" i="1"/>
  <c r="J643" i="1"/>
  <c r="I643" i="1"/>
  <c r="H643" i="1"/>
  <c r="G643" i="1"/>
  <c r="F643" i="1"/>
  <c r="E643" i="1"/>
  <c r="D643" i="1"/>
  <c r="C643" i="1"/>
  <c r="B643" i="1"/>
  <c r="A643" i="1"/>
  <c r="J642" i="1"/>
  <c r="I642" i="1"/>
  <c r="H642" i="1"/>
  <c r="G642" i="1"/>
  <c r="F642" i="1"/>
  <c r="E642" i="1"/>
  <c r="D642" i="1"/>
  <c r="C642" i="1"/>
  <c r="B642" i="1"/>
  <c r="A642" i="1"/>
  <c r="J641" i="1"/>
  <c r="I641" i="1"/>
  <c r="H641" i="1"/>
  <c r="G641" i="1"/>
  <c r="F641" i="1"/>
  <c r="E641" i="1"/>
  <c r="D641" i="1"/>
  <c r="C641" i="1"/>
  <c r="B641" i="1"/>
  <c r="A641" i="1"/>
  <c r="J640" i="1"/>
  <c r="I640" i="1"/>
  <c r="H640" i="1"/>
  <c r="G640" i="1"/>
  <c r="F640" i="1"/>
  <c r="E640" i="1"/>
  <c r="D640" i="1"/>
  <c r="C640" i="1"/>
  <c r="B640" i="1"/>
  <c r="A640" i="1"/>
  <c r="J639" i="1"/>
  <c r="I639" i="1"/>
  <c r="H639" i="1"/>
  <c r="G639" i="1"/>
  <c r="F639" i="1"/>
  <c r="E639" i="1"/>
  <c r="D639" i="1"/>
  <c r="C639" i="1"/>
  <c r="B639" i="1"/>
  <c r="A639" i="1"/>
  <c r="J638" i="1"/>
  <c r="I638" i="1"/>
  <c r="H638" i="1"/>
  <c r="G638" i="1"/>
  <c r="F638" i="1"/>
  <c r="E638" i="1"/>
  <c r="D638" i="1"/>
  <c r="C638" i="1"/>
  <c r="B638" i="1"/>
  <c r="A638" i="1"/>
  <c r="J637" i="1"/>
  <c r="I637" i="1"/>
  <c r="H637" i="1"/>
  <c r="G637" i="1"/>
  <c r="F637" i="1"/>
  <c r="E637" i="1"/>
  <c r="D637" i="1"/>
  <c r="C637" i="1"/>
  <c r="B637" i="1"/>
  <c r="A637" i="1"/>
  <c r="J636" i="1"/>
  <c r="I636" i="1"/>
  <c r="H636" i="1"/>
  <c r="G636" i="1"/>
  <c r="F636" i="1"/>
  <c r="E636" i="1"/>
  <c r="D636" i="1"/>
  <c r="C636" i="1"/>
  <c r="B636" i="1"/>
  <c r="A636" i="1"/>
  <c r="J635" i="1"/>
  <c r="I635" i="1"/>
  <c r="H635" i="1"/>
  <c r="G635" i="1"/>
  <c r="F635" i="1"/>
  <c r="E635" i="1"/>
  <c r="D635" i="1"/>
  <c r="C635" i="1"/>
  <c r="B635" i="1"/>
  <c r="A635" i="1"/>
  <c r="J634" i="1"/>
  <c r="I634" i="1"/>
  <c r="H634" i="1"/>
  <c r="G634" i="1"/>
  <c r="F634" i="1"/>
  <c r="E634" i="1"/>
  <c r="D634" i="1"/>
  <c r="C634" i="1"/>
  <c r="B634" i="1"/>
  <c r="A634" i="1"/>
  <c r="J633" i="1"/>
  <c r="I633" i="1"/>
  <c r="H633" i="1"/>
  <c r="G633" i="1"/>
  <c r="F633" i="1"/>
  <c r="E633" i="1"/>
  <c r="D633" i="1"/>
  <c r="C633" i="1"/>
  <c r="B633" i="1"/>
  <c r="A633" i="1"/>
  <c r="J632" i="1"/>
  <c r="I632" i="1"/>
  <c r="H632" i="1"/>
  <c r="G632" i="1"/>
  <c r="F632" i="1"/>
  <c r="E632" i="1"/>
  <c r="D632" i="1"/>
  <c r="C632" i="1"/>
  <c r="B632" i="1"/>
  <c r="A632" i="1"/>
  <c r="J631" i="1"/>
  <c r="I631" i="1"/>
  <c r="H631" i="1"/>
  <c r="G631" i="1"/>
  <c r="F631" i="1"/>
  <c r="E631" i="1"/>
  <c r="D631" i="1"/>
  <c r="C631" i="1"/>
  <c r="B631" i="1"/>
  <c r="A631" i="1"/>
  <c r="J630" i="1"/>
  <c r="I630" i="1"/>
  <c r="H630" i="1"/>
  <c r="G630" i="1"/>
  <c r="F630" i="1"/>
  <c r="E630" i="1"/>
  <c r="D630" i="1"/>
  <c r="C630" i="1"/>
  <c r="B630" i="1"/>
  <c r="A630" i="1"/>
  <c r="J629" i="1"/>
  <c r="I629" i="1"/>
  <c r="H629" i="1"/>
  <c r="G629" i="1"/>
  <c r="F629" i="1"/>
  <c r="E629" i="1"/>
  <c r="D629" i="1"/>
  <c r="C629" i="1"/>
  <c r="B629" i="1"/>
  <c r="A629" i="1"/>
  <c r="J628" i="1"/>
  <c r="I628" i="1"/>
  <c r="H628" i="1"/>
  <c r="G628" i="1"/>
  <c r="F628" i="1"/>
  <c r="E628" i="1"/>
  <c r="D628" i="1"/>
  <c r="C628" i="1"/>
  <c r="B628" i="1"/>
  <c r="A628" i="1"/>
  <c r="J627" i="1"/>
  <c r="I627" i="1"/>
  <c r="H627" i="1"/>
  <c r="G627" i="1"/>
  <c r="F627" i="1"/>
  <c r="E627" i="1"/>
  <c r="D627" i="1"/>
  <c r="C627" i="1"/>
  <c r="B627" i="1"/>
  <c r="A627" i="1"/>
  <c r="J626" i="1"/>
  <c r="I626" i="1"/>
  <c r="H626" i="1"/>
  <c r="G626" i="1"/>
  <c r="F626" i="1"/>
  <c r="E626" i="1"/>
  <c r="D626" i="1"/>
  <c r="C626" i="1"/>
  <c r="B626" i="1"/>
  <c r="A626" i="1"/>
  <c r="J625" i="1"/>
  <c r="I625" i="1"/>
  <c r="H625" i="1"/>
  <c r="G625" i="1"/>
  <c r="F625" i="1"/>
  <c r="E625" i="1"/>
  <c r="D625" i="1"/>
  <c r="C625" i="1"/>
  <c r="B625" i="1"/>
  <c r="A625" i="1"/>
  <c r="J624" i="1"/>
  <c r="I624" i="1"/>
  <c r="H624" i="1"/>
  <c r="G624" i="1"/>
  <c r="F624" i="1"/>
  <c r="E624" i="1"/>
  <c r="D624" i="1"/>
  <c r="C624" i="1"/>
  <c r="B624" i="1"/>
  <c r="A624" i="1"/>
  <c r="J623" i="1"/>
  <c r="I623" i="1"/>
  <c r="H623" i="1"/>
  <c r="G623" i="1"/>
  <c r="F623" i="1"/>
  <c r="E623" i="1"/>
  <c r="D623" i="1"/>
  <c r="C623" i="1"/>
  <c r="B623" i="1"/>
  <c r="A623" i="1"/>
  <c r="J622" i="1"/>
  <c r="I622" i="1"/>
  <c r="H622" i="1"/>
  <c r="G622" i="1"/>
  <c r="F622" i="1"/>
  <c r="E622" i="1"/>
  <c r="D622" i="1"/>
  <c r="C622" i="1"/>
  <c r="B622" i="1"/>
  <c r="A622" i="1"/>
  <c r="J621" i="1"/>
  <c r="I621" i="1"/>
  <c r="H621" i="1"/>
  <c r="G621" i="1"/>
  <c r="F621" i="1"/>
  <c r="E621" i="1"/>
  <c r="D621" i="1"/>
  <c r="C621" i="1"/>
  <c r="B621" i="1"/>
  <c r="A621" i="1"/>
  <c r="J620" i="1"/>
  <c r="I620" i="1"/>
  <c r="H620" i="1"/>
  <c r="G620" i="1"/>
  <c r="F620" i="1"/>
  <c r="E620" i="1"/>
  <c r="D620" i="1"/>
  <c r="C620" i="1"/>
  <c r="B620" i="1"/>
  <c r="A620" i="1"/>
  <c r="J619" i="1"/>
  <c r="I619" i="1"/>
  <c r="H619" i="1"/>
  <c r="G619" i="1"/>
  <c r="F619" i="1"/>
  <c r="E619" i="1"/>
  <c r="D619" i="1"/>
  <c r="C619" i="1"/>
  <c r="B619" i="1"/>
  <c r="A619" i="1"/>
  <c r="J618" i="1"/>
  <c r="I618" i="1"/>
  <c r="H618" i="1"/>
  <c r="G618" i="1"/>
  <c r="F618" i="1"/>
  <c r="E618" i="1"/>
  <c r="D618" i="1"/>
  <c r="C618" i="1"/>
  <c r="B618" i="1"/>
  <c r="A618" i="1"/>
  <c r="J617" i="1"/>
  <c r="I617" i="1"/>
  <c r="H617" i="1"/>
  <c r="G617" i="1"/>
  <c r="F617" i="1"/>
  <c r="E617" i="1"/>
  <c r="D617" i="1"/>
  <c r="C617" i="1"/>
  <c r="B617" i="1"/>
  <c r="A617" i="1"/>
  <c r="J616" i="1"/>
  <c r="I616" i="1"/>
  <c r="H616" i="1"/>
  <c r="G616" i="1"/>
  <c r="F616" i="1"/>
  <c r="E616" i="1"/>
  <c r="D616" i="1"/>
  <c r="C616" i="1"/>
  <c r="B616" i="1"/>
  <c r="A616" i="1"/>
  <c r="J615" i="1"/>
  <c r="I615" i="1"/>
  <c r="H615" i="1"/>
  <c r="G615" i="1"/>
  <c r="F615" i="1"/>
  <c r="E615" i="1"/>
  <c r="D615" i="1"/>
  <c r="C615" i="1"/>
  <c r="B615" i="1"/>
  <c r="A615" i="1"/>
  <c r="J614" i="1"/>
  <c r="I614" i="1"/>
  <c r="H614" i="1"/>
  <c r="G614" i="1"/>
  <c r="F614" i="1"/>
  <c r="E614" i="1"/>
  <c r="D614" i="1"/>
  <c r="C614" i="1"/>
  <c r="B614" i="1"/>
  <c r="A614" i="1"/>
  <c r="J613" i="1"/>
  <c r="I613" i="1"/>
  <c r="H613" i="1"/>
  <c r="G613" i="1"/>
  <c r="F613" i="1"/>
  <c r="E613" i="1"/>
  <c r="D613" i="1"/>
  <c r="C613" i="1"/>
  <c r="B613" i="1"/>
  <c r="A613" i="1"/>
  <c r="J612" i="1"/>
  <c r="I612" i="1"/>
  <c r="H612" i="1"/>
  <c r="G612" i="1"/>
  <c r="F612" i="1"/>
  <c r="E612" i="1"/>
  <c r="D612" i="1"/>
  <c r="C612" i="1"/>
  <c r="B612" i="1"/>
  <c r="A612" i="1"/>
  <c r="J611" i="1"/>
  <c r="I611" i="1"/>
  <c r="H611" i="1"/>
  <c r="G611" i="1"/>
  <c r="F611" i="1"/>
  <c r="E611" i="1"/>
  <c r="D611" i="1"/>
  <c r="C611" i="1"/>
  <c r="B611" i="1"/>
  <c r="A611" i="1"/>
  <c r="J610" i="1"/>
  <c r="I610" i="1"/>
  <c r="H610" i="1"/>
  <c r="G610" i="1"/>
  <c r="F610" i="1"/>
  <c r="E610" i="1"/>
  <c r="D610" i="1"/>
  <c r="C610" i="1"/>
  <c r="B610" i="1"/>
  <c r="A610" i="1"/>
  <c r="J609" i="1"/>
  <c r="I609" i="1"/>
  <c r="H609" i="1"/>
  <c r="G609" i="1"/>
  <c r="F609" i="1"/>
  <c r="E609" i="1"/>
  <c r="D609" i="1"/>
  <c r="C609" i="1"/>
  <c r="B609" i="1"/>
  <c r="A609" i="1"/>
  <c r="J608" i="1"/>
  <c r="I608" i="1"/>
  <c r="H608" i="1"/>
  <c r="G608" i="1"/>
  <c r="F608" i="1"/>
  <c r="E608" i="1"/>
  <c r="D608" i="1"/>
  <c r="C608" i="1"/>
  <c r="B608" i="1"/>
  <c r="A608" i="1"/>
  <c r="J607" i="1"/>
  <c r="I607" i="1"/>
  <c r="H607" i="1"/>
  <c r="G607" i="1"/>
  <c r="F607" i="1"/>
  <c r="E607" i="1"/>
  <c r="D607" i="1"/>
  <c r="C607" i="1"/>
  <c r="B607" i="1"/>
  <c r="A607" i="1"/>
  <c r="J606" i="1"/>
  <c r="I606" i="1"/>
  <c r="H606" i="1"/>
  <c r="G606" i="1"/>
  <c r="F606" i="1"/>
  <c r="E606" i="1"/>
  <c r="D606" i="1"/>
  <c r="C606" i="1"/>
  <c r="B606" i="1"/>
  <c r="A606" i="1"/>
  <c r="J605" i="1"/>
  <c r="I605" i="1"/>
  <c r="H605" i="1"/>
  <c r="G605" i="1"/>
  <c r="F605" i="1"/>
  <c r="E605" i="1"/>
  <c r="D605" i="1"/>
  <c r="C605" i="1"/>
  <c r="B605" i="1"/>
  <c r="A605" i="1"/>
  <c r="J604" i="1"/>
  <c r="I604" i="1"/>
  <c r="H604" i="1"/>
  <c r="G604" i="1"/>
  <c r="F604" i="1"/>
  <c r="E604" i="1"/>
  <c r="D604" i="1"/>
  <c r="C604" i="1"/>
  <c r="B604" i="1"/>
  <c r="A604" i="1"/>
  <c r="J603" i="1"/>
  <c r="I603" i="1"/>
  <c r="H603" i="1"/>
  <c r="G603" i="1"/>
  <c r="F603" i="1"/>
  <c r="E603" i="1"/>
  <c r="D603" i="1"/>
  <c r="C603" i="1"/>
  <c r="B603" i="1"/>
  <c r="A603" i="1"/>
  <c r="J602" i="1"/>
  <c r="I602" i="1"/>
  <c r="H602" i="1"/>
  <c r="G602" i="1"/>
  <c r="F602" i="1"/>
  <c r="E602" i="1"/>
  <c r="D602" i="1"/>
  <c r="C602" i="1"/>
  <c r="B602" i="1"/>
  <c r="A602" i="1"/>
  <c r="J601" i="1"/>
  <c r="I601" i="1"/>
  <c r="H601" i="1"/>
  <c r="G601" i="1"/>
  <c r="F601" i="1"/>
  <c r="E601" i="1"/>
  <c r="D601" i="1"/>
  <c r="C601" i="1"/>
  <c r="B601" i="1"/>
  <c r="A601" i="1"/>
  <c r="J600" i="1"/>
  <c r="I600" i="1"/>
  <c r="H600" i="1"/>
  <c r="G600" i="1"/>
  <c r="F600" i="1"/>
  <c r="E600" i="1"/>
  <c r="D600" i="1"/>
  <c r="C600" i="1"/>
  <c r="B600" i="1"/>
  <c r="A600" i="1"/>
  <c r="J599" i="1"/>
  <c r="I599" i="1"/>
  <c r="H599" i="1"/>
  <c r="G599" i="1"/>
  <c r="F599" i="1"/>
  <c r="E599" i="1"/>
  <c r="D599" i="1"/>
  <c r="C599" i="1"/>
  <c r="B599" i="1"/>
  <c r="A599" i="1"/>
  <c r="J598" i="1"/>
  <c r="I598" i="1"/>
  <c r="H598" i="1"/>
  <c r="G598" i="1"/>
  <c r="F598" i="1"/>
  <c r="E598" i="1"/>
  <c r="D598" i="1"/>
  <c r="C598" i="1"/>
  <c r="B598" i="1"/>
  <c r="A598" i="1"/>
  <c r="J597" i="1"/>
  <c r="I597" i="1"/>
  <c r="H597" i="1"/>
  <c r="G597" i="1"/>
  <c r="F597" i="1"/>
  <c r="E597" i="1"/>
  <c r="D597" i="1"/>
  <c r="C597" i="1"/>
  <c r="B597" i="1"/>
  <c r="A597" i="1"/>
  <c r="J596" i="1"/>
  <c r="I596" i="1"/>
  <c r="H596" i="1"/>
  <c r="G596" i="1"/>
  <c r="F596" i="1"/>
  <c r="E596" i="1"/>
  <c r="D596" i="1"/>
  <c r="C596" i="1"/>
  <c r="B596" i="1"/>
  <c r="A596" i="1"/>
  <c r="J595" i="1"/>
  <c r="I595" i="1"/>
  <c r="H595" i="1"/>
  <c r="G595" i="1"/>
  <c r="F595" i="1"/>
  <c r="E595" i="1"/>
  <c r="D595" i="1"/>
  <c r="C595" i="1"/>
  <c r="B595" i="1"/>
  <c r="A595" i="1"/>
  <c r="J594" i="1"/>
  <c r="I594" i="1"/>
  <c r="H594" i="1"/>
  <c r="G594" i="1"/>
  <c r="F594" i="1"/>
  <c r="E594" i="1"/>
  <c r="D594" i="1"/>
  <c r="C594" i="1"/>
  <c r="B594" i="1"/>
  <c r="A594" i="1"/>
  <c r="J593" i="1"/>
  <c r="I593" i="1"/>
  <c r="H593" i="1"/>
  <c r="G593" i="1"/>
  <c r="F593" i="1"/>
  <c r="E593" i="1"/>
  <c r="D593" i="1"/>
  <c r="C593" i="1"/>
  <c r="B593" i="1"/>
  <c r="A593" i="1"/>
  <c r="J592" i="1"/>
  <c r="I592" i="1"/>
  <c r="H592" i="1"/>
  <c r="G592" i="1"/>
  <c r="F592" i="1"/>
  <c r="E592" i="1"/>
  <c r="D592" i="1"/>
  <c r="C592" i="1"/>
  <c r="B592" i="1"/>
  <c r="A592" i="1"/>
  <c r="J591" i="1"/>
  <c r="I591" i="1"/>
  <c r="H591" i="1"/>
  <c r="G591" i="1"/>
  <c r="F591" i="1"/>
  <c r="E591" i="1"/>
  <c r="D591" i="1"/>
  <c r="C591" i="1"/>
  <c r="B591" i="1"/>
  <c r="A591" i="1"/>
  <c r="J590" i="1"/>
  <c r="I590" i="1"/>
  <c r="H590" i="1"/>
  <c r="G590" i="1"/>
  <c r="F590" i="1"/>
  <c r="E590" i="1"/>
  <c r="D590" i="1"/>
  <c r="C590" i="1"/>
  <c r="B590" i="1"/>
  <c r="A590" i="1"/>
  <c r="J589" i="1"/>
  <c r="I589" i="1"/>
  <c r="H589" i="1"/>
  <c r="G589" i="1"/>
  <c r="F589" i="1"/>
  <c r="E589" i="1"/>
  <c r="D589" i="1"/>
  <c r="C589" i="1"/>
  <c r="B589" i="1"/>
  <c r="A589" i="1"/>
  <c r="J588" i="1"/>
  <c r="I588" i="1"/>
  <c r="H588" i="1"/>
  <c r="G588" i="1"/>
  <c r="F588" i="1"/>
  <c r="E588" i="1"/>
  <c r="D588" i="1"/>
  <c r="C588" i="1"/>
  <c r="B588" i="1"/>
  <c r="A588" i="1"/>
  <c r="J587" i="1"/>
  <c r="I587" i="1"/>
  <c r="H587" i="1"/>
  <c r="G587" i="1"/>
  <c r="F587" i="1"/>
  <c r="E587" i="1"/>
  <c r="D587" i="1"/>
  <c r="C587" i="1"/>
  <c r="B587" i="1"/>
  <c r="A587" i="1"/>
  <c r="J586" i="1"/>
  <c r="I586" i="1"/>
  <c r="H586" i="1"/>
  <c r="G586" i="1"/>
  <c r="F586" i="1"/>
  <c r="E586" i="1"/>
  <c r="D586" i="1"/>
  <c r="C586" i="1"/>
  <c r="B586" i="1"/>
  <c r="A586" i="1"/>
  <c r="J585" i="1"/>
  <c r="I585" i="1"/>
  <c r="H585" i="1"/>
  <c r="G585" i="1"/>
  <c r="F585" i="1"/>
  <c r="E585" i="1"/>
  <c r="D585" i="1"/>
  <c r="C585" i="1"/>
  <c r="B585" i="1"/>
  <c r="A585" i="1"/>
  <c r="J584" i="1"/>
  <c r="I584" i="1"/>
  <c r="H584" i="1"/>
  <c r="G584" i="1"/>
  <c r="F584" i="1"/>
  <c r="E584" i="1"/>
  <c r="D584" i="1"/>
  <c r="C584" i="1"/>
  <c r="B584" i="1"/>
  <c r="A584" i="1"/>
  <c r="J583" i="1"/>
  <c r="I583" i="1"/>
  <c r="H583" i="1"/>
  <c r="G583" i="1"/>
  <c r="F583" i="1"/>
  <c r="E583" i="1"/>
  <c r="D583" i="1"/>
  <c r="C583" i="1"/>
  <c r="B583" i="1"/>
  <c r="A583" i="1"/>
  <c r="J582" i="1"/>
  <c r="H582" i="1"/>
  <c r="G582" i="1"/>
  <c r="F582" i="1"/>
  <c r="E582" i="1"/>
  <c r="D582" i="1"/>
  <c r="C582" i="1"/>
  <c r="B582" i="1"/>
  <c r="A582" i="1"/>
  <c r="J581" i="1"/>
  <c r="H581" i="1"/>
  <c r="G581" i="1"/>
  <c r="F581" i="1"/>
  <c r="E581" i="1"/>
  <c r="D581" i="1"/>
  <c r="C581" i="1"/>
  <c r="B581" i="1"/>
  <c r="A581" i="1"/>
  <c r="J580" i="1"/>
  <c r="H580" i="1"/>
  <c r="G580" i="1"/>
  <c r="F580" i="1"/>
  <c r="E580" i="1"/>
  <c r="D580" i="1"/>
  <c r="C580" i="1"/>
  <c r="B580" i="1"/>
  <c r="A580" i="1"/>
  <c r="J579" i="1"/>
  <c r="H579" i="1"/>
  <c r="G579" i="1"/>
  <c r="F579" i="1"/>
  <c r="E579" i="1"/>
  <c r="D579" i="1"/>
  <c r="C579" i="1"/>
  <c r="B579" i="1"/>
  <c r="A579" i="1"/>
  <c r="J578" i="1"/>
  <c r="H578" i="1"/>
  <c r="G578" i="1"/>
  <c r="F578" i="1"/>
  <c r="E578" i="1"/>
  <c r="D578" i="1"/>
  <c r="C578" i="1"/>
  <c r="B578" i="1"/>
  <c r="A578" i="1"/>
  <c r="J577" i="1"/>
  <c r="H577" i="1"/>
  <c r="G577" i="1"/>
  <c r="F577" i="1"/>
  <c r="E577" i="1"/>
  <c r="D577" i="1"/>
  <c r="C577" i="1"/>
  <c r="B577" i="1"/>
  <c r="A577" i="1"/>
  <c r="J576" i="1"/>
  <c r="H576" i="1"/>
  <c r="G576" i="1"/>
  <c r="F576" i="1"/>
  <c r="E576" i="1"/>
  <c r="D576" i="1"/>
  <c r="C576" i="1"/>
  <c r="B576" i="1"/>
  <c r="A576" i="1"/>
  <c r="J575" i="1"/>
  <c r="I575" i="1"/>
  <c r="H575" i="1"/>
  <c r="G575" i="1"/>
  <c r="F575" i="1"/>
  <c r="E575" i="1"/>
  <c r="D575" i="1"/>
  <c r="C575" i="1"/>
  <c r="B575" i="1"/>
  <c r="A575" i="1"/>
  <c r="J574" i="1"/>
  <c r="I574" i="1"/>
  <c r="H574" i="1"/>
  <c r="G574" i="1"/>
  <c r="F574" i="1"/>
  <c r="E574" i="1"/>
  <c r="D574" i="1"/>
  <c r="C574" i="1"/>
  <c r="B574" i="1"/>
  <c r="A574" i="1"/>
  <c r="J573" i="1"/>
  <c r="I573" i="1"/>
  <c r="H573" i="1"/>
  <c r="G573" i="1"/>
  <c r="F573" i="1"/>
  <c r="E573" i="1"/>
  <c r="D573" i="1"/>
  <c r="C573" i="1"/>
  <c r="B573" i="1"/>
  <c r="A573" i="1"/>
  <c r="J572" i="1"/>
  <c r="I572" i="1"/>
  <c r="H572" i="1"/>
  <c r="G572" i="1"/>
  <c r="F572" i="1"/>
  <c r="E572" i="1"/>
  <c r="D572" i="1"/>
  <c r="C572" i="1"/>
  <c r="B572" i="1"/>
  <c r="A572" i="1"/>
  <c r="J571" i="1"/>
  <c r="I571" i="1"/>
  <c r="H571" i="1"/>
  <c r="G571" i="1"/>
  <c r="F571" i="1"/>
  <c r="E571" i="1"/>
  <c r="D571" i="1"/>
  <c r="C571" i="1"/>
  <c r="B571" i="1"/>
  <c r="A571" i="1"/>
  <c r="J570" i="1"/>
  <c r="I570" i="1"/>
  <c r="H570" i="1"/>
  <c r="G570" i="1"/>
  <c r="F570" i="1"/>
  <c r="E570" i="1"/>
  <c r="D570" i="1"/>
  <c r="C570" i="1"/>
  <c r="B570" i="1"/>
  <c r="A570" i="1"/>
  <c r="J569" i="1"/>
  <c r="I569" i="1"/>
  <c r="H569" i="1"/>
  <c r="G569" i="1"/>
  <c r="F569" i="1"/>
  <c r="E569" i="1"/>
  <c r="D569" i="1"/>
  <c r="C569" i="1"/>
  <c r="B569" i="1"/>
  <c r="A569" i="1"/>
  <c r="J568" i="1"/>
  <c r="I568" i="1"/>
  <c r="H568" i="1"/>
  <c r="G568" i="1"/>
  <c r="F568" i="1"/>
  <c r="E568" i="1"/>
  <c r="D568" i="1"/>
  <c r="C568" i="1"/>
  <c r="B568" i="1"/>
  <c r="A568" i="1"/>
  <c r="J567" i="1"/>
  <c r="I567" i="1"/>
  <c r="H567" i="1"/>
  <c r="G567" i="1"/>
  <c r="F567" i="1"/>
  <c r="E567" i="1"/>
  <c r="D567" i="1"/>
  <c r="C567" i="1"/>
  <c r="B567" i="1"/>
  <c r="A567" i="1"/>
  <c r="J566" i="1"/>
  <c r="I566" i="1"/>
  <c r="H566" i="1"/>
  <c r="G566" i="1"/>
  <c r="F566" i="1"/>
  <c r="E566" i="1"/>
  <c r="D566" i="1"/>
  <c r="C566" i="1"/>
  <c r="B566" i="1"/>
  <c r="A566" i="1"/>
  <c r="J565" i="1"/>
  <c r="I565" i="1"/>
  <c r="H565" i="1"/>
  <c r="G565" i="1"/>
  <c r="F565" i="1"/>
  <c r="E565" i="1"/>
  <c r="D565" i="1"/>
  <c r="C565" i="1"/>
  <c r="B565" i="1"/>
  <c r="A565" i="1"/>
  <c r="J564" i="1"/>
  <c r="I564" i="1"/>
  <c r="H564" i="1"/>
  <c r="G564" i="1"/>
  <c r="F564" i="1"/>
  <c r="E564" i="1"/>
  <c r="D564" i="1"/>
  <c r="C564" i="1"/>
  <c r="B564" i="1"/>
  <c r="A564" i="1"/>
  <c r="J563" i="1"/>
  <c r="I563" i="1"/>
  <c r="H563" i="1"/>
  <c r="G563" i="1"/>
  <c r="F563" i="1"/>
  <c r="E563" i="1"/>
  <c r="D563" i="1"/>
  <c r="C563" i="1"/>
  <c r="B563" i="1"/>
  <c r="A563" i="1"/>
  <c r="J562" i="1"/>
  <c r="I562" i="1"/>
  <c r="H562" i="1"/>
  <c r="G562" i="1"/>
  <c r="F562" i="1"/>
  <c r="E562" i="1"/>
  <c r="D562" i="1"/>
  <c r="C562" i="1"/>
  <c r="B562" i="1"/>
  <c r="A562" i="1"/>
  <c r="J561" i="1"/>
  <c r="I561" i="1"/>
  <c r="H561" i="1"/>
  <c r="G561" i="1"/>
  <c r="F561" i="1"/>
  <c r="E561" i="1"/>
  <c r="D561" i="1"/>
  <c r="C561" i="1"/>
  <c r="B561" i="1"/>
  <c r="A561" i="1"/>
  <c r="J560" i="1"/>
  <c r="I560" i="1"/>
  <c r="H560" i="1"/>
  <c r="G560" i="1"/>
  <c r="F560" i="1"/>
  <c r="E560" i="1"/>
  <c r="D560" i="1"/>
  <c r="C560" i="1"/>
  <c r="B560" i="1"/>
  <c r="A560" i="1"/>
  <c r="J559" i="1"/>
  <c r="I559" i="1"/>
  <c r="H559" i="1"/>
  <c r="G559" i="1"/>
  <c r="F559" i="1"/>
  <c r="E559" i="1"/>
  <c r="D559" i="1"/>
  <c r="C559" i="1"/>
  <c r="B559" i="1"/>
  <c r="A559" i="1"/>
  <c r="J558" i="1"/>
  <c r="I558" i="1"/>
  <c r="H558" i="1"/>
  <c r="G558" i="1"/>
  <c r="F558" i="1"/>
  <c r="E558" i="1"/>
  <c r="D558" i="1"/>
  <c r="C558" i="1"/>
  <c r="B558" i="1"/>
  <c r="A558" i="1"/>
  <c r="J557" i="1"/>
  <c r="I557" i="1"/>
  <c r="H557" i="1"/>
  <c r="G557" i="1"/>
  <c r="F557" i="1"/>
  <c r="E557" i="1"/>
  <c r="D557" i="1"/>
  <c r="C557" i="1"/>
  <c r="B557" i="1"/>
  <c r="A557" i="1"/>
  <c r="J556" i="1"/>
  <c r="I556" i="1"/>
  <c r="H556" i="1"/>
  <c r="G556" i="1"/>
  <c r="F556" i="1"/>
  <c r="E556" i="1"/>
  <c r="D556" i="1"/>
  <c r="C556" i="1"/>
  <c r="B556" i="1"/>
  <c r="A556" i="1"/>
  <c r="J555" i="1"/>
  <c r="I555" i="1"/>
  <c r="H555" i="1"/>
  <c r="G555" i="1"/>
  <c r="F555" i="1"/>
  <c r="E555" i="1"/>
  <c r="D555" i="1"/>
  <c r="C555" i="1"/>
  <c r="B555" i="1"/>
  <c r="A555" i="1"/>
  <c r="J554" i="1"/>
  <c r="I554" i="1"/>
  <c r="H554" i="1"/>
  <c r="G554" i="1"/>
  <c r="F554" i="1"/>
  <c r="E554" i="1"/>
  <c r="D554" i="1"/>
  <c r="C554" i="1"/>
  <c r="B554" i="1"/>
  <c r="A554" i="1"/>
  <c r="J553" i="1"/>
  <c r="I553" i="1"/>
  <c r="H553" i="1"/>
  <c r="G553" i="1"/>
  <c r="F553" i="1"/>
  <c r="E553" i="1"/>
  <c r="D553" i="1"/>
  <c r="C553" i="1"/>
  <c r="B553" i="1"/>
  <c r="A553" i="1"/>
  <c r="J552" i="1"/>
  <c r="I552" i="1"/>
  <c r="H552" i="1"/>
  <c r="G552" i="1"/>
  <c r="F552" i="1"/>
  <c r="E552" i="1"/>
  <c r="D552" i="1"/>
  <c r="C552" i="1"/>
  <c r="B552" i="1"/>
  <c r="A552" i="1"/>
  <c r="J551" i="1"/>
  <c r="I551" i="1"/>
  <c r="H551" i="1"/>
  <c r="G551" i="1"/>
  <c r="F551" i="1"/>
  <c r="E551" i="1"/>
  <c r="D551" i="1"/>
  <c r="C551" i="1"/>
  <c r="B551" i="1"/>
  <c r="A551" i="1"/>
  <c r="J550" i="1"/>
  <c r="I550" i="1"/>
  <c r="H550" i="1"/>
  <c r="G550" i="1"/>
  <c r="F550" i="1"/>
  <c r="E550" i="1"/>
  <c r="D550" i="1"/>
  <c r="C550" i="1"/>
  <c r="B550" i="1"/>
  <c r="A550" i="1"/>
  <c r="J549" i="1"/>
  <c r="I549" i="1"/>
  <c r="H549" i="1"/>
  <c r="G549" i="1"/>
  <c r="F549" i="1"/>
  <c r="E549" i="1"/>
  <c r="D549" i="1"/>
  <c r="C549" i="1"/>
  <c r="B549" i="1"/>
  <c r="A549" i="1"/>
  <c r="J548" i="1"/>
  <c r="I548" i="1"/>
  <c r="H548" i="1"/>
  <c r="G548" i="1"/>
  <c r="F548" i="1"/>
  <c r="E548" i="1"/>
  <c r="D548" i="1"/>
  <c r="C548" i="1"/>
  <c r="B548" i="1"/>
  <c r="A548" i="1"/>
  <c r="J547" i="1"/>
  <c r="I547" i="1"/>
  <c r="H547" i="1"/>
  <c r="G547" i="1"/>
  <c r="F547" i="1"/>
  <c r="E547" i="1"/>
  <c r="D547" i="1"/>
  <c r="C547" i="1"/>
  <c r="B547" i="1"/>
  <c r="A547" i="1"/>
  <c r="J546" i="1"/>
  <c r="I546" i="1"/>
  <c r="H546" i="1"/>
  <c r="G546" i="1"/>
  <c r="F546" i="1"/>
  <c r="E546" i="1"/>
  <c r="D546" i="1"/>
  <c r="C546" i="1"/>
  <c r="B546" i="1"/>
  <c r="A546" i="1"/>
  <c r="J545" i="1"/>
  <c r="I545" i="1"/>
  <c r="H545" i="1"/>
  <c r="G545" i="1"/>
  <c r="F545" i="1"/>
  <c r="E545" i="1"/>
  <c r="D545" i="1"/>
  <c r="C545" i="1"/>
  <c r="B545" i="1"/>
  <c r="A545" i="1"/>
  <c r="J544" i="1"/>
  <c r="I544" i="1"/>
  <c r="H544" i="1"/>
  <c r="G544" i="1"/>
  <c r="F544" i="1"/>
  <c r="E544" i="1"/>
  <c r="D544" i="1"/>
  <c r="C544" i="1"/>
  <c r="B544" i="1"/>
  <c r="A544" i="1"/>
  <c r="J543" i="1"/>
  <c r="I543" i="1"/>
  <c r="H543" i="1"/>
  <c r="G543" i="1"/>
  <c r="F543" i="1"/>
  <c r="E543" i="1"/>
  <c r="D543" i="1"/>
  <c r="C543" i="1"/>
  <c r="B543" i="1"/>
  <c r="A543" i="1"/>
  <c r="J542" i="1"/>
  <c r="I542" i="1"/>
  <c r="H542" i="1"/>
  <c r="G542" i="1"/>
  <c r="F542" i="1"/>
  <c r="E542" i="1"/>
  <c r="D542" i="1"/>
  <c r="C542" i="1"/>
  <c r="B542" i="1"/>
  <c r="A542" i="1"/>
  <c r="J541" i="1"/>
  <c r="I541" i="1"/>
  <c r="H541" i="1"/>
  <c r="G541" i="1"/>
  <c r="F541" i="1"/>
  <c r="E541" i="1"/>
  <c r="D541" i="1"/>
  <c r="C541" i="1"/>
  <c r="B541" i="1"/>
  <c r="A541" i="1"/>
  <c r="J540" i="1"/>
  <c r="I540" i="1"/>
  <c r="H540" i="1"/>
  <c r="G540" i="1"/>
  <c r="F540" i="1"/>
  <c r="E540" i="1"/>
  <c r="D540" i="1"/>
  <c r="C540" i="1"/>
  <c r="B540" i="1"/>
  <c r="A540" i="1"/>
  <c r="J539" i="1"/>
  <c r="I539" i="1"/>
  <c r="H539" i="1"/>
  <c r="G539" i="1"/>
  <c r="F539" i="1"/>
  <c r="E539" i="1"/>
  <c r="D539" i="1"/>
  <c r="C539" i="1"/>
  <c r="B539" i="1"/>
  <c r="A539" i="1"/>
  <c r="J538" i="1"/>
  <c r="I538" i="1"/>
  <c r="H538" i="1"/>
  <c r="G538" i="1"/>
  <c r="F538" i="1"/>
  <c r="E538" i="1"/>
  <c r="D538" i="1"/>
  <c r="C538" i="1"/>
  <c r="B538" i="1"/>
  <c r="A538" i="1"/>
  <c r="J537" i="1"/>
  <c r="I537" i="1"/>
  <c r="H537" i="1"/>
  <c r="G537" i="1"/>
  <c r="F537" i="1"/>
  <c r="E537" i="1"/>
  <c r="D537" i="1"/>
  <c r="C537" i="1"/>
  <c r="B537" i="1"/>
  <c r="A537" i="1"/>
  <c r="J536" i="1"/>
  <c r="I536" i="1"/>
  <c r="H536" i="1"/>
  <c r="G536" i="1"/>
  <c r="F536" i="1"/>
  <c r="E536" i="1"/>
  <c r="D536" i="1"/>
  <c r="C536" i="1"/>
  <c r="B536" i="1"/>
  <c r="A536" i="1"/>
  <c r="J535" i="1"/>
  <c r="I535" i="1"/>
  <c r="H535" i="1"/>
  <c r="G535" i="1"/>
  <c r="F535" i="1"/>
  <c r="E535" i="1"/>
  <c r="D535" i="1"/>
  <c r="C535" i="1"/>
  <c r="B535" i="1"/>
  <c r="A535" i="1"/>
  <c r="J534" i="1"/>
  <c r="I534" i="1"/>
  <c r="H534" i="1"/>
  <c r="G534" i="1"/>
  <c r="F534" i="1"/>
  <c r="E534" i="1"/>
  <c r="D534" i="1"/>
  <c r="C534" i="1"/>
  <c r="B534" i="1"/>
  <c r="A534" i="1"/>
  <c r="J533" i="1"/>
  <c r="I533" i="1"/>
  <c r="H533" i="1"/>
  <c r="G533" i="1"/>
  <c r="F533" i="1"/>
  <c r="E533" i="1"/>
  <c r="D533" i="1"/>
  <c r="C533" i="1"/>
  <c r="B533" i="1"/>
  <c r="A533" i="1"/>
  <c r="J532" i="1"/>
  <c r="I532" i="1"/>
  <c r="H532" i="1"/>
  <c r="G532" i="1"/>
  <c r="F532" i="1"/>
  <c r="E532" i="1"/>
  <c r="D532" i="1"/>
  <c r="C532" i="1"/>
  <c r="B532" i="1"/>
  <c r="A532" i="1"/>
  <c r="J531" i="1"/>
  <c r="I531" i="1"/>
  <c r="H531" i="1"/>
  <c r="G531" i="1"/>
  <c r="F531" i="1"/>
  <c r="E531" i="1"/>
  <c r="D531" i="1"/>
  <c r="C531" i="1"/>
  <c r="B531" i="1"/>
  <c r="A531" i="1"/>
  <c r="J530" i="1"/>
  <c r="I530" i="1"/>
  <c r="H530" i="1"/>
  <c r="G530" i="1"/>
  <c r="F530" i="1"/>
  <c r="E530" i="1"/>
  <c r="D530" i="1"/>
  <c r="C530" i="1"/>
  <c r="B530" i="1"/>
  <c r="A530" i="1"/>
  <c r="J529" i="1"/>
  <c r="I529" i="1"/>
  <c r="H529" i="1"/>
  <c r="G529" i="1"/>
  <c r="F529" i="1"/>
  <c r="E529" i="1"/>
  <c r="D529" i="1"/>
  <c r="C529" i="1"/>
  <c r="B529" i="1"/>
  <c r="A529" i="1"/>
  <c r="J528" i="1"/>
  <c r="I528" i="1"/>
  <c r="H528" i="1"/>
  <c r="G528" i="1"/>
  <c r="F528" i="1"/>
  <c r="E528" i="1"/>
  <c r="D528" i="1"/>
  <c r="C528" i="1"/>
  <c r="B528" i="1"/>
  <c r="A528" i="1"/>
  <c r="J527" i="1"/>
  <c r="I527" i="1"/>
  <c r="H527" i="1"/>
  <c r="G527" i="1"/>
  <c r="F527" i="1"/>
  <c r="E527" i="1"/>
  <c r="D527" i="1"/>
  <c r="C527" i="1"/>
  <c r="B527" i="1"/>
  <c r="A527" i="1"/>
  <c r="J526" i="1"/>
  <c r="I526" i="1"/>
  <c r="H526" i="1"/>
  <c r="G526" i="1"/>
  <c r="F526" i="1"/>
  <c r="E526" i="1"/>
  <c r="D526" i="1"/>
  <c r="C526" i="1"/>
  <c r="B526" i="1"/>
  <c r="A526" i="1"/>
  <c r="J525" i="1"/>
  <c r="I525" i="1"/>
  <c r="H525" i="1"/>
  <c r="G525" i="1"/>
  <c r="F525" i="1"/>
  <c r="E525" i="1"/>
  <c r="D525" i="1"/>
  <c r="C525" i="1"/>
  <c r="B525" i="1"/>
  <c r="A525" i="1"/>
  <c r="J524" i="1"/>
  <c r="I524" i="1"/>
  <c r="H524" i="1"/>
  <c r="G524" i="1"/>
  <c r="F524" i="1"/>
  <c r="E524" i="1"/>
  <c r="D524" i="1"/>
  <c r="C524" i="1"/>
  <c r="B524" i="1"/>
  <c r="A524" i="1"/>
  <c r="J523" i="1"/>
  <c r="I523" i="1"/>
  <c r="H523" i="1"/>
  <c r="G523" i="1"/>
  <c r="F523" i="1"/>
  <c r="E523" i="1"/>
  <c r="D523" i="1"/>
  <c r="C523" i="1"/>
  <c r="B523" i="1"/>
  <c r="A523" i="1"/>
  <c r="J522" i="1"/>
  <c r="I522" i="1"/>
  <c r="H522" i="1"/>
  <c r="G522" i="1"/>
  <c r="F522" i="1"/>
  <c r="E522" i="1"/>
  <c r="D522" i="1"/>
  <c r="C522" i="1"/>
  <c r="B522" i="1"/>
  <c r="A522" i="1"/>
  <c r="J521" i="1"/>
  <c r="I521" i="1"/>
  <c r="H521" i="1"/>
  <c r="G521" i="1"/>
  <c r="F521" i="1"/>
  <c r="E521" i="1"/>
  <c r="D521" i="1"/>
  <c r="C521" i="1"/>
  <c r="B521" i="1"/>
  <c r="A521" i="1"/>
  <c r="J520" i="1"/>
  <c r="I520" i="1"/>
  <c r="H520" i="1"/>
  <c r="G520" i="1"/>
  <c r="F520" i="1"/>
  <c r="E520" i="1"/>
  <c r="D520" i="1"/>
  <c r="C520" i="1"/>
  <c r="B520" i="1"/>
  <c r="A520" i="1"/>
  <c r="J519" i="1"/>
  <c r="I519" i="1"/>
  <c r="H519" i="1"/>
  <c r="G519" i="1"/>
  <c r="F519" i="1"/>
  <c r="E519" i="1"/>
  <c r="D519" i="1"/>
  <c r="C519" i="1"/>
  <c r="B519" i="1"/>
  <c r="A519" i="1"/>
  <c r="J518" i="1"/>
  <c r="I518" i="1"/>
  <c r="H518" i="1"/>
  <c r="G518" i="1"/>
  <c r="F518" i="1"/>
  <c r="E518" i="1"/>
  <c r="D518" i="1"/>
  <c r="C518" i="1"/>
  <c r="B518" i="1"/>
  <c r="A518" i="1"/>
  <c r="J517" i="1"/>
  <c r="I517" i="1"/>
  <c r="H517" i="1"/>
  <c r="G517" i="1"/>
  <c r="F517" i="1"/>
  <c r="E517" i="1"/>
  <c r="D517" i="1"/>
  <c r="C517" i="1"/>
  <c r="B517" i="1"/>
  <c r="A517" i="1"/>
  <c r="J516" i="1"/>
  <c r="I516" i="1"/>
  <c r="H516" i="1"/>
  <c r="G516" i="1"/>
  <c r="F516" i="1"/>
  <c r="E516" i="1"/>
  <c r="D516" i="1"/>
  <c r="C516" i="1"/>
  <c r="B516" i="1"/>
  <c r="A516" i="1"/>
  <c r="J515" i="1"/>
  <c r="I515" i="1"/>
  <c r="H515" i="1"/>
  <c r="G515" i="1"/>
  <c r="F515" i="1"/>
  <c r="E515" i="1"/>
  <c r="D515" i="1"/>
  <c r="C515" i="1"/>
  <c r="B515" i="1"/>
  <c r="A515" i="1"/>
  <c r="J514" i="1"/>
  <c r="I514" i="1"/>
  <c r="H514" i="1"/>
  <c r="G514" i="1"/>
  <c r="F514" i="1"/>
  <c r="E514" i="1"/>
  <c r="D514" i="1"/>
  <c r="C514" i="1"/>
  <c r="B514" i="1"/>
  <c r="A514" i="1"/>
  <c r="J513" i="1"/>
  <c r="I513" i="1"/>
  <c r="H513" i="1"/>
  <c r="G513" i="1"/>
  <c r="F513" i="1"/>
  <c r="E513" i="1"/>
  <c r="D513" i="1"/>
  <c r="C513" i="1"/>
  <c r="B513" i="1"/>
  <c r="A513" i="1"/>
  <c r="J512" i="1"/>
  <c r="I512" i="1"/>
  <c r="H512" i="1"/>
  <c r="G512" i="1"/>
  <c r="F512" i="1"/>
  <c r="E512" i="1"/>
  <c r="D512" i="1"/>
  <c r="C512" i="1"/>
  <c r="B512" i="1"/>
  <c r="A512" i="1"/>
  <c r="J511" i="1"/>
  <c r="I511" i="1"/>
  <c r="H511" i="1"/>
  <c r="G511" i="1"/>
  <c r="F511" i="1"/>
  <c r="E511" i="1"/>
  <c r="D511" i="1"/>
  <c r="C511" i="1"/>
  <c r="B511" i="1"/>
  <c r="A511" i="1"/>
  <c r="J510" i="1"/>
  <c r="I510" i="1"/>
  <c r="H510" i="1"/>
  <c r="G510" i="1"/>
  <c r="F510" i="1"/>
  <c r="E510" i="1"/>
  <c r="D510" i="1"/>
  <c r="C510" i="1"/>
  <c r="B510" i="1"/>
  <c r="A510" i="1"/>
  <c r="J509" i="1"/>
  <c r="I509" i="1"/>
  <c r="H509" i="1"/>
  <c r="G509" i="1"/>
  <c r="F509" i="1"/>
  <c r="E509" i="1"/>
  <c r="D509" i="1"/>
  <c r="C509" i="1"/>
  <c r="B509" i="1"/>
  <c r="A509" i="1"/>
  <c r="J508" i="1"/>
  <c r="I508" i="1"/>
  <c r="H508" i="1"/>
  <c r="G508" i="1"/>
  <c r="F508" i="1"/>
  <c r="E508" i="1"/>
  <c r="D508" i="1"/>
  <c r="C508" i="1"/>
  <c r="B508" i="1"/>
  <c r="A508" i="1"/>
  <c r="J507" i="1"/>
  <c r="I507" i="1"/>
  <c r="H507" i="1"/>
  <c r="G507" i="1"/>
  <c r="F507" i="1"/>
  <c r="E507" i="1"/>
  <c r="D507" i="1"/>
  <c r="C507" i="1"/>
  <c r="B507" i="1"/>
  <c r="A507" i="1"/>
  <c r="J506" i="1"/>
  <c r="I506" i="1"/>
  <c r="H506" i="1"/>
  <c r="G506" i="1"/>
  <c r="F506" i="1"/>
  <c r="E506" i="1"/>
  <c r="D506" i="1"/>
  <c r="C506" i="1"/>
  <c r="B506" i="1"/>
  <c r="A506" i="1"/>
  <c r="J505" i="1"/>
  <c r="H505" i="1"/>
  <c r="G505" i="1"/>
  <c r="F505" i="1"/>
  <c r="E505" i="1"/>
  <c r="D505" i="1"/>
  <c r="C505" i="1"/>
  <c r="B505" i="1"/>
  <c r="A505" i="1"/>
  <c r="J504" i="1"/>
  <c r="H504" i="1"/>
  <c r="G504" i="1"/>
  <c r="F504" i="1"/>
  <c r="E504" i="1"/>
  <c r="D504" i="1"/>
  <c r="C504" i="1"/>
  <c r="B504" i="1"/>
  <c r="A504" i="1"/>
  <c r="J503" i="1"/>
  <c r="H503" i="1"/>
  <c r="G503" i="1"/>
  <c r="F503" i="1"/>
  <c r="E503" i="1"/>
  <c r="D503" i="1"/>
  <c r="C503" i="1"/>
  <c r="B503" i="1"/>
  <c r="A503" i="1"/>
  <c r="J502" i="1"/>
  <c r="H502" i="1"/>
  <c r="G502" i="1"/>
  <c r="F502" i="1"/>
  <c r="E502" i="1"/>
  <c r="D502" i="1"/>
  <c r="C502" i="1"/>
  <c r="B502" i="1"/>
  <c r="A502" i="1"/>
  <c r="J501" i="1"/>
  <c r="H501" i="1"/>
  <c r="G501" i="1"/>
  <c r="F501" i="1"/>
  <c r="E501" i="1"/>
  <c r="D501" i="1"/>
  <c r="C501" i="1"/>
  <c r="B501" i="1"/>
  <c r="A501" i="1"/>
  <c r="J500" i="1"/>
  <c r="H500" i="1"/>
  <c r="G500" i="1"/>
  <c r="F500" i="1"/>
  <c r="E500" i="1"/>
  <c r="D500" i="1"/>
  <c r="C500" i="1"/>
  <c r="B500" i="1"/>
  <c r="A500" i="1"/>
  <c r="J499" i="1"/>
  <c r="H499" i="1"/>
  <c r="G499" i="1"/>
  <c r="F499" i="1"/>
  <c r="E499" i="1"/>
  <c r="D499" i="1"/>
  <c r="C499" i="1"/>
  <c r="B499" i="1"/>
  <c r="A499" i="1"/>
  <c r="J498" i="1"/>
  <c r="I498" i="1"/>
  <c r="H498" i="1"/>
  <c r="G498" i="1"/>
  <c r="F498" i="1"/>
  <c r="E498" i="1"/>
  <c r="D498" i="1"/>
  <c r="C498" i="1"/>
  <c r="B498" i="1"/>
  <c r="A498" i="1"/>
  <c r="J497" i="1"/>
  <c r="I497" i="1"/>
  <c r="H497" i="1"/>
  <c r="G497" i="1"/>
  <c r="F497" i="1"/>
  <c r="E497" i="1"/>
  <c r="D497" i="1"/>
  <c r="C497" i="1"/>
  <c r="B497" i="1"/>
  <c r="A497" i="1"/>
  <c r="J496" i="1"/>
  <c r="I496" i="1"/>
  <c r="H496" i="1"/>
  <c r="G496" i="1"/>
  <c r="F496" i="1"/>
  <c r="E496" i="1"/>
  <c r="D496" i="1"/>
  <c r="C496" i="1"/>
  <c r="B496" i="1"/>
  <c r="A496" i="1"/>
  <c r="J495" i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H435" i="1"/>
  <c r="G435" i="1"/>
  <c r="F435" i="1"/>
  <c r="E435" i="1"/>
  <c r="D435" i="1"/>
  <c r="C435" i="1"/>
  <c r="B435" i="1"/>
  <c r="A435" i="1"/>
  <c r="J434" i="1"/>
  <c r="H434" i="1"/>
  <c r="G434" i="1"/>
  <c r="F434" i="1"/>
  <c r="E434" i="1"/>
  <c r="D434" i="1"/>
  <c r="C434" i="1"/>
  <c r="B434" i="1"/>
  <c r="A434" i="1"/>
  <c r="J433" i="1"/>
  <c r="H433" i="1"/>
  <c r="G433" i="1"/>
  <c r="F433" i="1"/>
  <c r="E433" i="1"/>
  <c r="D433" i="1"/>
  <c r="C433" i="1"/>
  <c r="B433" i="1"/>
  <c r="A433" i="1"/>
  <c r="J432" i="1"/>
  <c r="H432" i="1"/>
  <c r="G432" i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J430" i="1"/>
  <c r="H430" i="1"/>
  <c r="G430" i="1"/>
  <c r="F430" i="1"/>
  <c r="E430" i="1"/>
  <c r="D430" i="1"/>
  <c r="C430" i="1"/>
  <c r="B430" i="1"/>
  <c r="A430" i="1"/>
  <c r="J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H351" i="1"/>
  <c r="G351" i="1"/>
  <c r="F351" i="1"/>
  <c r="E351" i="1"/>
  <c r="D351" i="1"/>
  <c r="C351" i="1"/>
  <c r="B351" i="1"/>
  <c r="A351" i="1"/>
  <c r="J350" i="1"/>
  <c r="H350" i="1"/>
  <c r="G350" i="1"/>
  <c r="F350" i="1"/>
  <c r="E350" i="1"/>
  <c r="D350" i="1"/>
  <c r="C350" i="1"/>
  <c r="B350" i="1"/>
  <c r="A350" i="1"/>
  <c r="J349" i="1"/>
  <c r="H349" i="1"/>
  <c r="G349" i="1"/>
  <c r="F349" i="1"/>
  <c r="E349" i="1"/>
  <c r="D349" i="1"/>
  <c r="C349" i="1"/>
  <c r="B349" i="1"/>
  <c r="A349" i="1"/>
  <c r="J348" i="1"/>
  <c r="H348" i="1"/>
  <c r="G348" i="1"/>
  <c r="F348" i="1"/>
  <c r="E348" i="1"/>
  <c r="D348" i="1"/>
  <c r="C348" i="1"/>
  <c r="B348" i="1"/>
  <c r="A348" i="1"/>
  <c r="J347" i="1"/>
  <c r="H347" i="1"/>
  <c r="G347" i="1"/>
  <c r="F347" i="1"/>
  <c r="E347" i="1"/>
  <c r="D347" i="1"/>
  <c r="C347" i="1"/>
  <c r="B347" i="1"/>
  <c r="A347" i="1"/>
  <c r="J346" i="1"/>
  <c r="H346" i="1"/>
  <c r="G346" i="1"/>
  <c r="F346" i="1"/>
  <c r="E346" i="1"/>
  <c r="D346" i="1"/>
  <c r="C346" i="1"/>
  <c r="B346" i="1"/>
  <c r="A346" i="1"/>
  <c r="J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H281" i="1"/>
  <c r="G281" i="1"/>
  <c r="F281" i="1"/>
  <c r="E281" i="1"/>
  <c r="D281" i="1"/>
  <c r="C281" i="1"/>
  <c r="B281" i="1"/>
  <c r="A281" i="1"/>
  <c r="J280" i="1"/>
  <c r="H280" i="1"/>
  <c r="G280" i="1"/>
  <c r="F280" i="1"/>
  <c r="E280" i="1"/>
  <c r="D280" i="1"/>
  <c r="C280" i="1"/>
  <c r="B280" i="1"/>
  <c r="A280" i="1"/>
  <c r="J279" i="1"/>
  <c r="H279" i="1"/>
  <c r="G279" i="1"/>
  <c r="F279" i="1"/>
  <c r="E279" i="1"/>
  <c r="D279" i="1"/>
  <c r="C279" i="1"/>
  <c r="B279" i="1"/>
  <c r="A279" i="1"/>
  <c r="J278" i="1"/>
  <c r="H278" i="1"/>
  <c r="G278" i="1"/>
  <c r="F278" i="1"/>
  <c r="E278" i="1"/>
  <c r="D278" i="1"/>
  <c r="C278" i="1"/>
  <c r="B278" i="1"/>
  <c r="A278" i="1"/>
  <c r="J277" i="1"/>
  <c r="H277" i="1"/>
  <c r="G277" i="1"/>
  <c r="F277" i="1"/>
  <c r="E277" i="1"/>
  <c r="D277" i="1"/>
  <c r="C277" i="1"/>
  <c r="B277" i="1"/>
  <c r="A277" i="1"/>
  <c r="J276" i="1"/>
  <c r="H276" i="1"/>
  <c r="G276" i="1"/>
  <c r="F276" i="1"/>
  <c r="E276" i="1"/>
  <c r="D276" i="1"/>
  <c r="C276" i="1"/>
  <c r="B276" i="1"/>
  <c r="A276" i="1"/>
  <c r="J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H197" i="1"/>
  <c r="G197" i="1"/>
  <c r="F197" i="1"/>
  <c r="E197" i="1"/>
  <c r="D197" i="1"/>
  <c r="C197" i="1"/>
  <c r="B197" i="1"/>
  <c r="A197" i="1"/>
  <c r="J196" i="1"/>
  <c r="H196" i="1"/>
  <c r="G196" i="1"/>
  <c r="F196" i="1"/>
  <c r="E196" i="1"/>
  <c r="D196" i="1"/>
  <c r="C196" i="1"/>
  <c r="B196" i="1"/>
  <c r="A196" i="1"/>
  <c r="J195" i="1"/>
  <c r="H195" i="1"/>
  <c r="G195" i="1"/>
  <c r="F195" i="1"/>
  <c r="E195" i="1"/>
  <c r="D195" i="1"/>
  <c r="C195" i="1"/>
  <c r="B195" i="1"/>
  <c r="A195" i="1"/>
  <c r="J194" i="1"/>
  <c r="H194" i="1"/>
  <c r="G194" i="1"/>
  <c r="F194" i="1"/>
  <c r="E194" i="1"/>
  <c r="D194" i="1"/>
  <c r="C194" i="1"/>
  <c r="B194" i="1"/>
  <c r="A194" i="1"/>
  <c r="J193" i="1"/>
  <c r="H193" i="1"/>
  <c r="G193" i="1"/>
  <c r="F193" i="1"/>
  <c r="E193" i="1"/>
  <c r="D193" i="1"/>
  <c r="C193" i="1"/>
  <c r="B193" i="1"/>
  <c r="A193" i="1"/>
  <c r="J192" i="1"/>
  <c r="H192" i="1"/>
  <c r="G192" i="1"/>
  <c r="F192" i="1"/>
  <c r="E192" i="1"/>
  <c r="D192" i="1"/>
  <c r="C192" i="1"/>
  <c r="B192" i="1"/>
  <c r="A192" i="1"/>
  <c r="J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H113" i="1"/>
  <c r="G113" i="1"/>
  <c r="F113" i="1"/>
  <c r="E113" i="1"/>
  <c r="D113" i="1"/>
  <c r="C113" i="1"/>
  <c r="B113" i="1"/>
  <c r="A113" i="1"/>
  <c r="J112" i="1"/>
  <c r="H112" i="1"/>
  <c r="G112" i="1"/>
  <c r="F112" i="1"/>
  <c r="E112" i="1"/>
  <c r="D112" i="1"/>
  <c r="C112" i="1"/>
  <c r="B112" i="1"/>
  <c r="A112" i="1"/>
  <c r="J111" i="1"/>
  <c r="H111" i="1"/>
  <c r="G111" i="1"/>
  <c r="F111" i="1"/>
  <c r="E111" i="1"/>
  <c r="D111" i="1"/>
  <c r="C111" i="1"/>
  <c r="B111" i="1"/>
  <c r="A111" i="1"/>
  <c r="J110" i="1"/>
  <c r="H110" i="1"/>
  <c r="G110" i="1"/>
  <c r="F110" i="1"/>
  <c r="E110" i="1"/>
  <c r="D110" i="1"/>
  <c r="C110" i="1"/>
  <c r="B110" i="1"/>
  <c r="A110" i="1"/>
  <c r="J109" i="1"/>
  <c r="H109" i="1"/>
  <c r="G109" i="1"/>
  <c r="F109" i="1"/>
  <c r="E109" i="1"/>
  <c r="D109" i="1"/>
  <c r="C109" i="1"/>
  <c r="B109" i="1"/>
  <c r="A109" i="1"/>
  <c r="J108" i="1"/>
  <c r="H108" i="1"/>
  <c r="G108" i="1"/>
  <c r="F108" i="1"/>
  <c r="E108" i="1"/>
  <c r="D108" i="1"/>
  <c r="C108" i="1"/>
  <c r="B108" i="1"/>
  <c r="A108" i="1"/>
  <c r="J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H36" i="1"/>
  <c r="G36" i="1"/>
  <c r="F36" i="1"/>
  <c r="E36" i="1"/>
  <c r="D36" i="1"/>
  <c r="C36" i="1"/>
  <c r="B36" i="1"/>
  <c r="A36" i="1"/>
  <c r="J35" i="1"/>
  <c r="H35" i="1"/>
  <c r="G35" i="1"/>
  <c r="F35" i="1"/>
  <c r="E35" i="1"/>
  <c r="D35" i="1"/>
  <c r="C35" i="1"/>
  <c r="B35" i="1"/>
  <c r="A35" i="1"/>
  <c r="J34" i="1"/>
  <c r="H34" i="1"/>
  <c r="G34" i="1"/>
  <c r="F34" i="1"/>
  <c r="E34" i="1"/>
  <c r="D34" i="1"/>
  <c r="C34" i="1"/>
  <c r="B34" i="1"/>
  <c r="A34" i="1"/>
  <c r="J33" i="1"/>
  <c r="H33" i="1"/>
  <c r="G33" i="1"/>
  <c r="F33" i="1"/>
  <c r="E33" i="1"/>
  <c r="D33" i="1"/>
  <c r="C33" i="1"/>
  <c r="B33" i="1"/>
  <c r="A33" i="1"/>
  <c r="J32" i="1"/>
  <c r="H32" i="1"/>
  <c r="G32" i="1"/>
  <c r="F32" i="1"/>
  <c r="E32" i="1"/>
  <c r="D32" i="1"/>
  <c r="C32" i="1"/>
  <c r="B32" i="1"/>
  <c r="A32" i="1"/>
  <c r="J31" i="1"/>
  <c r="H31" i="1"/>
  <c r="G31" i="1"/>
  <c r="F31" i="1"/>
  <c r="E31" i="1"/>
  <c r="D31" i="1"/>
  <c r="C31" i="1"/>
  <c r="B31" i="1"/>
  <c r="A31" i="1"/>
  <c r="J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  <c r="J1" i="1"/>
  <c r="I1" i="1"/>
  <c r="H1" i="1"/>
  <c r="G1" i="1"/>
  <c r="F1" i="1"/>
  <c r="E1" i="1"/>
  <c r="D1" i="1"/>
  <c r="C1" i="1"/>
  <c r="B1" i="1"/>
  <c r="A1" i="1"/>
  <c r="O95" i="8"/>
  <c r="N95" i="8"/>
  <c r="M95" i="8"/>
  <c r="L95" i="8"/>
  <c r="K95" i="8"/>
  <c r="J95" i="8"/>
  <c r="I95" i="8"/>
  <c r="H95" i="8"/>
  <c r="G95" i="8"/>
  <c r="O94" i="8"/>
  <c r="N94" i="8"/>
  <c r="M94" i="8"/>
  <c r="L94" i="8"/>
  <c r="K94" i="8"/>
  <c r="J94" i="8"/>
  <c r="I94" i="8"/>
  <c r="H94" i="8"/>
  <c r="G94" i="8"/>
  <c r="O93" i="8"/>
  <c r="N93" i="8"/>
  <c r="M93" i="8"/>
  <c r="L93" i="8"/>
  <c r="K93" i="8"/>
  <c r="J93" i="8"/>
  <c r="I93" i="8"/>
  <c r="H93" i="8"/>
  <c r="G93" i="8"/>
  <c r="O92" i="8"/>
  <c r="N92" i="8"/>
  <c r="M92" i="8"/>
  <c r="L92" i="8"/>
  <c r="K92" i="8"/>
  <c r="J92" i="8"/>
  <c r="I92" i="8"/>
  <c r="H92" i="8"/>
  <c r="G92" i="8"/>
  <c r="O91" i="8"/>
  <c r="N91" i="8"/>
  <c r="M91" i="8"/>
  <c r="L91" i="8"/>
  <c r="K91" i="8"/>
  <c r="J91" i="8"/>
  <c r="I91" i="8"/>
  <c r="H91" i="8"/>
  <c r="G91" i="8"/>
  <c r="O89" i="8"/>
  <c r="N89" i="8"/>
  <c r="M89" i="8"/>
  <c r="L89" i="8"/>
  <c r="K89" i="8"/>
  <c r="J89" i="8"/>
  <c r="I89" i="8"/>
  <c r="H89" i="8"/>
  <c r="G89" i="8"/>
  <c r="O88" i="8"/>
  <c r="N88" i="8"/>
  <c r="M88" i="8"/>
  <c r="L88" i="8"/>
  <c r="K88" i="8"/>
  <c r="J88" i="8"/>
  <c r="I88" i="8"/>
  <c r="H88" i="8"/>
  <c r="G88" i="8"/>
  <c r="O84" i="8"/>
  <c r="N84" i="8"/>
  <c r="M84" i="8"/>
  <c r="L84" i="8"/>
  <c r="K84" i="8"/>
  <c r="J84" i="8"/>
  <c r="I84" i="8"/>
  <c r="H84" i="8"/>
  <c r="G84" i="8"/>
  <c r="O83" i="8"/>
  <c r="N83" i="8"/>
  <c r="M83" i="8"/>
  <c r="L83" i="8"/>
  <c r="K83" i="8"/>
  <c r="J83" i="8"/>
  <c r="I83" i="8"/>
  <c r="H83" i="8"/>
  <c r="G83" i="8"/>
  <c r="O82" i="8"/>
  <c r="N82" i="8"/>
  <c r="M82" i="8"/>
  <c r="L82" i="8"/>
  <c r="K82" i="8"/>
  <c r="J82" i="8"/>
  <c r="I82" i="8"/>
  <c r="H82" i="8"/>
  <c r="G82" i="8"/>
  <c r="O81" i="8"/>
  <c r="N81" i="8"/>
  <c r="M81" i="8"/>
  <c r="L81" i="8"/>
  <c r="K81" i="8"/>
  <c r="J81" i="8"/>
  <c r="I81" i="8"/>
  <c r="H81" i="8"/>
  <c r="G81" i="8"/>
  <c r="O80" i="8"/>
  <c r="N80" i="8"/>
  <c r="M80" i="8"/>
  <c r="L80" i="8"/>
  <c r="K80" i="8"/>
  <c r="J80" i="8"/>
  <c r="I80" i="8"/>
  <c r="H80" i="8"/>
  <c r="G80" i="8"/>
  <c r="O78" i="8"/>
  <c r="N78" i="8"/>
  <c r="M78" i="8"/>
  <c r="L78" i="8"/>
  <c r="K78" i="8"/>
  <c r="J78" i="8"/>
  <c r="I78" i="8"/>
  <c r="H78" i="8"/>
  <c r="G78" i="8"/>
  <c r="O77" i="8"/>
  <c r="N77" i="8"/>
  <c r="M77" i="8"/>
  <c r="L77" i="8"/>
  <c r="K77" i="8"/>
  <c r="J77" i="8"/>
  <c r="I77" i="8"/>
  <c r="H77" i="8"/>
  <c r="G77" i="8"/>
  <c r="O73" i="8"/>
  <c r="N73" i="8"/>
  <c r="M73" i="8"/>
  <c r="L73" i="8"/>
  <c r="K73" i="8"/>
  <c r="J73" i="8"/>
  <c r="I73" i="8"/>
  <c r="H73" i="8"/>
  <c r="G73" i="8"/>
  <c r="O72" i="8"/>
  <c r="N72" i="8"/>
  <c r="M72" i="8"/>
  <c r="L72" i="8"/>
  <c r="K72" i="8"/>
  <c r="J72" i="8"/>
  <c r="I72" i="8"/>
  <c r="H72" i="8"/>
  <c r="G72" i="8"/>
  <c r="O71" i="8"/>
  <c r="N71" i="8"/>
  <c r="M71" i="8"/>
  <c r="L71" i="8"/>
  <c r="K71" i="8"/>
  <c r="J71" i="8"/>
  <c r="I71" i="8"/>
  <c r="H71" i="8"/>
  <c r="G71" i="8"/>
  <c r="O70" i="8"/>
  <c r="N70" i="8"/>
  <c r="M70" i="8"/>
  <c r="L70" i="8"/>
  <c r="K70" i="8"/>
  <c r="J70" i="8"/>
  <c r="I70" i="8"/>
  <c r="H70" i="8"/>
  <c r="G70" i="8"/>
  <c r="O69" i="8"/>
  <c r="N69" i="8"/>
  <c r="M69" i="8"/>
  <c r="L69" i="8"/>
  <c r="K69" i="8"/>
  <c r="J69" i="8"/>
  <c r="I69" i="8"/>
  <c r="H69" i="8"/>
  <c r="G69" i="8"/>
  <c r="O67" i="8"/>
  <c r="N67" i="8"/>
  <c r="M67" i="8"/>
  <c r="L67" i="8"/>
  <c r="K67" i="8"/>
  <c r="J67" i="8"/>
  <c r="I67" i="8"/>
  <c r="H67" i="8"/>
  <c r="G67" i="8"/>
  <c r="O66" i="8"/>
  <c r="N66" i="8"/>
  <c r="M66" i="8"/>
  <c r="L66" i="8"/>
  <c r="K66" i="8"/>
  <c r="J66" i="8"/>
  <c r="I66" i="8"/>
  <c r="H66" i="8"/>
  <c r="G66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K158" i="7"/>
  <c r="J158" i="7"/>
  <c r="I158" i="7"/>
  <c r="H158" i="7"/>
  <c r="G158" i="7"/>
  <c r="F158" i="7"/>
  <c r="E158" i="7"/>
  <c r="D158" i="7"/>
  <c r="C158" i="7"/>
  <c r="B158" i="7"/>
  <c r="K147" i="7"/>
  <c r="J147" i="7"/>
  <c r="I147" i="7"/>
  <c r="H147" i="7"/>
  <c r="G147" i="7"/>
  <c r="F147" i="7"/>
  <c r="E147" i="7"/>
  <c r="D147" i="7"/>
  <c r="C147" i="7"/>
  <c r="B147" i="7"/>
  <c r="K136" i="7"/>
  <c r="J136" i="7"/>
  <c r="I136" i="7"/>
  <c r="H136" i="7"/>
  <c r="G136" i="7"/>
  <c r="F136" i="7"/>
  <c r="E136" i="7"/>
  <c r="D136" i="7"/>
  <c r="C136" i="7"/>
  <c r="B136" i="7"/>
  <c r="K125" i="7"/>
  <c r="J125" i="7"/>
  <c r="I125" i="7"/>
  <c r="H125" i="7"/>
  <c r="G125" i="7"/>
  <c r="F125" i="7"/>
  <c r="E125" i="7"/>
  <c r="D125" i="7"/>
  <c r="C125" i="7"/>
  <c r="B125" i="7"/>
  <c r="K114" i="7"/>
  <c r="J114" i="7"/>
  <c r="I114" i="7"/>
  <c r="H114" i="7"/>
  <c r="G114" i="7"/>
  <c r="F114" i="7"/>
  <c r="E114" i="7"/>
  <c r="D114" i="7"/>
  <c r="C114" i="7"/>
  <c r="B114" i="7"/>
  <c r="K103" i="7"/>
  <c r="J103" i="7"/>
  <c r="I103" i="7"/>
  <c r="H103" i="7"/>
  <c r="G103" i="7"/>
  <c r="F103" i="7"/>
  <c r="E103" i="7"/>
  <c r="D103" i="7"/>
  <c r="C103" i="7"/>
  <c r="B103" i="7"/>
  <c r="K92" i="7"/>
  <c r="J92" i="7"/>
  <c r="I92" i="7"/>
  <c r="H92" i="7"/>
  <c r="G92" i="7"/>
  <c r="F92" i="7"/>
  <c r="E92" i="7"/>
  <c r="D92" i="7"/>
  <c r="C92" i="7"/>
  <c r="B92" i="7"/>
  <c r="K81" i="7"/>
  <c r="J81" i="7"/>
  <c r="I81" i="7"/>
  <c r="H81" i="7"/>
  <c r="G81" i="7"/>
  <c r="F81" i="7"/>
  <c r="E81" i="7"/>
  <c r="D81" i="7"/>
  <c r="C81" i="7"/>
  <c r="B81" i="7"/>
  <c r="K70" i="7"/>
  <c r="J70" i="7"/>
  <c r="I70" i="7"/>
  <c r="H70" i="7"/>
  <c r="G70" i="7"/>
  <c r="F70" i="7"/>
  <c r="E70" i="7"/>
  <c r="D70" i="7"/>
  <c r="C70" i="7"/>
  <c r="B70" i="7"/>
  <c r="K59" i="7"/>
  <c r="J59" i="7"/>
  <c r="I59" i="7"/>
  <c r="H59" i="7"/>
  <c r="G59" i="7"/>
  <c r="F59" i="7"/>
  <c r="E59" i="7"/>
  <c r="D59" i="7"/>
  <c r="C59" i="7"/>
  <c r="B59" i="7"/>
  <c r="K48" i="7"/>
  <c r="J48" i="7"/>
  <c r="I48" i="7"/>
  <c r="H48" i="7"/>
  <c r="G48" i="7"/>
  <c r="F48" i="7"/>
  <c r="E48" i="7"/>
  <c r="D48" i="7"/>
  <c r="C48" i="7"/>
  <c r="B48" i="7"/>
  <c r="K37" i="7"/>
  <c r="J37" i="7"/>
  <c r="I37" i="7"/>
  <c r="H37" i="7"/>
  <c r="G37" i="7"/>
  <c r="F37" i="7"/>
  <c r="E37" i="7"/>
  <c r="D37" i="7"/>
  <c r="C37" i="7"/>
  <c r="B37" i="7"/>
  <c r="K26" i="7"/>
  <c r="J26" i="7"/>
  <c r="I26" i="7"/>
  <c r="H26" i="7"/>
  <c r="G26" i="7"/>
  <c r="F26" i="7"/>
  <c r="E26" i="7"/>
  <c r="D26" i="7"/>
  <c r="C26" i="7"/>
  <c r="B26" i="7"/>
  <c r="K15" i="7"/>
  <c r="J15" i="7"/>
  <c r="I15" i="7"/>
  <c r="H15" i="7"/>
  <c r="G15" i="7"/>
  <c r="F15" i="7"/>
  <c r="E15" i="7"/>
  <c r="D15" i="7"/>
  <c r="C15" i="7"/>
  <c r="B15" i="7"/>
  <c r="K4" i="7"/>
  <c r="J4" i="7"/>
  <c r="I4" i="7"/>
  <c r="H4" i="7"/>
  <c r="G4" i="7"/>
  <c r="F4" i="7"/>
  <c r="E4" i="7"/>
  <c r="D4" i="7"/>
  <c r="C4" i="7"/>
  <c r="B4" i="7"/>
  <c r="H158" i="20"/>
  <c r="G158" i="20"/>
  <c r="F158" i="20"/>
  <c r="E158" i="20"/>
  <c r="D158" i="20"/>
  <c r="C158" i="20"/>
  <c r="B158" i="20"/>
  <c r="H147" i="20"/>
  <c r="G147" i="20"/>
  <c r="F147" i="20"/>
  <c r="E147" i="20"/>
  <c r="D147" i="20"/>
  <c r="C147" i="20"/>
  <c r="B147" i="20"/>
  <c r="H136" i="20"/>
  <c r="G136" i="20"/>
  <c r="F136" i="20"/>
  <c r="E136" i="20"/>
  <c r="D136" i="20"/>
  <c r="C136" i="20"/>
  <c r="B136" i="20"/>
  <c r="H125" i="20"/>
  <c r="G125" i="20"/>
  <c r="F125" i="20"/>
  <c r="E125" i="20"/>
  <c r="D125" i="20"/>
  <c r="C125" i="20"/>
  <c r="B125" i="20"/>
  <c r="H114" i="20"/>
  <c r="G114" i="20"/>
  <c r="F114" i="20"/>
  <c r="E114" i="20"/>
  <c r="D114" i="20"/>
  <c r="C114" i="20"/>
  <c r="B114" i="20"/>
  <c r="H103" i="20"/>
  <c r="G103" i="20"/>
  <c r="F103" i="20"/>
  <c r="E103" i="20"/>
  <c r="D103" i="20"/>
  <c r="C103" i="20"/>
  <c r="B103" i="20"/>
  <c r="H92" i="20"/>
  <c r="G92" i="20"/>
  <c r="F92" i="20"/>
  <c r="E92" i="20"/>
  <c r="D92" i="20"/>
  <c r="C92" i="20"/>
  <c r="B92" i="20"/>
  <c r="H81" i="20"/>
  <c r="G81" i="20"/>
  <c r="F81" i="20"/>
  <c r="E81" i="20"/>
  <c r="D81" i="20"/>
  <c r="C81" i="20"/>
  <c r="B81" i="20"/>
  <c r="H70" i="20"/>
  <c r="G70" i="20"/>
  <c r="F70" i="20"/>
  <c r="E70" i="20"/>
  <c r="D70" i="20"/>
  <c r="C70" i="20"/>
  <c r="B70" i="20"/>
  <c r="H59" i="20"/>
  <c r="G59" i="20"/>
  <c r="F59" i="20"/>
  <c r="E59" i="20"/>
  <c r="D59" i="20"/>
  <c r="C59" i="20"/>
  <c r="B59" i="20"/>
  <c r="H48" i="20"/>
  <c r="G48" i="20"/>
  <c r="F48" i="20"/>
  <c r="E48" i="20"/>
  <c r="D48" i="20"/>
  <c r="C48" i="20"/>
  <c r="B48" i="20"/>
  <c r="H37" i="20"/>
  <c r="G37" i="20"/>
  <c r="F37" i="20"/>
  <c r="E37" i="20"/>
  <c r="D37" i="20"/>
  <c r="C37" i="20"/>
  <c r="B37" i="20"/>
  <c r="H26" i="20"/>
  <c r="G26" i="20"/>
  <c r="F26" i="20"/>
  <c r="E26" i="20"/>
  <c r="D26" i="20"/>
  <c r="C26" i="20"/>
  <c r="B26" i="20"/>
  <c r="H15" i="20"/>
  <c r="G15" i="20"/>
  <c r="F15" i="20"/>
  <c r="E15" i="20"/>
  <c r="D15" i="20"/>
  <c r="C15" i="20"/>
  <c r="B15" i="20"/>
  <c r="H4" i="20"/>
  <c r="G4" i="20"/>
  <c r="F4" i="20"/>
  <c r="E4" i="20"/>
  <c r="D4" i="20"/>
  <c r="C4" i="20"/>
  <c r="B4" i="20"/>
  <c r="J169" i="7" l="1"/>
  <c r="I169" i="7"/>
  <c r="K169" i="7"/>
  <c r="D169" i="20" l="1"/>
  <c r="C169" i="20"/>
  <c r="G169" i="20"/>
  <c r="H169" i="20"/>
  <c r="B169" i="20"/>
  <c r="F169" i="20"/>
  <c r="E169" i="20"/>
  <c r="B169" i="7" l="1"/>
  <c r="B1073" i="2" l="1"/>
  <c r="B1072" i="2"/>
  <c r="B1071" i="2"/>
  <c r="B1070" i="2"/>
  <c r="B1069" i="2"/>
  <c r="B1068" i="2"/>
  <c r="B1066" i="2"/>
  <c r="B1065" i="2"/>
  <c r="B1064" i="2"/>
  <c r="B1063" i="2"/>
  <c r="B1062" i="2"/>
  <c r="B1061" i="2"/>
  <c r="B1060" i="2"/>
  <c r="B1059" i="2"/>
  <c r="B1058" i="2"/>
  <c r="B1056" i="2"/>
  <c r="B1055" i="2"/>
  <c r="B1054" i="2"/>
  <c r="B1053" i="2"/>
  <c r="B1052" i="2"/>
  <c r="B1051" i="2"/>
  <c r="B1050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0" i="2"/>
  <c r="B1029" i="2"/>
  <c r="B1028" i="2"/>
  <c r="B1027" i="2"/>
  <c r="B1026" i="2"/>
  <c r="B1025" i="2"/>
  <c r="B1024" i="2"/>
  <c r="B1023" i="2"/>
  <c r="B1022" i="2"/>
  <c r="B1020" i="2"/>
  <c r="B1019" i="2"/>
  <c r="B1018" i="2"/>
  <c r="B1017" i="2"/>
  <c r="B1016" i="2"/>
  <c r="B1015" i="2"/>
  <c r="B1014" i="2"/>
  <c r="B1013" i="2"/>
  <c r="B1012" i="2"/>
  <c r="B1010" i="2"/>
  <c r="B1009" i="2"/>
  <c r="B1008" i="2"/>
  <c r="B1007" i="2"/>
  <c r="B1006" i="2"/>
  <c r="B1005" i="2"/>
  <c r="B1004" i="2"/>
  <c r="B1002" i="2"/>
  <c r="B1001" i="2"/>
  <c r="B1000" i="2"/>
  <c r="B999" i="2"/>
  <c r="B998" i="2"/>
  <c r="B997" i="2"/>
  <c r="B996" i="2"/>
  <c r="B995" i="2"/>
  <c r="B994" i="2"/>
  <c r="B992" i="2"/>
  <c r="B991" i="2"/>
  <c r="B990" i="2"/>
  <c r="B989" i="2"/>
  <c r="B988" i="2"/>
  <c r="B987" i="2"/>
  <c r="B986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6" i="2"/>
  <c r="B965" i="2"/>
  <c r="B964" i="2"/>
  <c r="B963" i="2"/>
  <c r="B962" i="2"/>
  <c r="B961" i="2"/>
  <c r="B960" i="2"/>
  <c r="B959" i="2"/>
  <c r="B958" i="2"/>
  <c r="B956" i="2"/>
  <c r="B955" i="2"/>
  <c r="B954" i="2"/>
  <c r="B953" i="2"/>
  <c r="B952" i="2"/>
  <c r="B951" i="2"/>
  <c r="B950" i="2"/>
  <c r="B949" i="2"/>
  <c r="B948" i="2"/>
  <c r="B946" i="2"/>
  <c r="B945" i="2"/>
  <c r="B944" i="2"/>
  <c r="B943" i="2"/>
  <c r="B942" i="2"/>
  <c r="B941" i="2"/>
  <c r="B940" i="2"/>
  <c r="B938" i="2"/>
  <c r="B937" i="2"/>
  <c r="B936" i="2"/>
  <c r="B935" i="2"/>
  <c r="B934" i="2"/>
  <c r="B933" i="2"/>
  <c r="B932" i="2"/>
  <c r="B931" i="2"/>
  <c r="B930" i="2"/>
  <c r="B928" i="2"/>
  <c r="B927" i="2"/>
  <c r="B926" i="2"/>
  <c r="B925" i="2"/>
  <c r="B924" i="2"/>
  <c r="B923" i="2"/>
  <c r="B922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2" i="2"/>
  <c r="B901" i="2"/>
  <c r="B900" i="2"/>
  <c r="B899" i="2"/>
  <c r="B898" i="2"/>
  <c r="B897" i="2"/>
  <c r="B896" i="2"/>
  <c r="B895" i="2"/>
  <c r="B894" i="2"/>
  <c r="B892" i="2"/>
  <c r="B891" i="2"/>
  <c r="B890" i="2"/>
  <c r="B889" i="2"/>
  <c r="B888" i="2"/>
  <c r="B887" i="2"/>
  <c r="B886" i="2"/>
  <c r="B885" i="2"/>
  <c r="B884" i="2"/>
  <c r="B882" i="2"/>
  <c r="B881" i="2"/>
  <c r="B880" i="2"/>
  <c r="B879" i="2"/>
  <c r="B878" i="2"/>
  <c r="B877" i="2"/>
  <c r="B876" i="2"/>
  <c r="B874" i="2"/>
  <c r="B873" i="2"/>
  <c r="B872" i="2"/>
  <c r="B871" i="2"/>
  <c r="B870" i="2"/>
  <c r="B869" i="2"/>
  <c r="B868" i="2"/>
  <c r="B867" i="2"/>
  <c r="B866" i="2"/>
  <c r="B864" i="2"/>
  <c r="B863" i="2"/>
  <c r="B862" i="2"/>
  <c r="B861" i="2"/>
  <c r="B860" i="2"/>
  <c r="B859" i="2"/>
  <c r="B858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8" i="2"/>
  <c r="B837" i="2"/>
  <c r="B836" i="2"/>
  <c r="B835" i="2"/>
  <c r="B834" i="2"/>
  <c r="B833" i="2"/>
  <c r="B832" i="2"/>
  <c r="B831" i="2"/>
  <c r="B830" i="2"/>
  <c r="B828" i="2"/>
  <c r="B827" i="2"/>
  <c r="B826" i="2"/>
  <c r="B825" i="2"/>
  <c r="B824" i="2"/>
  <c r="B823" i="2"/>
  <c r="B822" i="2"/>
  <c r="B821" i="2"/>
  <c r="B820" i="2"/>
  <c r="B818" i="2"/>
  <c r="B817" i="2"/>
  <c r="B816" i="2"/>
  <c r="B815" i="2"/>
  <c r="B814" i="2"/>
  <c r="B813" i="2"/>
  <c r="B812" i="2"/>
  <c r="B810" i="2"/>
  <c r="B809" i="2"/>
  <c r="B808" i="2"/>
  <c r="B807" i="2"/>
  <c r="B806" i="2"/>
  <c r="B805" i="2"/>
  <c r="B804" i="2"/>
  <c r="B803" i="2"/>
  <c r="B802" i="2"/>
  <c r="B800" i="2"/>
  <c r="B799" i="2"/>
  <c r="B798" i="2"/>
  <c r="B797" i="2"/>
  <c r="B796" i="2"/>
  <c r="B795" i="2"/>
  <c r="B794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4" i="2"/>
  <c r="B773" i="2"/>
  <c r="B772" i="2"/>
  <c r="B771" i="2"/>
  <c r="B770" i="2"/>
  <c r="B769" i="2"/>
  <c r="B768" i="2"/>
  <c r="B767" i="2"/>
  <c r="B766" i="2"/>
  <c r="B764" i="2"/>
  <c r="B763" i="2"/>
  <c r="B762" i="2"/>
  <c r="B761" i="2"/>
  <c r="B760" i="2"/>
  <c r="B759" i="2"/>
  <c r="B758" i="2"/>
  <c r="B757" i="2"/>
  <c r="B756" i="2"/>
  <c r="B754" i="2"/>
  <c r="B753" i="2"/>
  <c r="B752" i="2"/>
  <c r="B751" i="2"/>
  <c r="B750" i="2"/>
  <c r="B749" i="2"/>
  <c r="B748" i="2"/>
  <c r="B746" i="2"/>
  <c r="B745" i="2"/>
  <c r="B744" i="2"/>
  <c r="B743" i="2"/>
  <c r="B742" i="2"/>
  <c r="B741" i="2"/>
  <c r="B740" i="2"/>
  <c r="B739" i="2"/>
  <c r="B738" i="2"/>
  <c r="B736" i="2"/>
  <c r="B735" i="2"/>
  <c r="B734" i="2"/>
  <c r="B733" i="2"/>
  <c r="B732" i="2"/>
  <c r="B731" i="2"/>
  <c r="B730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0" i="2"/>
  <c r="B709" i="2"/>
  <c r="B708" i="2"/>
  <c r="B707" i="2"/>
  <c r="B706" i="2"/>
  <c r="B705" i="2"/>
  <c r="B704" i="2"/>
  <c r="B703" i="2"/>
  <c r="B702" i="2"/>
  <c r="B700" i="2"/>
  <c r="B699" i="2"/>
  <c r="B698" i="2"/>
  <c r="B697" i="2"/>
  <c r="B696" i="2"/>
  <c r="B695" i="2"/>
  <c r="B694" i="2"/>
  <c r="B693" i="2"/>
  <c r="B692" i="2"/>
  <c r="B690" i="2"/>
  <c r="B689" i="2"/>
  <c r="B688" i="2"/>
  <c r="B687" i="2"/>
  <c r="B686" i="2"/>
  <c r="B685" i="2"/>
  <c r="B684" i="2"/>
  <c r="B682" i="2"/>
  <c r="B681" i="2"/>
  <c r="B680" i="2"/>
  <c r="B679" i="2"/>
  <c r="B678" i="2"/>
  <c r="B677" i="2"/>
  <c r="B676" i="2"/>
  <c r="B675" i="2"/>
  <c r="B674" i="2"/>
  <c r="B672" i="2"/>
  <c r="B671" i="2"/>
  <c r="B670" i="2"/>
  <c r="B669" i="2"/>
  <c r="B668" i="2"/>
  <c r="B667" i="2"/>
  <c r="B666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6" i="2"/>
  <c r="B645" i="2"/>
  <c r="B644" i="2"/>
  <c r="B643" i="2"/>
  <c r="B642" i="2"/>
  <c r="B641" i="2"/>
  <c r="B640" i="2"/>
  <c r="B639" i="2"/>
  <c r="B638" i="2"/>
  <c r="B636" i="2"/>
  <c r="B635" i="2"/>
  <c r="B634" i="2"/>
  <c r="B633" i="2"/>
  <c r="B632" i="2"/>
  <c r="B631" i="2"/>
  <c r="B630" i="2"/>
  <c r="B629" i="2"/>
  <c r="B628" i="2"/>
  <c r="B626" i="2"/>
  <c r="B625" i="2"/>
  <c r="B624" i="2"/>
  <c r="B623" i="2"/>
  <c r="B622" i="2"/>
  <c r="B621" i="2"/>
  <c r="B620" i="2"/>
  <c r="B618" i="2"/>
  <c r="B617" i="2"/>
  <c r="B616" i="2"/>
  <c r="B615" i="2"/>
  <c r="B614" i="2"/>
  <c r="B613" i="2"/>
  <c r="B612" i="2"/>
  <c r="B611" i="2"/>
  <c r="B610" i="2"/>
  <c r="B608" i="2"/>
  <c r="B607" i="2"/>
  <c r="B606" i="2"/>
  <c r="B605" i="2"/>
  <c r="B604" i="2"/>
  <c r="B603" i="2"/>
  <c r="B602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2" i="2"/>
  <c r="B581" i="2"/>
  <c r="B580" i="2"/>
  <c r="B579" i="2"/>
  <c r="B578" i="2"/>
  <c r="B577" i="2"/>
  <c r="B576" i="2"/>
  <c r="B575" i="2"/>
  <c r="B574" i="2"/>
  <c r="B572" i="2"/>
  <c r="B571" i="2"/>
  <c r="B570" i="2"/>
  <c r="B569" i="2"/>
  <c r="B568" i="2"/>
  <c r="B567" i="2"/>
  <c r="B566" i="2"/>
  <c r="B565" i="2"/>
  <c r="B564" i="2"/>
  <c r="B562" i="2"/>
  <c r="B561" i="2"/>
  <c r="B560" i="2"/>
  <c r="B559" i="2"/>
  <c r="B558" i="2"/>
  <c r="B557" i="2"/>
  <c r="B556" i="2"/>
  <c r="B554" i="2"/>
  <c r="B553" i="2"/>
  <c r="B552" i="2"/>
  <c r="B551" i="2"/>
  <c r="B550" i="2"/>
  <c r="B549" i="2"/>
  <c r="B548" i="2"/>
  <c r="B547" i="2"/>
  <c r="B546" i="2"/>
  <c r="B544" i="2"/>
  <c r="B543" i="2"/>
  <c r="B542" i="2"/>
  <c r="B541" i="2"/>
  <c r="B540" i="2"/>
  <c r="B539" i="2"/>
  <c r="B538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8" i="2"/>
  <c r="B517" i="2"/>
  <c r="B516" i="2"/>
  <c r="B515" i="2"/>
  <c r="B514" i="2"/>
  <c r="B513" i="2"/>
  <c r="B512" i="2"/>
  <c r="B511" i="2"/>
  <c r="B510" i="2"/>
  <c r="B508" i="2"/>
  <c r="B507" i="2"/>
  <c r="B506" i="2"/>
  <c r="B505" i="2"/>
  <c r="B504" i="2"/>
  <c r="B503" i="2"/>
  <c r="B502" i="2"/>
  <c r="B501" i="2"/>
  <c r="B500" i="2"/>
  <c r="B498" i="2"/>
  <c r="B497" i="2"/>
  <c r="B496" i="2"/>
  <c r="B495" i="2"/>
  <c r="B494" i="2"/>
  <c r="B493" i="2"/>
  <c r="B492" i="2"/>
  <c r="B490" i="2"/>
  <c r="B489" i="2"/>
  <c r="B488" i="2"/>
  <c r="B487" i="2"/>
  <c r="B486" i="2"/>
  <c r="B485" i="2"/>
  <c r="B484" i="2"/>
  <c r="B483" i="2"/>
  <c r="B482" i="2"/>
  <c r="B480" i="2"/>
  <c r="B479" i="2"/>
  <c r="B478" i="2"/>
  <c r="B477" i="2"/>
  <c r="B476" i="2"/>
  <c r="B475" i="2"/>
  <c r="B474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4" i="2"/>
  <c r="B453" i="2"/>
  <c r="B452" i="2"/>
  <c r="B451" i="2"/>
  <c r="B450" i="2"/>
  <c r="B449" i="2"/>
  <c r="B448" i="2"/>
  <c r="B447" i="2"/>
  <c r="B446" i="2"/>
  <c r="B444" i="2"/>
  <c r="B443" i="2"/>
  <c r="B442" i="2"/>
  <c r="B441" i="2"/>
  <c r="B440" i="2"/>
  <c r="B439" i="2"/>
  <c r="B438" i="2"/>
  <c r="B437" i="2"/>
  <c r="B436" i="2"/>
  <c r="B434" i="2"/>
  <c r="B433" i="2"/>
  <c r="B432" i="2"/>
  <c r="B431" i="2"/>
  <c r="B430" i="2"/>
  <c r="B429" i="2"/>
  <c r="B428" i="2"/>
  <c r="B426" i="2"/>
  <c r="B425" i="2"/>
  <c r="B424" i="2"/>
  <c r="B423" i="2"/>
  <c r="B422" i="2"/>
  <c r="B421" i="2"/>
  <c r="B420" i="2"/>
  <c r="B419" i="2"/>
  <c r="B418" i="2"/>
  <c r="B416" i="2"/>
  <c r="B415" i="2"/>
  <c r="B414" i="2"/>
  <c r="B413" i="2"/>
  <c r="B412" i="2"/>
  <c r="B411" i="2"/>
  <c r="B410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0" i="2"/>
  <c r="B389" i="2"/>
  <c r="B388" i="2"/>
  <c r="B387" i="2"/>
  <c r="B386" i="2"/>
  <c r="B385" i="2"/>
  <c r="B384" i="2"/>
  <c r="B383" i="2"/>
  <c r="B382" i="2"/>
  <c r="B380" i="2"/>
  <c r="B379" i="2"/>
  <c r="B378" i="2"/>
  <c r="B377" i="2"/>
  <c r="B376" i="2"/>
  <c r="B375" i="2"/>
  <c r="B374" i="2"/>
  <c r="B373" i="2"/>
  <c r="B372" i="2"/>
  <c r="B370" i="2"/>
  <c r="B369" i="2"/>
  <c r="B368" i="2"/>
  <c r="B367" i="2"/>
  <c r="B366" i="2"/>
  <c r="B365" i="2"/>
  <c r="B364" i="2"/>
  <c r="B362" i="2"/>
  <c r="B361" i="2"/>
  <c r="B360" i="2"/>
  <c r="B359" i="2"/>
  <c r="B358" i="2"/>
  <c r="B357" i="2"/>
  <c r="B356" i="2"/>
  <c r="B355" i="2"/>
  <c r="B354" i="2"/>
  <c r="B352" i="2"/>
  <c r="B351" i="2"/>
  <c r="B350" i="2"/>
  <c r="B349" i="2"/>
  <c r="B348" i="2"/>
  <c r="B347" i="2"/>
  <c r="B346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6" i="2"/>
  <c r="B325" i="2"/>
  <c r="B324" i="2"/>
  <c r="B323" i="2"/>
  <c r="B322" i="2"/>
  <c r="B321" i="2"/>
  <c r="B320" i="2"/>
  <c r="B319" i="2"/>
  <c r="A319" i="2"/>
  <c r="A48" i="20" s="1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8" i="2"/>
  <c r="B297" i="2"/>
  <c r="B296" i="2"/>
  <c r="B295" i="2"/>
  <c r="B294" i="2"/>
  <c r="B293" i="2"/>
  <c r="B292" i="2"/>
  <c r="B291" i="2"/>
  <c r="B290" i="2"/>
  <c r="B288" i="2"/>
  <c r="B287" i="2"/>
  <c r="B286" i="2"/>
  <c r="B285" i="2"/>
  <c r="B284" i="2"/>
  <c r="B283" i="2"/>
  <c r="B282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2" i="2"/>
  <c r="B251" i="2"/>
  <c r="B250" i="2"/>
  <c r="B249" i="2"/>
  <c r="B248" i="2"/>
  <c r="B247" i="2"/>
  <c r="B246" i="2"/>
  <c r="B245" i="2"/>
  <c r="B244" i="2"/>
  <c r="B242" i="2"/>
  <c r="B241" i="2"/>
  <c r="B240" i="2"/>
  <c r="B239" i="2"/>
  <c r="B238" i="2"/>
  <c r="B237" i="2"/>
  <c r="B236" i="2"/>
  <c r="B234" i="2"/>
  <c r="B233" i="2"/>
  <c r="B232" i="2"/>
  <c r="B231" i="2"/>
  <c r="B230" i="2"/>
  <c r="B229" i="2"/>
  <c r="B228" i="2"/>
  <c r="B227" i="2"/>
  <c r="B226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8" i="2"/>
  <c r="B197" i="2"/>
  <c r="B196" i="2"/>
  <c r="B195" i="2"/>
  <c r="B194" i="2"/>
  <c r="B193" i="2"/>
  <c r="B192" i="2"/>
  <c r="B191" i="2"/>
  <c r="B190" i="2"/>
  <c r="B188" i="2"/>
  <c r="B187" i="2"/>
  <c r="B186" i="2"/>
  <c r="B185" i="2"/>
  <c r="B184" i="2"/>
  <c r="B183" i="2"/>
  <c r="B182" i="2"/>
  <c r="B181" i="2"/>
  <c r="B180" i="2"/>
  <c r="B178" i="2"/>
  <c r="B177" i="2"/>
  <c r="B176" i="2"/>
  <c r="B175" i="2"/>
  <c r="B174" i="2"/>
  <c r="B173" i="2"/>
  <c r="B172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4" i="2"/>
  <c r="B133" i="2"/>
  <c r="B132" i="2"/>
  <c r="B131" i="2"/>
  <c r="B130" i="2"/>
  <c r="B129" i="2"/>
  <c r="B128" i="2"/>
  <c r="B127" i="2"/>
  <c r="B126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6" i="2"/>
  <c r="B95" i="2"/>
  <c r="B94" i="2"/>
  <c r="B93" i="2"/>
  <c r="B92" i="2"/>
  <c r="B91" i="2"/>
  <c r="B90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0" i="2"/>
  <c r="B69" i="2"/>
  <c r="B68" i="2"/>
  <c r="B67" i="2"/>
  <c r="B66" i="2"/>
  <c r="B65" i="2"/>
  <c r="B64" i="2"/>
  <c r="B63" i="2"/>
  <c r="B62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H3" i="20" s="1"/>
  <c r="B9" i="2"/>
  <c r="G3" i="20" s="1"/>
  <c r="B8" i="2"/>
  <c r="F3" i="20" s="1"/>
  <c r="B7" i="2"/>
  <c r="E3" i="20" s="1"/>
  <c r="B6" i="2"/>
  <c r="D3" i="20" s="1"/>
  <c r="B5" i="2"/>
  <c r="C3" i="20" s="1"/>
  <c r="B4" i="2"/>
  <c r="B3" i="20" s="1"/>
  <c r="B1074" i="2"/>
  <c r="B1021" i="2"/>
  <c r="B957" i="2"/>
  <c r="B893" i="2"/>
  <c r="B829" i="2"/>
  <c r="B765" i="2"/>
  <c r="B701" i="2"/>
  <c r="B637" i="2"/>
  <c r="B573" i="2"/>
  <c r="B509" i="2"/>
  <c r="B445" i="2"/>
  <c r="B381" i="2"/>
  <c r="B253" i="2"/>
  <c r="B189" i="2"/>
  <c r="B125" i="2"/>
  <c r="B61" i="2"/>
  <c r="B1067" i="2"/>
  <c r="B1057" i="2"/>
  <c r="B1049" i="2"/>
  <c r="B1031" i="2"/>
  <c r="B1011" i="2"/>
  <c r="B1003" i="2"/>
  <c r="B993" i="2"/>
  <c r="B985" i="2"/>
  <c r="B967" i="2"/>
  <c r="B947" i="2"/>
  <c r="B939" i="2"/>
  <c r="B929" i="2"/>
  <c r="B921" i="2"/>
  <c r="B903" i="2"/>
  <c r="B883" i="2"/>
  <c r="B875" i="2"/>
  <c r="B865" i="2"/>
  <c r="B857" i="2"/>
  <c r="B839" i="2"/>
  <c r="B819" i="2"/>
  <c r="B811" i="2"/>
  <c r="B801" i="2"/>
  <c r="B793" i="2"/>
  <c r="B775" i="2"/>
  <c r="B755" i="2"/>
  <c r="B747" i="2"/>
  <c r="B737" i="2"/>
  <c r="B729" i="2"/>
  <c r="B711" i="2"/>
  <c r="B691" i="2"/>
  <c r="B683" i="2"/>
  <c r="B673" i="2"/>
  <c r="B665" i="2"/>
  <c r="B647" i="2"/>
  <c r="B627" i="2"/>
  <c r="B619" i="2"/>
  <c r="B609" i="2"/>
  <c r="B601" i="2"/>
  <c r="B583" i="2"/>
  <c r="B563" i="2"/>
  <c r="B555" i="2"/>
  <c r="B545" i="2"/>
  <c r="B537" i="2"/>
  <c r="B519" i="2"/>
  <c r="B499" i="2"/>
  <c r="B491" i="2"/>
  <c r="B481" i="2"/>
  <c r="B473" i="2"/>
  <c r="B455" i="2"/>
  <c r="B435" i="2"/>
  <c r="B427" i="2"/>
  <c r="B417" i="2"/>
  <c r="B409" i="2"/>
  <c r="B391" i="2"/>
  <c r="B371" i="2"/>
  <c r="B363" i="2"/>
  <c r="B353" i="2"/>
  <c r="B345" i="2"/>
  <c r="B327" i="2"/>
  <c r="B299" i="2"/>
  <c r="B289" i="2"/>
  <c r="B281" i="2"/>
  <c r="B243" i="2"/>
  <c r="B235" i="2"/>
  <c r="B225" i="2"/>
  <c r="B199" i="2"/>
  <c r="B179" i="2"/>
  <c r="B171" i="2"/>
  <c r="B153" i="2"/>
  <c r="B135" i="2"/>
  <c r="B115" i="2"/>
  <c r="B97" i="2"/>
  <c r="B89" i="2"/>
  <c r="B71" i="2"/>
  <c r="B43" i="2"/>
  <c r="B25" i="2"/>
  <c r="E3" i="17" l="1"/>
  <c r="E3" i="18"/>
  <c r="H3" i="18"/>
  <c r="H3" i="17"/>
  <c r="C3" i="18"/>
  <c r="C3" i="17"/>
  <c r="G3" i="18"/>
  <c r="G3" i="17"/>
  <c r="D3" i="17"/>
  <c r="D3" i="18"/>
  <c r="A48" i="17"/>
  <c r="A48" i="18"/>
  <c r="B3" i="18"/>
  <c r="B3" i="17"/>
  <c r="F3" i="18"/>
  <c r="F3" i="17"/>
  <c r="E3" i="16"/>
  <c r="E3" i="10"/>
  <c r="D3" i="16"/>
  <c r="D3" i="10"/>
  <c r="H3" i="16"/>
  <c r="H3" i="10"/>
  <c r="A48" i="16"/>
  <c r="A48" i="10"/>
  <c r="C3" i="16"/>
  <c r="C3" i="10"/>
  <c r="G3" i="16"/>
  <c r="G3" i="10"/>
  <c r="B3" i="16"/>
  <c r="B3" i="10"/>
  <c r="F3" i="16"/>
  <c r="F3" i="10"/>
  <c r="D3" i="9"/>
  <c r="D3" i="13"/>
  <c r="D3" i="12"/>
  <c r="D3" i="11"/>
  <c r="H3" i="9"/>
  <c r="H3" i="13"/>
  <c r="H3" i="12"/>
  <c r="H3" i="11"/>
  <c r="A48" i="9"/>
  <c r="A48" i="12"/>
  <c r="A48" i="11"/>
  <c r="A48" i="13"/>
  <c r="C3" i="9"/>
  <c r="C3" i="12"/>
  <c r="C3" i="11"/>
  <c r="C3" i="13"/>
  <c r="G3" i="9"/>
  <c r="G3" i="12"/>
  <c r="G3" i="13"/>
  <c r="G3" i="11"/>
  <c r="E3" i="9"/>
  <c r="E3" i="11"/>
  <c r="E3" i="13"/>
  <c r="E3" i="12"/>
  <c r="B3" i="9"/>
  <c r="B3" i="11"/>
  <c r="B3" i="13"/>
  <c r="B3" i="12"/>
  <c r="F3" i="9"/>
  <c r="F3" i="11"/>
  <c r="F3" i="12"/>
  <c r="F3" i="13"/>
  <c r="D3" i="6"/>
  <c r="D3" i="7"/>
  <c r="H3" i="6"/>
  <c r="H3" i="7"/>
  <c r="F3" i="6"/>
  <c r="F3" i="7"/>
  <c r="G3" i="6"/>
  <c r="G3" i="7"/>
  <c r="C3" i="6"/>
  <c r="C3" i="7"/>
  <c r="E3" i="6"/>
  <c r="E3" i="7"/>
  <c r="A48" i="6"/>
  <c r="A48" i="7"/>
  <c r="B3" i="6"/>
  <c r="B3" i="7"/>
  <c r="F1074" i="2"/>
  <c r="A1074" i="2"/>
  <c r="C1073" i="2"/>
  <c r="H1073" i="2"/>
  <c r="G1073" i="2"/>
  <c r="A1073" i="2"/>
  <c r="C1072" i="2"/>
  <c r="H1072" i="2"/>
  <c r="G1072" i="2"/>
  <c r="A1072" i="2"/>
  <c r="C1071" i="2"/>
  <c r="H1071" i="2"/>
  <c r="D1071" i="2"/>
  <c r="A1071" i="2"/>
  <c r="E1070" i="2"/>
  <c r="D1070" i="2"/>
  <c r="F1069" i="2"/>
  <c r="E1069" i="2"/>
  <c r="D1069" i="2"/>
  <c r="G1068" i="2"/>
  <c r="F1068" i="2"/>
  <c r="E1068" i="2"/>
  <c r="D1068" i="2"/>
  <c r="G1067" i="2"/>
  <c r="F1067" i="2"/>
  <c r="E1067" i="2"/>
  <c r="C1066" i="2"/>
  <c r="H1066" i="2"/>
  <c r="G1066" i="2"/>
  <c r="F1066" i="2"/>
  <c r="E1066" i="2"/>
  <c r="A1066" i="2"/>
  <c r="C1065" i="2"/>
  <c r="H1065" i="2"/>
  <c r="G1065" i="2"/>
  <c r="A1065" i="2"/>
  <c r="C1064" i="2"/>
  <c r="H1064" i="2"/>
  <c r="G1064" i="2"/>
  <c r="A1064" i="2"/>
  <c r="C1063" i="2"/>
  <c r="H1063" i="2"/>
  <c r="D1063" i="2"/>
  <c r="A1063" i="2"/>
  <c r="C1062" i="2"/>
  <c r="E1062" i="2"/>
  <c r="D1062" i="2"/>
  <c r="A1062" i="2"/>
  <c r="F1061" i="2"/>
  <c r="E1061" i="2"/>
  <c r="D1061" i="2"/>
  <c r="G1060" i="2"/>
  <c r="H157" i="4" s="1"/>
  <c r="F1060" i="2"/>
  <c r="H157" i="3" s="1"/>
  <c r="E1060" i="2"/>
  <c r="D1060" i="2"/>
  <c r="H1059" i="2"/>
  <c r="G157" i="5" s="1"/>
  <c r="G1059" i="2"/>
  <c r="G157" i="4" s="1"/>
  <c r="F1059" i="2"/>
  <c r="G157" i="3" s="1"/>
  <c r="E1059" i="2"/>
  <c r="D1059" i="2"/>
  <c r="C1058" i="2"/>
  <c r="H1058" i="2"/>
  <c r="F157" i="5" s="1"/>
  <c r="G1058" i="2"/>
  <c r="F157" i="4" s="1"/>
  <c r="F1058" i="2"/>
  <c r="F157" i="3" s="1"/>
  <c r="E1058" i="2"/>
  <c r="A1058" i="2"/>
  <c r="C1057" i="2"/>
  <c r="H1057" i="2"/>
  <c r="E157" i="5" s="1"/>
  <c r="G1057" i="2"/>
  <c r="E157" i="4" s="1"/>
  <c r="F1057" i="2"/>
  <c r="E157" i="3" s="1"/>
  <c r="A1057" i="2"/>
  <c r="C1056" i="2"/>
  <c r="H1056" i="2"/>
  <c r="D157" i="5" s="1"/>
  <c r="A1056" i="2"/>
  <c r="C1055" i="2"/>
  <c r="D1055" i="2"/>
  <c r="A1055" i="2"/>
  <c r="C1054" i="2"/>
  <c r="A157" i="20" s="1"/>
  <c r="E1054" i="2"/>
  <c r="D1054" i="2"/>
  <c r="F1053" i="2"/>
  <c r="H155" i="3" s="1"/>
  <c r="E1053" i="2"/>
  <c r="D1053" i="2"/>
  <c r="F1052" i="2"/>
  <c r="G155" i="3" s="1"/>
  <c r="E1052" i="2"/>
  <c r="D1052" i="2"/>
  <c r="H1051" i="2"/>
  <c r="F155" i="5" s="1"/>
  <c r="G1051" i="2"/>
  <c r="F155" i="4" s="1"/>
  <c r="F1051" i="2"/>
  <c r="F155" i="3" s="1"/>
  <c r="E1051" i="2"/>
  <c r="C1050" i="2"/>
  <c r="H1050" i="2"/>
  <c r="E155" i="5" s="1"/>
  <c r="G1050" i="2"/>
  <c r="E155" i="4" s="1"/>
  <c r="F1050" i="2"/>
  <c r="E155" i="3" s="1"/>
  <c r="A1050" i="2"/>
  <c r="C1049" i="2"/>
  <c r="H1049" i="2"/>
  <c r="D155" i="5" s="1"/>
  <c r="G1049" i="2"/>
  <c r="D155" i="4" s="1"/>
  <c r="F1049" i="2"/>
  <c r="D155" i="3" s="1"/>
  <c r="A1049" i="2"/>
  <c r="C1048" i="2"/>
  <c r="H1048" i="2"/>
  <c r="C155" i="5" s="1"/>
  <c r="G1048" i="2"/>
  <c r="C155" i="4" s="1"/>
  <c r="A1048" i="2"/>
  <c r="C1047" i="2"/>
  <c r="A155" i="20" s="1"/>
  <c r="D1047" i="2"/>
  <c r="A1047" i="2"/>
  <c r="E1046" i="2"/>
  <c r="D1046" i="2"/>
  <c r="A1046" i="2"/>
  <c r="F1045" i="2"/>
  <c r="G153" i="3" s="1"/>
  <c r="E1045" i="2"/>
  <c r="D1045" i="2"/>
  <c r="G1044" i="2"/>
  <c r="F153" i="4" s="1"/>
  <c r="F1044" i="2"/>
  <c r="F153" i="3" s="1"/>
  <c r="E1044" i="2"/>
  <c r="D1044" i="2"/>
  <c r="H1043" i="2"/>
  <c r="E153" i="5" s="1"/>
  <c r="G1043" i="2"/>
  <c r="E153" i="4" s="1"/>
  <c r="F1043" i="2"/>
  <c r="E153" i="3" s="1"/>
  <c r="E1043" i="2"/>
  <c r="D1043" i="2"/>
  <c r="C1042" i="2"/>
  <c r="H1042" i="2"/>
  <c r="D153" i="5" s="1"/>
  <c r="G1042" i="2"/>
  <c r="D153" i="4" s="1"/>
  <c r="F1042" i="2"/>
  <c r="D153" i="3" s="1"/>
  <c r="E1042" i="2"/>
  <c r="A1042" i="2"/>
  <c r="C1041" i="2"/>
  <c r="H1041" i="2"/>
  <c r="C153" i="5" s="1"/>
  <c r="G1041" i="2"/>
  <c r="C153" i="4" s="1"/>
  <c r="A1041" i="2"/>
  <c r="C1040" i="2"/>
  <c r="A153" i="20" s="1"/>
  <c r="H1040" i="2"/>
  <c r="A1040" i="2"/>
  <c r="C1039" i="2"/>
  <c r="D1039" i="2"/>
  <c r="A1039" i="2"/>
  <c r="C1038" i="2"/>
  <c r="E1038" i="2"/>
  <c r="D1038" i="2"/>
  <c r="A1038" i="2"/>
  <c r="F1037" i="2"/>
  <c r="F152" i="3" s="1"/>
  <c r="E1037" i="2"/>
  <c r="D1037" i="2"/>
  <c r="G1036" i="2"/>
  <c r="E152" i="4" s="1"/>
  <c r="F1036" i="2"/>
  <c r="E152" i="3" s="1"/>
  <c r="E1036" i="2"/>
  <c r="D1036" i="2"/>
  <c r="H1035" i="2"/>
  <c r="D152" i="5" s="1"/>
  <c r="G1035" i="2"/>
  <c r="D152" i="4" s="1"/>
  <c r="F1035" i="2"/>
  <c r="D152" i="3" s="1"/>
  <c r="E1035" i="2"/>
  <c r="D1035" i="2"/>
  <c r="C1034" i="2"/>
  <c r="H1034" i="2"/>
  <c r="C152" i="5" s="1"/>
  <c r="G1034" i="2"/>
  <c r="C152" i="4" s="1"/>
  <c r="F1034" i="2"/>
  <c r="C152" i="3" s="1"/>
  <c r="A1034" i="2"/>
  <c r="C1033" i="2"/>
  <c r="A152" i="20" s="1"/>
  <c r="H1033" i="2"/>
  <c r="G1033" i="2"/>
  <c r="B152" i="10" s="1"/>
  <c r="F1033" i="2"/>
  <c r="B152" i="9" s="1"/>
  <c r="A1033" i="2"/>
  <c r="C1032" i="2"/>
  <c r="H1032" i="2"/>
  <c r="H151" i="5" s="1"/>
  <c r="G1032" i="2"/>
  <c r="H151" i="4" s="1"/>
  <c r="A1032" i="2"/>
  <c r="C1031" i="2"/>
  <c r="H1031" i="2"/>
  <c r="G151" i="5" s="1"/>
  <c r="D1031" i="2"/>
  <c r="A1031" i="2"/>
  <c r="C1030" i="2"/>
  <c r="E1030" i="2"/>
  <c r="D1030" i="2"/>
  <c r="F1029" i="2"/>
  <c r="E151" i="3" s="1"/>
  <c r="E1029" i="2"/>
  <c r="D1029" i="2"/>
  <c r="G1028" i="2"/>
  <c r="D151" i="4" s="1"/>
  <c r="F1028" i="2"/>
  <c r="D151" i="3" s="1"/>
  <c r="E1028" i="2"/>
  <c r="D1028" i="2"/>
  <c r="H1027" i="2"/>
  <c r="C151" i="5" s="1"/>
  <c r="G1027" i="2"/>
  <c r="C151" i="4" s="1"/>
  <c r="F1027" i="2"/>
  <c r="C151" i="3" s="1"/>
  <c r="E1027" i="2"/>
  <c r="C1026" i="2"/>
  <c r="A151" i="20" s="1"/>
  <c r="H1026" i="2"/>
  <c r="G1026" i="2"/>
  <c r="B151" i="10" s="1"/>
  <c r="F1026" i="2"/>
  <c r="B151" i="9" s="1"/>
  <c r="A1026" i="2"/>
  <c r="C1025" i="2"/>
  <c r="H1025" i="2"/>
  <c r="H150" i="5" s="1"/>
  <c r="G1025" i="2"/>
  <c r="H150" i="4" s="1"/>
  <c r="F1025" i="2"/>
  <c r="H150" i="3" s="1"/>
  <c r="A1025" i="2"/>
  <c r="C1024" i="2"/>
  <c r="H1024" i="2"/>
  <c r="G150" i="5" s="1"/>
  <c r="G1024" i="2"/>
  <c r="G150" i="4" s="1"/>
  <c r="A1024" i="2"/>
  <c r="C1023" i="2"/>
  <c r="H1023" i="2"/>
  <c r="F150" i="5" s="1"/>
  <c r="D1023" i="2"/>
  <c r="A1023" i="2"/>
  <c r="E1022" i="2"/>
  <c r="D1022" i="2"/>
  <c r="A1022" i="2"/>
  <c r="F1021" i="2"/>
  <c r="D150" i="3" s="1"/>
  <c r="E1021" i="2"/>
  <c r="D1021" i="2"/>
  <c r="G1020" i="2"/>
  <c r="C150" i="4" s="1"/>
  <c r="F1020" i="2"/>
  <c r="C150" i="3" s="1"/>
  <c r="E1020" i="2"/>
  <c r="D1020" i="2"/>
  <c r="H1019" i="2"/>
  <c r="G1019" i="2"/>
  <c r="B150" i="10" s="1"/>
  <c r="F1019" i="2"/>
  <c r="B150" i="9" s="1"/>
  <c r="E1019" i="2"/>
  <c r="D1019" i="2"/>
  <c r="C1018" i="2"/>
  <c r="H1018" i="2"/>
  <c r="H149" i="5" s="1"/>
  <c r="G1018" i="2"/>
  <c r="H149" i="4" s="1"/>
  <c r="F1018" i="2"/>
  <c r="H149" i="3" s="1"/>
  <c r="A1018" i="2"/>
  <c r="C1017" i="2"/>
  <c r="H1017" i="2"/>
  <c r="G149" i="5" s="1"/>
  <c r="G1017" i="2"/>
  <c r="G149" i="4" s="1"/>
  <c r="A1017" i="2"/>
  <c r="C1016" i="2"/>
  <c r="H1016" i="2"/>
  <c r="F149" i="5" s="1"/>
  <c r="A1016" i="2"/>
  <c r="C1015" i="2"/>
  <c r="H1015" i="2"/>
  <c r="E149" i="5" s="1"/>
  <c r="D1015" i="2"/>
  <c r="A1015" i="2"/>
  <c r="C1014" i="2"/>
  <c r="E1014" i="2"/>
  <c r="D1014" i="2"/>
  <c r="A1014" i="2"/>
  <c r="F1013" i="2"/>
  <c r="C149" i="3" s="1"/>
  <c r="E1013" i="2"/>
  <c r="D1013" i="2"/>
  <c r="G1012" i="2"/>
  <c r="B149" i="10" s="1"/>
  <c r="F1012" i="2"/>
  <c r="B149" i="9" s="1"/>
  <c r="E1012" i="2"/>
  <c r="D1012" i="2"/>
  <c r="H1011" i="2"/>
  <c r="H148" i="5" s="1"/>
  <c r="G1011" i="2"/>
  <c r="H148" i="4" s="1"/>
  <c r="F1011" i="2"/>
  <c r="H148" i="3" s="1"/>
  <c r="E1011" i="2"/>
  <c r="D1011" i="2"/>
  <c r="C1010" i="2"/>
  <c r="H1010" i="2"/>
  <c r="G148" i="5" s="1"/>
  <c r="G1010" i="2"/>
  <c r="G148" i="4" s="1"/>
  <c r="F1010" i="2"/>
  <c r="G148" i="3" s="1"/>
  <c r="E1010" i="2"/>
  <c r="A1010" i="2"/>
  <c r="C1009" i="2"/>
  <c r="H1009" i="2"/>
  <c r="F148" i="5" s="1"/>
  <c r="G1009" i="2"/>
  <c r="F148" i="4" s="1"/>
  <c r="F1009" i="2"/>
  <c r="F148" i="3" s="1"/>
  <c r="A1009" i="2"/>
  <c r="C1008" i="2"/>
  <c r="H1008" i="2"/>
  <c r="E148" i="5" s="1"/>
  <c r="G1008" i="2"/>
  <c r="E148" i="4" s="1"/>
  <c r="A1008" i="2"/>
  <c r="C1007" i="2"/>
  <c r="D1007" i="2"/>
  <c r="A1007" i="2"/>
  <c r="C1006" i="2"/>
  <c r="E1006" i="2"/>
  <c r="D1006" i="2"/>
  <c r="A1006" i="2"/>
  <c r="F1005" i="2"/>
  <c r="B148" i="9" s="1"/>
  <c r="E1005" i="2"/>
  <c r="D1005" i="2"/>
  <c r="G1004" i="2"/>
  <c r="F1004" i="2"/>
  <c r="E1004" i="2"/>
  <c r="D1004" i="2"/>
  <c r="H1003" i="2"/>
  <c r="G1003" i="2"/>
  <c r="F1003" i="2"/>
  <c r="E1003" i="2"/>
  <c r="D1003" i="2"/>
  <c r="C1002" i="2"/>
  <c r="H1002" i="2"/>
  <c r="G1002" i="2"/>
  <c r="F1002" i="2"/>
  <c r="E1002" i="2"/>
  <c r="A1002" i="2"/>
  <c r="C1001" i="2"/>
  <c r="H1001" i="2"/>
  <c r="G1001" i="2"/>
  <c r="A1001" i="2"/>
  <c r="C1000" i="2"/>
  <c r="H1000" i="2"/>
  <c r="G1000" i="2"/>
  <c r="A1000" i="2"/>
  <c r="C999" i="2"/>
  <c r="D999" i="2"/>
  <c r="A999" i="2"/>
  <c r="E998" i="2"/>
  <c r="D998" i="2"/>
  <c r="A998" i="2"/>
  <c r="F997" i="2"/>
  <c r="E997" i="2"/>
  <c r="D997" i="2"/>
  <c r="G996" i="2"/>
  <c r="F996" i="2"/>
  <c r="E996" i="2"/>
  <c r="D996" i="2"/>
  <c r="H995" i="2"/>
  <c r="G995" i="2"/>
  <c r="F995" i="2"/>
  <c r="E995" i="2"/>
  <c r="D995" i="2"/>
  <c r="C994" i="2"/>
  <c r="H994" i="2"/>
  <c r="G994" i="2"/>
  <c r="A994" i="2"/>
  <c r="C993" i="2"/>
  <c r="H993" i="2"/>
  <c r="G993" i="2"/>
  <c r="A993" i="2"/>
  <c r="C992" i="2"/>
  <c r="H992" i="2"/>
  <c r="G992" i="2"/>
  <c r="A992" i="2"/>
  <c r="C991" i="2"/>
  <c r="H991" i="2"/>
  <c r="D991" i="2"/>
  <c r="A991" i="2"/>
  <c r="E990" i="2"/>
  <c r="D990" i="2"/>
  <c r="F989" i="2"/>
  <c r="G146" i="3" s="1"/>
  <c r="E989" i="2"/>
  <c r="D989" i="2"/>
  <c r="G988" i="2"/>
  <c r="F146" i="4" s="1"/>
  <c r="F988" i="2"/>
  <c r="F146" i="3" s="1"/>
  <c r="E988" i="2"/>
  <c r="D988" i="2"/>
  <c r="H987" i="2"/>
  <c r="E146" i="5" s="1"/>
  <c r="G987" i="2"/>
  <c r="E146" i="4" s="1"/>
  <c r="F987" i="2"/>
  <c r="E146" i="3" s="1"/>
  <c r="D987" i="2"/>
  <c r="C986" i="2"/>
  <c r="H986" i="2"/>
  <c r="D146" i="5" s="1"/>
  <c r="G986" i="2"/>
  <c r="D146" i="4" s="1"/>
  <c r="F986" i="2"/>
  <c r="D146" i="3" s="1"/>
  <c r="E986" i="2"/>
  <c r="A986" i="2"/>
  <c r="C985" i="2"/>
  <c r="H985" i="2"/>
  <c r="C146" i="5" s="1"/>
  <c r="G985" i="2"/>
  <c r="C146" i="4" s="1"/>
  <c r="A985" i="2"/>
  <c r="C984" i="2"/>
  <c r="A146" i="20" s="1"/>
  <c r="H984" i="2"/>
  <c r="A984" i="2"/>
  <c r="C983" i="2"/>
  <c r="H983" i="2"/>
  <c r="H144" i="5" s="1"/>
  <c r="D983" i="2"/>
  <c r="A983" i="2"/>
  <c r="C982" i="2"/>
  <c r="E982" i="2"/>
  <c r="D982" i="2"/>
  <c r="A982" i="2"/>
  <c r="F981" i="2"/>
  <c r="F144" i="3" s="1"/>
  <c r="E981" i="2"/>
  <c r="D981" i="2"/>
  <c r="G980" i="2"/>
  <c r="E144" i="4" s="1"/>
  <c r="F980" i="2"/>
  <c r="E144" i="3" s="1"/>
  <c r="E980" i="2"/>
  <c r="D980" i="2"/>
  <c r="H979" i="2"/>
  <c r="D144" i="5" s="1"/>
  <c r="G979" i="2"/>
  <c r="D144" i="4" s="1"/>
  <c r="F979" i="2"/>
  <c r="D144" i="3" s="1"/>
  <c r="E979" i="2"/>
  <c r="C978" i="2"/>
  <c r="H978" i="2"/>
  <c r="C144" i="5" s="1"/>
  <c r="G978" i="2"/>
  <c r="C144" i="4" s="1"/>
  <c r="F978" i="2"/>
  <c r="C144" i="3" s="1"/>
  <c r="A978" i="2"/>
  <c r="C977" i="2"/>
  <c r="A144" i="20" s="1"/>
  <c r="H977" i="2"/>
  <c r="G977" i="2"/>
  <c r="B144" i="10" s="1"/>
  <c r="F977" i="2"/>
  <c r="B144" i="9" s="1"/>
  <c r="A977" i="2"/>
  <c r="C976" i="2"/>
  <c r="H976" i="2"/>
  <c r="H142" i="5" s="1"/>
  <c r="G976" i="2"/>
  <c r="H142" i="4" s="1"/>
  <c r="A976" i="2"/>
  <c r="C975" i="2"/>
  <c r="D975" i="2"/>
  <c r="A975" i="2"/>
  <c r="E974" i="2"/>
  <c r="D974" i="2"/>
  <c r="F973" i="2"/>
  <c r="E142" i="3" s="1"/>
  <c r="E973" i="2"/>
  <c r="D973" i="2"/>
  <c r="G972" i="2"/>
  <c r="D142" i="4" s="1"/>
  <c r="F972" i="2"/>
  <c r="D142" i="3" s="1"/>
  <c r="E972" i="2"/>
  <c r="D972" i="2"/>
  <c r="H971" i="2"/>
  <c r="C142" i="5" s="1"/>
  <c r="G971" i="2"/>
  <c r="C142" i="4" s="1"/>
  <c r="F971" i="2"/>
  <c r="C142" i="3" s="1"/>
  <c r="E971" i="2"/>
  <c r="D971" i="2"/>
  <c r="C970" i="2"/>
  <c r="A142" i="20" s="1"/>
  <c r="H970" i="2"/>
  <c r="G970" i="2"/>
  <c r="B142" i="10" s="1"/>
  <c r="F970" i="2"/>
  <c r="B142" i="9" s="1"/>
  <c r="E970" i="2"/>
  <c r="A970" i="2"/>
  <c r="C969" i="2"/>
  <c r="H969" i="2"/>
  <c r="H141" i="5" s="1"/>
  <c r="G969" i="2"/>
  <c r="H141" i="4" s="1"/>
  <c r="A969" i="2"/>
  <c r="C968" i="2"/>
  <c r="H968" i="2"/>
  <c r="G141" i="5" s="1"/>
  <c r="G968" i="2"/>
  <c r="G141" i="4" s="1"/>
  <c r="A968" i="2"/>
  <c r="C967" i="2"/>
  <c r="H967" i="2"/>
  <c r="F141" i="5" s="1"/>
  <c r="D967" i="2"/>
  <c r="A967" i="2"/>
  <c r="C966" i="2"/>
  <c r="E966" i="2"/>
  <c r="D966" i="2"/>
  <c r="F965" i="2"/>
  <c r="D141" i="3" s="1"/>
  <c r="E965" i="2"/>
  <c r="D965" i="2"/>
  <c r="G964" i="2"/>
  <c r="C141" i="4" s="1"/>
  <c r="F964" i="2"/>
  <c r="C141" i="3" s="1"/>
  <c r="E964" i="2"/>
  <c r="D964" i="2"/>
  <c r="H963" i="2"/>
  <c r="G963" i="2"/>
  <c r="B141" i="10" s="1"/>
  <c r="F963" i="2"/>
  <c r="B141" i="9" s="1"/>
  <c r="E963" i="2"/>
  <c r="D963" i="2"/>
  <c r="C962" i="2"/>
  <c r="H962" i="2"/>
  <c r="H140" i="5" s="1"/>
  <c r="G962" i="2"/>
  <c r="H140" i="4" s="1"/>
  <c r="F962" i="2"/>
  <c r="H140" i="3" s="1"/>
  <c r="E962" i="2"/>
  <c r="A962" i="2"/>
  <c r="C961" i="2"/>
  <c r="H961" i="2"/>
  <c r="G140" i="5" s="1"/>
  <c r="G961" i="2"/>
  <c r="G140" i="4" s="1"/>
  <c r="F961" i="2"/>
  <c r="G140" i="3" s="1"/>
  <c r="A961" i="2"/>
  <c r="C960" i="2"/>
  <c r="H960" i="2"/>
  <c r="F140" i="5" s="1"/>
  <c r="A960" i="2"/>
  <c r="C959" i="2"/>
  <c r="D959" i="2"/>
  <c r="A959" i="2"/>
  <c r="C958" i="2"/>
  <c r="E958" i="2"/>
  <c r="D958" i="2"/>
  <c r="A958" i="2"/>
  <c r="F957" i="2"/>
  <c r="C140" i="3" s="1"/>
  <c r="E957" i="2"/>
  <c r="D957" i="2"/>
  <c r="G956" i="2"/>
  <c r="B140" i="10" s="1"/>
  <c r="F956" i="2"/>
  <c r="B140" i="9" s="1"/>
  <c r="E956" i="2"/>
  <c r="D956" i="2"/>
  <c r="H955" i="2"/>
  <c r="H139" i="5" s="1"/>
  <c r="G955" i="2"/>
  <c r="H139" i="4" s="1"/>
  <c r="F955" i="2"/>
  <c r="H139" i="3" s="1"/>
  <c r="E955" i="2"/>
  <c r="C954" i="2"/>
  <c r="H954" i="2"/>
  <c r="G139" i="5" s="1"/>
  <c r="G954" i="2"/>
  <c r="G139" i="4" s="1"/>
  <c r="F954" i="2"/>
  <c r="G139" i="3" s="1"/>
  <c r="A954" i="2"/>
  <c r="C953" i="2"/>
  <c r="H953" i="2"/>
  <c r="F139" i="5" s="1"/>
  <c r="G953" i="2"/>
  <c r="F139" i="4" s="1"/>
  <c r="A953" i="2"/>
  <c r="C952" i="2"/>
  <c r="H952" i="2"/>
  <c r="E139" i="5" s="1"/>
  <c r="A952" i="2"/>
  <c r="H951" i="2"/>
  <c r="D139" i="5" s="1"/>
  <c r="D951" i="2"/>
  <c r="A951" i="2"/>
  <c r="C950" i="2"/>
  <c r="E950" i="2"/>
  <c r="D950" i="2"/>
  <c r="A950" i="2"/>
  <c r="F949" i="2"/>
  <c r="B139" i="9" s="1"/>
  <c r="E949" i="2"/>
  <c r="D949" i="2"/>
  <c r="G948" i="2"/>
  <c r="H138" i="4" s="1"/>
  <c r="F948" i="2"/>
  <c r="H138" i="3" s="1"/>
  <c r="E948" i="2"/>
  <c r="D948" i="2"/>
  <c r="H947" i="2"/>
  <c r="G138" i="5" s="1"/>
  <c r="G947" i="2"/>
  <c r="G138" i="4" s="1"/>
  <c r="F947" i="2"/>
  <c r="G138" i="3" s="1"/>
  <c r="E947" i="2"/>
  <c r="D947" i="2"/>
  <c r="C946" i="2"/>
  <c r="H946" i="2"/>
  <c r="F138" i="5" s="1"/>
  <c r="G946" i="2"/>
  <c r="F138" i="4" s="1"/>
  <c r="F946" i="2"/>
  <c r="F138" i="3" s="1"/>
  <c r="E946" i="2"/>
  <c r="A946" i="2"/>
  <c r="C945" i="2"/>
  <c r="H945" i="2"/>
  <c r="E138" i="5" s="1"/>
  <c r="G945" i="2"/>
  <c r="E138" i="4" s="1"/>
  <c r="F945" i="2"/>
  <c r="E138" i="3" s="1"/>
  <c r="A945" i="2"/>
  <c r="C944" i="2"/>
  <c r="H944" i="2"/>
  <c r="D138" i="5" s="1"/>
  <c r="G944" i="2"/>
  <c r="D138" i="4" s="1"/>
  <c r="A944" i="2"/>
  <c r="C943" i="2"/>
  <c r="H943" i="2"/>
  <c r="C138" i="5" s="1"/>
  <c r="D943" i="2"/>
  <c r="A943" i="2"/>
  <c r="C942" i="2"/>
  <c r="A138" i="20" s="1"/>
  <c r="E942" i="2"/>
  <c r="D942" i="2"/>
  <c r="A942" i="2"/>
  <c r="F941" i="2"/>
  <c r="H137" i="3" s="1"/>
  <c r="E941" i="2"/>
  <c r="D941" i="2"/>
  <c r="G940" i="2"/>
  <c r="G137" i="4" s="1"/>
  <c r="F940" i="2"/>
  <c r="G137" i="3" s="1"/>
  <c r="E940" i="2"/>
  <c r="D940" i="2"/>
  <c r="H939" i="2"/>
  <c r="F137" i="5" s="1"/>
  <c r="G939" i="2"/>
  <c r="F137" i="4" s="1"/>
  <c r="F939" i="2"/>
  <c r="F137" i="3" s="1"/>
  <c r="E939" i="2"/>
  <c r="C938" i="2"/>
  <c r="H938" i="2"/>
  <c r="E137" i="5" s="1"/>
  <c r="G938" i="2"/>
  <c r="E137" i="4" s="1"/>
  <c r="F938" i="2"/>
  <c r="E137" i="3" s="1"/>
  <c r="E938" i="2"/>
  <c r="A938" i="2"/>
  <c r="C937" i="2"/>
  <c r="H937" i="2"/>
  <c r="D137" i="5" s="1"/>
  <c r="G937" i="2"/>
  <c r="D137" i="4" s="1"/>
  <c r="A937" i="2"/>
  <c r="C936" i="2"/>
  <c r="H936" i="2"/>
  <c r="C137" i="5" s="1"/>
  <c r="G936" i="2"/>
  <c r="C137" i="4" s="1"/>
  <c r="A936" i="2"/>
  <c r="C935" i="2"/>
  <c r="A137" i="20" s="1"/>
  <c r="H935" i="2"/>
  <c r="D935" i="2"/>
  <c r="A935" i="2"/>
  <c r="A136" i="20" s="1"/>
  <c r="E934" i="2"/>
  <c r="D934" i="2"/>
  <c r="A934" i="2"/>
  <c r="F933" i="2"/>
  <c r="E933" i="2"/>
  <c r="D933" i="2"/>
  <c r="G932" i="2"/>
  <c r="F932" i="2"/>
  <c r="E932" i="2"/>
  <c r="D932" i="2"/>
  <c r="H931" i="2"/>
  <c r="G931" i="2"/>
  <c r="F931" i="2"/>
  <c r="E931" i="2"/>
  <c r="D931" i="2"/>
  <c r="C930" i="2"/>
  <c r="H930" i="2"/>
  <c r="G930" i="2"/>
  <c r="F930" i="2"/>
  <c r="E930" i="2"/>
  <c r="A930" i="2"/>
  <c r="C929" i="2"/>
  <c r="H929" i="2"/>
  <c r="G929" i="2"/>
  <c r="F929" i="2"/>
  <c r="A929" i="2"/>
  <c r="C928" i="2"/>
  <c r="H928" i="2"/>
  <c r="G928" i="2"/>
  <c r="A928" i="2"/>
  <c r="C927" i="2"/>
  <c r="H927" i="2"/>
  <c r="D927" i="2"/>
  <c r="A927" i="2"/>
  <c r="E926" i="2"/>
  <c r="D926" i="2"/>
  <c r="A926" i="2"/>
  <c r="F925" i="2"/>
  <c r="E925" i="2"/>
  <c r="D925" i="2"/>
  <c r="G924" i="2"/>
  <c r="F924" i="2"/>
  <c r="E924" i="2"/>
  <c r="D924" i="2"/>
  <c r="H923" i="2"/>
  <c r="G923" i="2"/>
  <c r="F923" i="2"/>
  <c r="E923" i="2"/>
  <c r="D923" i="2"/>
  <c r="C922" i="2"/>
  <c r="H922" i="2"/>
  <c r="G922" i="2"/>
  <c r="F922" i="2"/>
  <c r="A922" i="2"/>
  <c r="C921" i="2"/>
  <c r="H921" i="2"/>
  <c r="G921" i="2"/>
  <c r="F921" i="2"/>
  <c r="A921" i="2"/>
  <c r="C920" i="2"/>
  <c r="H920" i="2"/>
  <c r="H135" i="5" s="1"/>
  <c r="A920" i="2"/>
  <c r="C919" i="2"/>
  <c r="H919" i="2"/>
  <c r="G135" i="5" s="1"/>
  <c r="D919" i="2"/>
  <c r="A919" i="2"/>
  <c r="C918" i="2"/>
  <c r="E918" i="2"/>
  <c r="D918" i="2"/>
  <c r="A918" i="2"/>
  <c r="F917" i="2"/>
  <c r="E135" i="3" s="1"/>
  <c r="E917" i="2"/>
  <c r="D917" i="2"/>
  <c r="G916" i="2"/>
  <c r="D135" i="4" s="1"/>
  <c r="F916" i="2"/>
  <c r="D135" i="3" s="1"/>
  <c r="E916" i="2"/>
  <c r="D916" i="2"/>
  <c r="H915" i="2"/>
  <c r="C135" i="5" s="1"/>
  <c r="G915" i="2"/>
  <c r="C135" i="4" s="1"/>
  <c r="F915" i="2"/>
  <c r="C135" i="3" s="1"/>
  <c r="E915" i="2"/>
  <c r="D915" i="2"/>
  <c r="C914" i="2"/>
  <c r="A135" i="20" s="1"/>
  <c r="H914" i="2"/>
  <c r="G914" i="2"/>
  <c r="B135" i="10" s="1"/>
  <c r="E914" i="2"/>
  <c r="A914" i="2"/>
  <c r="C913" i="2"/>
  <c r="H913" i="2"/>
  <c r="G913" i="2"/>
  <c r="A913" i="2"/>
  <c r="C912" i="2"/>
  <c r="H912" i="2"/>
  <c r="A912" i="2"/>
  <c r="C911" i="2"/>
  <c r="H911" i="2"/>
  <c r="D911" i="2"/>
  <c r="A911" i="2"/>
  <c r="C910" i="2"/>
  <c r="E910" i="2"/>
  <c r="D910" i="2"/>
  <c r="F909" i="2"/>
  <c r="D133" i="9" s="1"/>
  <c r="D133" i="18" s="1"/>
  <c r="E909" i="2"/>
  <c r="D909" i="2"/>
  <c r="G908" i="2"/>
  <c r="C133" i="10" s="1"/>
  <c r="C133" i="16" s="1"/>
  <c r="F908" i="2"/>
  <c r="C133" i="9" s="1"/>
  <c r="C133" i="18" s="1"/>
  <c r="E908" i="2"/>
  <c r="D908" i="2"/>
  <c r="H907" i="2"/>
  <c r="G907" i="2"/>
  <c r="F907" i="2"/>
  <c r="E907" i="2"/>
  <c r="C906" i="2"/>
  <c r="H906" i="2"/>
  <c r="G906" i="2"/>
  <c r="F906" i="2"/>
  <c r="E906" i="2"/>
  <c r="A906" i="2"/>
  <c r="C905" i="2"/>
  <c r="H905" i="2"/>
  <c r="G905" i="2"/>
  <c r="G132" i="10" s="1"/>
  <c r="F905" i="2"/>
  <c r="G132" i="9" s="1"/>
  <c r="G132" i="18" s="1"/>
  <c r="A905" i="2"/>
  <c r="C904" i="2"/>
  <c r="H904" i="2"/>
  <c r="A904" i="2"/>
  <c r="C903" i="2"/>
  <c r="D903" i="2"/>
  <c r="A903" i="2"/>
  <c r="E902" i="2"/>
  <c r="D902" i="2"/>
  <c r="A902" i="2"/>
  <c r="F901" i="2"/>
  <c r="C132" i="9" s="1"/>
  <c r="C132" i="18" s="1"/>
  <c r="E901" i="2"/>
  <c r="D901" i="2"/>
  <c r="G900" i="2"/>
  <c r="B132" i="10" s="1"/>
  <c r="F900" i="2"/>
  <c r="B132" i="9" s="1"/>
  <c r="B132" i="18" s="1"/>
  <c r="B132" i="6" s="1"/>
  <c r="E900" i="2"/>
  <c r="D900" i="2"/>
  <c r="H899" i="2"/>
  <c r="H131" i="5" s="1"/>
  <c r="G899" i="2"/>
  <c r="H131" i="4" s="1"/>
  <c r="F899" i="2"/>
  <c r="H131" i="3" s="1"/>
  <c r="E899" i="2"/>
  <c r="D899" i="2"/>
  <c r="C898" i="2"/>
  <c r="H898" i="2"/>
  <c r="G131" i="5" s="1"/>
  <c r="G898" i="2"/>
  <c r="G131" i="4" s="1"/>
  <c r="F898" i="2"/>
  <c r="G131" i="3" s="1"/>
  <c r="A898" i="2"/>
  <c r="C897" i="2"/>
  <c r="H897" i="2"/>
  <c r="F131" i="5" s="1"/>
  <c r="G897" i="2"/>
  <c r="F131" i="4" s="1"/>
  <c r="A897" i="2"/>
  <c r="C896" i="2"/>
  <c r="H896" i="2"/>
  <c r="E131" i="5" s="1"/>
  <c r="G896" i="2"/>
  <c r="E131" i="4" s="1"/>
  <c r="A896" i="2"/>
  <c r="C895" i="2"/>
  <c r="H895" i="2"/>
  <c r="D131" i="5" s="1"/>
  <c r="D895" i="2"/>
  <c r="A895" i="2"/>
  <c r="C894" i="2"/>
  <c r="E894" i="2"/>
  <c r="D894" i="2"/>
  <c r="A894" i="2"/>
  <c r="F893" i="2"/>
  <c r="B131" i="9" s="1"/>
  <c r="E893" i="2"/>
  <c r="D893" i="2"/>
  <c r="G892" i="2"/>
  <c r="H130" i="4" s="1"/>
  <c r="F892" i="2"/>
  <c r="H130" i="3" s="1"/>
  <c r="E892" i="2"/>
  <c r="D892" i="2"/>
  <c r="H891" i="2"/>
  <c r="G130" i="5" s="1"/>
  <c r="G891" i="2"/>
  <c r="G130" i="4" s="1"/>
  <c r="F891" i="2"/>
  <c r="G130" i="3" s="1"/>
  <c r="E891" i="2"/>
  <c r="D891" i="2"/>
  <c r="C890" i="2"/>
  <c r="H890" i="2"/>
  <c r="F130" i="5" s="1"/>
  <c r="G890" i="2"/>
  <c r="F130" i="4" s="1"/>
  <c r="F890" i="2"/>
  <c r="F130" i="3" s="1"/>
  <c r="A890" i="2"/>
  <c r="C889" i="2"/>
  <c r="H889" i="2"/>
  <c r="E130" i="5" s="1"/>
  <c r="G889" i="2"/>
  <c r="E130" i="4" s="1"/>
  <c r="F889" i="2"/>
  <c r="E130" i="3" s="1"/>
  <c r="A889" i="2"/>
  <c r="C888" i="2"/>
  <c r="H888" i="2"/>
  <c r="D130" i="5" s="1"/>
  <c r="A888" i="2"/>
  <c r="C887" i="2"/>
  <c r="H887" i="2"/>
  <c r="C130" i="5" s="1"/>
  <c r="D887" i="2"/>
  <c r="A887" i="2"/>
  <c r="C886" i="2"/>
  <c r="A130" i="20" s="1"/>
  <c r="E886" i="2"/>
  <c r="D886" i="2"/>
  <c r="A886" i="2"/>
  <c r="F885" i="2"/>
  <c r="H129" i="3" s="1"/>
  <c r="E885" i="2"/>
  <c r="D885" i="2"/>
  <c r="F884" i="2"/>
  <c r="G129" i="3" s="1"/>
  <c r="E884" i="2"/>
  <c r="H883" i="2"/>
  <c r="F129" i="5" s="1"/>
  <c r="G883" i="2"/>
  <c r="F129" i="4" s="1"/>
  <c r="F883" i="2"/>
  <c r="F129" i="3" s="1"/>
  <c r="E883" i="2"/>
  <c r="D883" i="2"/>
  <c r="C882" i="2"/>
  <c r="H882" i="2"/>
  <c r="E129" i="5" s="1"/>
  <c r="G882" i="2"/>
  <c r="E129" i="4" s="1"/>
  <c r="F882" i="2"/>
  <c r="E129" i="3" s="1"/>
  <c r="E882" i="2"/>
  <c r="A882" i="2"/>
  <c r="C881" i="2"/>
  <c r="H881" i="2"/>
  <c r="D129" i="5" s="1"/>
  <c r="G881" i="2"/>
  <c r="D129" i="4" s="1"/>
  <c r="A881" i="2"/>
  <c r="C880" i="2"/>
  <c r="H880" i="2"/>
  <c r="C129" i="5" s="1"/>
  <c r="G880" i="2"/>
  <c r="C129" i="4" s="1"/>
  <c r="A880" i="2"/>
  <c r="C879" i="2"/>
  <c r="A129" i="20" s="1"/>
  <c r="H879" i="2"/>
  <c r="D879" i="2"/>
  <c r="A879" i="2"/>
  <c r="E878" i="2"/>
  <c r="D878" i="2"/>
  <c r="A878" i="2"/>
  <c r="F877" i="2"/>
  <c r="G128" i="3" s="1"/>
  <c r="E877" i="2"/>
  <c r="D877" i="2"/>
  <c r="G876" i="2"/>
  <c r="F128" i="4" s="1"/>
  <c r="F876" i="2"/>
  <c r="F128" i="3" s="1"/>
  <c r="E876" i="2"/>
  <c r="D876" i="2"/>
  <c r="H875" i="2"/>
  <c r="E128" i="5" s="1"/>
  <c r="G875" i="2"/>
  <c r="E128" i="4" s="1"/>
  <c r="F875" i="2"/>
  <c r="E128" i="3" s="1"/>
  <c r="E875" i="2"/>
  <c r="D875" i="2"/>
  <c r="C874" i="2"/>
  <c r="H874" i="2"/>
  <c r="D128" i="5" s="1"/>
  <c r="G874" i="2"/>
  <c r="D128" i="4" s="1"/>
  <c r="F874" i="2"/>
  <c r="D128" i="3" s="1"/>
  <c r="E874" i="2"/>
  <c r="A874" i="2"/>
  <c r="C873" i="2"/>
  <c r="H873" i="2"/>
  <c r="C128" i="5" s="1"/>
  <c r="G873" i="2"/>
  <c r="C128" i="4" s="1"/>
  <c r="F873" i="2"/>
  <c r="C128" i="3" s="1"/>
  <c r="A873" i="2"/>
  <c r="C872" i="2"/>
  <c r="A128" i="20" s="1"/>
  <c r="H872" i="2"/>
  <c r="G872" i="2"/>
  <c r="B128" i="10" s="1"/>
  <c r="A872" i="2"/>
  <c r="C871" i="2"/>
  <c r="D871" i="2"/>
  <c r="A871" i="2"/>
  <c r="C870" i="2"/>
  <c r="E870" i="2"/>
  <c r="D870" i="2"/>
  <c r="A870" i="2"/>
  <c r="F869" i="2"/>
  <c r="F127" i="3" s="1"/>
  <c r="E869" i="2"/>
  <c r="D869" i="2"/>
  <c r="G868" i="2"/>
  <c r="E127" i="4" s="1"/>
  <c r="F868" i="2"/>
  <c r="E127" i="3" s="1"/>
  <c r="E868" i="2"/>
  <c r="D868" i="2"/>
  <c r="H867" i="2"/>
  <c r="D127" i="5" s="1"/>
  <c r="G867" i="2"/>
  <c r="D127" i="4" s="1"/>
  <c r="F867" i="2"/>
  <c r="D127" i="3" s="1"/>
  <c r="E867" i="2"/>
  <c r="D867" i="2"/>
  <c r="C866" i="2"/>
  <c r="H866" i="2"/>
  <c r="C127" i="5" s="1"/>
  <c r="G866" i="2"/>
  <c r="C127" i="4" s="1"/>
  <c r="F866" i="2"/>
  <c r="C127" i="3" s="1"/>
  <c r="E866" i="2"/>
  <c r="A866" i="2"/>
  <c r="C865" i="2"/>
  <c r="A127" i="20" s="1"/>
  <c r="H865" i="2"/>
  <c r="G865" i="2"/>
  <c r="B127" i="10" s="1"/>
  <c r="F865" i="2"/>
  <c r="B127" i="9" s="1"/>
  <c r="A865" i="2"/>
  <c r="C864" i="2"/>
  <c r="G864" i="2"/>
  <c r="H126" i="4" s="1"/>
  <c r="A864" i="2"/>
  <c r="H863" i="2"/>
  <c r="G126" i="5" s="1"/>
  <c r="D863" i="2"/>
  <c r="E862" i="2"/>
  <c r="D862" i="2"/>
  <c r="F861" i="2"/>
  <c r="E126" i="3" s="1"/>
  <c r="E861" i="2"/>
  <c r="D861" i="2"/>
  <c r="G860" i="2"/>
  <c r="D126" i="4" s="1"/>
  <c r="F860" i="2"/>
  <c r="D126" i="3" s="1"/>
  <c r="E860" i="2"/>
  <c r="D860" i="2"/>
  <c r="H859" i="2"/>
  <c r="C126" i="5" s="1"/>
  <c r="G859" i="2"/>
  <c r="C126" i="4" s="1"/>
  <c r="F859" i="2"/>
  <c r="C126" i="3" s="1"/>
  <c r="E859" i="2"/>
  <c r="D859" i="2"/>
  <c r="C858" i="2"/>
  <c r="A126" i="20" s="1"/>
  <c r="H858" i="2"/>
  <c r="G858" i="2"/>
  <c r="B126" i="10" s="1"/>
  <c r="F858" i="2"/>
  <c r="B126" i="9" s="1"/>
  <c r="A858" i="2"/>
  <c r="A125" i="20" s="1"/>
  <c r="C857" i="2"/>
  <c r="H857" i="2"/>
  <c r="G857" i="2"/>
  <c r="A857" i="2"/>
  <c r="C856" i="2"/>
  <c r="A856" i="2"/>
  <c r="C855" i="2"/>
  <c r="H855" i="2"/>
  <c r="D855" i="2"/>
  <c r="A855" i="2"/>
  <c r="C854" i="2"/>
  <c r="E854" i="2"/>
  <c r="D854" i="2"/>
  <c r="A854" i="2"/>
  <c r="F853" i="2"/>
  <c r="E853" i="2"/>
  <c r="D853" i="2"/>
  <c r="G852" i="2"/>
  <c r="F852" i="2"/>
  <c r="E852" i="2"/>
  <c r="D852" i="2"/>
  <c r="H851" i="2"/>
  <c r="G851" i="2"/>
  <c r="F851" i="2"/>
  <c r="E851" i="2"/>
  <c r="C850" i="2"/>
  <c r="H850" i="2"/>
  <c r="G850" i="2"/>
  <c r="F850" i="2"/>
  <c r="E850" i="2"/>
  <c r="A850" i="2"/>
  <c r="C849" i="2"/>
  <c r="H849" i="2"/>
  <c r="G849" i="2"/>
  <c r="F849" i="2"/>
  <c r="A849" i="2"/>
  <c r="C848" i="2"/>
  <c r="H848" i="2"/>
  <c r="A848" i="2"/>
  <c r="C847" i="2"/>
  <c r="H847" i="2"/>
  <c r="D847" i="2"/>
  <c r="A847" i="2"/>
  <c r="E846" i="2"/>
  <c r="D846" i="2"/>
  <c r="F845" i="2"/>
  <c r="E845" i="2"/>
  <c r="D845" i="2"/>
  <c r="G844" i="2"/>
  <c r="F844" i="2"/>
  <c r="E844" i="2"/>
  <c r="D844" i="2"/>
  <c r="H843" i="2"/>
  <c r="H124" i="5" s="1"/>
  <c r="G843" i="2"/>
  <c r="H124" i="4" s="1"/>
  <c r="F843" i="2"/>
  <c r="H124" i="3" s="1"/>
  <c r="E843" i="2"/>
  <c r="D843" i="2"/>
  <c r="C842" i="2"/>
  <c r="H842" i="2"/>
  <c r="G124" i="5" s="1"/>
  <c r="G842" i="2"/>
  <c r="G124" i="4" s="1"/>
  <c r="F842" i="2"/>
  <c r="G124" i="3" s="1"/>
  <c r="E842" i="2"/>
  <c r="A842" i="2"/>
  <c r="C841" i="2"/>
  <c r="H841" i="2"/>
  <c r="F124" i="5" s="1"/>
  <c r="G841" i="2"/>
  <c r="F124" i="4" s="1"/>
  <c r="A841" i="2"/>
  <c r="C840" i="2"/>
  <c r="H840" i="2"/>
  <c r="E124" i="5" s="1"/>
  <c r="A840" i="2"/>
  <c r="C839" i="2"/>
  <c r="H839" i="2"/>
  <c r="D124" i="5" s="1"/>
  <c r="D839" i="2"/>
  <c r="A839" i="2"/>
  <c r="C838" i="2"/>
  <c r="E838" i="2"/>
  <c r="D838" i="2"/>
  <c r="F837" i="2"/>
  <c r="B124" i="9" s="1"/>
  <c r="E837" i="2"/>
  <c r="D837" i="2"/>
  <c r="G836" i="2"/>
  <c r="H122" i="4" s="1"/>
  <c r="F836" i="2"/>
  <c r="H122" i="3" s="1"/>
  <c r="E836" i="2"/>
  <c r="D836" i="2"/>
  <c r="H835" i="2"/>
  <c r="G122" i="5" s="1"/>
  <c r="G835" i="2"/>
  <c r="G122" i="4" s="1"/>
  <c r="F835" i="2"/>
  <c r="G122" i="3" s="1"/>
  <c r="E835" i="2"/>
  <c r="D835" i="2"/>
  <c r="C834" i="2"/>
  <c r="H834" i="2"/>
  <c r="F122" i="5" s="1"/>
  <c r="G834" i="2"/>
  <c r="F122" i="4" s="1"/>
  <c r="F834" i="2"/>
  <c r="F122" i="3" s="1"/>
  <c r="E834" i="2"/>
  <c r="A834" i="2"/>
  <c r="C833" i="2"/>
  <c r="H833" i="2"/>
  <c r="E122" i="5" s="1"/>
  <c r="G833" i="2"/>
  <c r="E122" i="4" s="1"/>
  <c r="F833" i="2"/>
  <c r="E122" i="3" s="1"/>
  <c r="A833" i="2"/>
  <c r="C832" i="2"/>
  <c r="H832" i="2"/>
  <c r="D122" i="5" s="1"/>
  <c r="A832" i="2"/>
  <c r="C831" i="2"/>
  <c r="D831" i="2"/>
  <c r="A831" i="2"/>
  <c r="C830" i="2"/>
  <c r="A122" i="20" s="1"/>
  <c r="E830" i="2"/>
  <c r="D830" i="2"/>
  <c r="A830" i="2"/>
  <c r="F829" i="2"/>
  <c r="H120" i="3" s="1"/>
  <c r="E829" i="2"/>
  <c r="D829" i="2"/>
  <c r="G828" i="2"/>
  <c r="G120" i="4" s="1"/>
  <c r="F828" i="2"/>
  <c r="G120" i="3" s="1"/>
  <c r="E828" i="2"/>
  <c r="D828" i="2"/>
  <c r="H827" i="2"/>
  <c r="F120" i="5" s="1"/>
  <c r="G827" i="2"/>
  <c r="F120" i="4" s="1"/>
  <c r="F827" i="2"/>
  <c r="F120" i="3" s="1"/>
  <c r="E827" i="2"/>
  <c r="C826" i="2"/>
  <c r="H826" i="2"/>
  <c r="E120" i="5" s="1"/>
  <c r="G826" i="2"/>
  <c r="E120" i="4" s="1"/>
  <c r="F826" i="2"/>
  <c r="E120" i="3" s="1"/>
  <c r="A826" i="2"/>
  <c r="C825" i="2"/>
  <c r="H825" i="2"/>
  <c r="D120" i="5" s="1"/>
  <c r="G825" i="2"/>
  <c r="D120" i="4" s="1"/>
  <c r="F825" i="2"/>
  <c r="D120" i="3" s="1"/>
  <c r="A825" i="2"/>
  <c r="C824" i="2"/>
  <c r="H824" i="2"/>
  <c r="C120" i="5" s="1"/>
  <c r="G824" i="2"/>
  <c r="C120" i="4" s="1"/>
  <c r="A824" i="2"/>
  <c r="C823" i="2"/>
  <c r="A120" i="20" s="1"/>
  <c r="H823" i="2"/>
  <c r="D823" i="2"/>
  <c r="A823" i="2"/>
  <c r="C822" i="2"/>
  <c r="E822" i="2"/>
  <c r="D822" i="2"/>
  <c r="A822" i="2"/>
  <c r="F821" i="2"/>
  <c r="G119" i="3" s="1"/>
  <c r="E821" i="2"/>
  <c r="D821" i="2"/>
  <c r="G820" i="2"/>
  <c r="F119" i="4" s="1"/>
  <c r="F820" i="2"/>
  <c r="F119" i="3" s="1"/>
  <c r="E820" i="2"/>
  <c r="D820" i="2"/>
  <c r="H819" i="2"/>
  <c r="E119" i="5" s="1"/>
  <c r="G819" i="2"/>
  <c r="E119" i="4" s="1"/>
  <c r="F819" i="2"/>
  <c r="E119" i="3" s="1"/>
  <c r="E819" i="2"/>
  <c r="D819" i="2"/>
  <c r="C818" i="2"/>
  <c r="H818" i="2"/>
  <c r="D119" i="5" s="1"/>
  <c r="G818" i="2"/>
  <c r="D119" i="4" s="1"/>
  <c r="F818" i="2"/>
  <c r="D119" i="3" s="1"/>
  <c r="E818" i="2"/>
  <c r="A818" i="2"/>
  <c r="C817" i="2"/>
  <c r="H817" i="2"/>
  <c r="C119" i="5" s="1"/>
  <c r="G817" i="2"/>
  <c r="C119" i="4" s="1"/>
  <c r="F817" i="2"/>
  <c r="C119" i="3" s="1"/>
  <c r="A817" i="2"/>
  <c r="C816" i="2"/>
  <c r="A119" i="20" s="1"/>
  <c r="H816" i="2"/>
  <c r="A816" i="2"/>
  <c r="C815" i="2"/>
  <c r="H815" i="2"/>
  <c r="H118" i="5" s="1"/>
  <c r="D815" i="2"/>
  <c r="A815" i="2"/>
  <c r="C814" i="2"/>
  <c r="E814" i="2"/>
  <c r="D814" i="2"/>
  <c r="A814" i="2"/>
  <c r="F813" i="2"/>
  <c r="F118" i="3" s="1"/>
  <c r="E813" i="2"/>
  <c r="D813" i="2"/>
  <c r="G812" i="2"/>
  <c r="E118" i="4" s="1"/>
  <c r="F812" i="2"/>
  <c r="E118" i="3" s="1"/>
  <c r="E812" i="2"/>
  <c r="D812" i="2"/>
  <c r="H811" i="2"/>
  <c r="D118" i="5" s="1"/>
  <c r="G811" i="2"/>
  <c r="D118" i="4" s="1"/>
  <c r="F811" i="2"/>
  <c r="D118" i="3" s="1"/>
  <c r="E811" i="2"/>
  <c r="D811" i="2"/>
  <c r="C810" i="2"/>
  <c r="H810" i="2"/>
  <c r="C118" i="5" s="1"/>
  <c r="G810" i="2"/>
  <c r="C118" i="4" s="1"/>
  <c r="F810" i="2"/>
  <c r="C118" i="3" s="1"/>
  <c r="A810" i="2"/>
  <c r="C809" i="2"/>
  <c r="A118" i="20" s="1"/>
  <c r="H809" i="2"/>
  <c r="G809" i="2"/>
  <c r="B118" i="10" s="1"/>
  <c r="F809" i="2"/>
  <c r="B118" i="9" s="1"/>
  <c r="A809" i="2"/>
  <c r="C808" i="2"/>
  <c r="H808" i="2"/>
  <c r="H117" i="5" s="1"/>
  <c r="A808" i="2"/>
  <c r="C807" i="2"/>
  <c r="H807" i="2"/>
  <c r="G117" i="5" s="1"/>
  <c r="D807" i="2"/>
  <c r="A807" i="2"/>
  <c r="E806" i="2"/>
  <c r="D806" i="2"/>
  <c r="F805" i="2"/>
  <c r="E117" i="3" s="1"/>
  <c r="E805" i="2"/>
  <c r="D805" i="2"/>
  <c r="G804" i="2"/>
  <c r="D117" i="4" s="1"/>
  <c r="F804" i="2"/>
  <c r="D117" i="3" s="1"/>
  <c r="E804" i="2"/>
  <c r="D804" i="2"/>
  <c r="H803" i="2"/>
  <c r="C117" i="5" s="1"/>
  <c r="G803" i="2"/>
  <c r="C117" i="4" s="1"/>
  <c r="F803" i="2"/>
  <c r="C117" i="3" s="1"/>
  <c r="E803" i="2"/>
  <c r="D803" i="2"/>
  <c r="C802" i="2"/>
  <c r="A117" i="20" s="1"/>
  <c r="H802" i="2"/>
  <c r="G802" i="2"/>
  <c r="B117" i="10" s="1"/>
  <c r="F802" i="2"/>
  <c r="B117" i="9" s="1"/>
  <c r="E802" i="2"/>
  <c r="A802" i="2"/>
  <c r="C801" i="2"/>
  <c r="H801" i="2"/>
  <c r="H116" i="5" s="1"/>
  <c r="G801" i="2"/>
  <c r="H116" i="4" s="1"/>
  <c r="F801" i="2"/>
  <c r="H116" i="3" s="1"/>
  <c r="A801" i="2"/>
  <c r="C800" i="2"/>
  <c r="H800" i="2"/>
  <c r="G116" i="5" s="1"/>
  <c r="A800" i="2"/>
  <c r="C799" i="2"/>
  <c r="D799" i="2"/>
  <c r="A799" i="2"/>
  <c r="C798" i="2"/>
  <c r="E798" i="2"/>
  <c r="D798" i="2"/>
  <c r="A798" i="2"/>
  <c r="F797" i="2"/>
  <c r="D116" i="3" s="1"/>
  <c r="E797" i="2"/>
  <c r="D797" i="2"/>
  <c r="G796" i="2"/>
  <c r="C116" i="4" s="1"/>
  <c r="F796" i="2"/>
  <c r="C116" i="3" s="1"/>
  <c r="E796" i="2"/>
  <c r="D796" i="2"/>
  <c r="H795" i="2"/>
  <c r="G795" i="2"/>
  <c r="B116" i="10" s="1"/>
  <c r="F795" i="2"/>
  <c r="B116" i="9" s="1"/>
  <c r="E795" i="2"/>
  <c r="C794" i="2"/>
  <c r="H794" i="2"/>
  <c r="H115" i="5" s="1"/>
  <c r="G794" i="2"/>
  <c r="H115" i="4" s="1"/>
  <c r="F794" i="2"/>
  <c r="H115" i="3" s="1"/>
  <c r="E794" i="2"/>
  <c r="A794" i="2"/>
  <c r="C793" i="2"/>
  <c r="H793" i="2"/>
  <c r="G115" i="5" s="1"/>
  <c r="G793" i="2"/>
  <c r="G115" i="4" s="1"/>
  <c r="F793" i="2"/>
  <c r="G115" i="3" s="1"/>
  <c r="A793" i="2"/>
  <c r="C792" i="2"/>
  <c r="H792" i="2"/>
  <c r="F115" i="5" s="1"/>
  <c r="A792" i="2"/>
  <c r="C791" i="2"/>
  <c r="D791" i="2"/>
  <c r="A791" i="2"/>
  <c r="C790" i="2"/>
  <c r="E790" i="2"/>
  <c r="D790" i="2"/>
  <c r="A790" i="2"/>
  <c r="F789" i="2"/>
  <c r="C115" i="3" s="1"/>
  <c r="E789" i="2"/>
  <c r="D789" i="2"/>
  <c r="G788" i="2"/>
  <c r="B115" i="10" s="1"/>
  <c r="F788" i="2"/>
  <c r="B115" i="9" s="1"/>
  <c r="E788" i="2"/>
  <c r="D788" i="2"/>
  <c r="H787" i="2"/>
  <c r="G787" i="2"/>
  <c r="F787" i="2"/>
  <c r="E787" i="2"/>
  <c r="C786" i="2"/>
  <c r="H786" i="2"/>
  <c r="G786" i="2"/>
  <c r="F786" i="2"/>
  <c r="A786" i="2"/>
  <c r="C785" i="2"/>
  <c r="H785" i="2"/>
  <c r="G785" i="2"/>
  <c r="A785" i="2"/>
  <c r="C784" i="2"/>
  <c r="H784" i="2"/>
  <c r="G784" i="2"/>
  <c r="A784" i="2"/>
  <c r="C783" i="2"/>
  <c r="D783" i="2"/>
  <c r="A783" i="2"/>
  <c r="C782" i="2"/>
  <c r="E782" i="2"/>
  <c r="D782" i="2"/>
  <c r="F781" i="2"/>
  <c r="E781" i="2"/>
  <c r="D781" i="2"/>
  <c r="G780" i="2"/>
  <c r="F780" i="2"/>
  <c r="E780" i="2"/>
  <c r="D780" i="2"/>
  <c r="H779" i="2"/>
  <c r="G779" i="2"/>
  <c r="F779" i="2"/>
  <c r="E779" i="2"/>
  <c r="C778" i="2"/>
  <c r="H778" i="2"/>
  <c r="G778" i="2"/>
  <c r="F778" i="2"/>
  <c r="E778" i="2"/>
  <c r="A778" i="2"/>
  <c r="C777" i="2"/>
  <c r="H777" i="2"/>
  <c r="G777" i="2"/>
  <c r="F777" i="2"/>
  <c r="A777" i="2"/>
  <c r="C776" i="2"/>
  <c r="H776" i="2"/>
  <c r="G776" i="2"/>
  <c r="A776" i="2"/>
  <c r="C775" i="2"/>
  <c r="D775" i="2"/>
  <c r="A775" i="2"/>
  <c r="E774" i="2"/>
  <c r="D774" i="2"/>
  <c r="A774" i="2"/>
  <c r="F773" i="2"/>
  <c r="H113" i="3" s="1"/>
  <c r="E773" i="2"/>
  <c r="D773" i="2"/>
  <c r="G772" i="2"/>
  <c r="G113" i="4" s="1"/>
  <c r="F772" i="2"/>
  <c r="G113" i="3" s="1"/>
  <c r="E772" i="2"/>
  <c r="D772" i="2"/>
  <c r="H771" i="2"/>
  <c r="F113" i="5" s="1"/>
  <c r="G771" i="2"/>
  <c r="F113" i="4" s="1"/>
  <c r="F771" i="2"/>
  <c r="F113" i="3" s="1"/>
  <c r="E771" i="2"/>
  <c r="D771" i="2"/>
  <c r="C770" i="2"/>
  <c r="H770" i="2"/>
  <c r="E113" i="5" s="1"/>
  <c r="G770" i="2"/>
  <c r="E113" i="4" s="1"/>
  <c r="F770" i="2"/>
  <c r="E113" i="3" s="1"/>
  <c r="A770" i="2"/>
  <c r="C769" i="2"/>
  <c r="H769" i="2"/>
  <c r="D113" i="5" s="1"/>
  <c r="G769" i="2"/>
  <c r="D113" i="4" s="1"/>
  <c r="A769" i="2"/>
  <c r="C768" i="2"/>
  <c r="H768" i="2"/>
  <c r="C113" i="5" s="1"/>
  <c r="G768" i="2"/>
  <c r="C113" i="4" s="1"/>
  <c r="A768" i="2"/>
  <c r="D767" i="2"/>
  <c r="A767" i="2"/>
  <c r="E766" i="2"/>
  <c r="D766" i="2"/>
  <c r="A766" i="2"/>
  <c r="F765" i="2"/>
  <c r="G111" i="3" s="1"/>
  <c r="E765" i="2"/>
  <c r="D765" i="2"/>
  <c r="G764" i="2"/>
  <c r="F111" i="4" s="1"/>
  <c r="F764" i="2"/>
  <c r="F111" i="3" s="1"/>
  <c r="E764" i="2"/>
  <c r="D764" i="2"/>
  <c r="H763" i="2"/>
  <c r="E111" i="5" s="1"/>
  <c r="G763" i="2"/>
  <c r="E111" i="4" s="1"/>
  <c r="F763" i="2"/>
  <c r="E111" i="3" s="1"/>
  <c r="E763" i="2"/>
  <c r="D763" i="2"/>
  <c r="C762" i="2"/>
  <c r="H762" i="2"/>
  <c r="D111" i="5" s="1"/>
  <c r="G762" i="2"/>
  <c r="D111" i="4" s="1"/>
  <c r="F762" i="2"/>
  <c r="D111" i="3" s="1"/>
  <c r="E762" i="2"/>
  <c r="A762" i="2"/>
  <c r="C761" i="2"/>
  <c r="H761" i="2"/>
  <c r="C111" i="5" s="1"/>
  <c r="G761" i="2"/>
  <c r="C111" i="4" s="1"/>
  <c r="A761" i="2"/>
  <c r="C760" i="2"/>
  <c r="A111" i="20" s="1"/>
  <c r="H760" i="2"/>
  <c r="A760" i="2"/>
  <c r="C759" i="2"/>
  <c r="H759" i="2"/>
  <c r="H110" i="5" s="1"/>
  <c r="D759" i="2"/>
  <c r="A759" i="2"/>
  <c r="C758" i="2"/>
  <c r="E758" i="2"/>
  <c r="D758" i="2"/>
  <c r="A758" i="2"/>
  <c r="F757" i="2"/>
  <c r="F110" i="3" s="1"/>
  <c r="E757" i="2"/>
  <c r="D757" i="2"/>
  <c r="G756" i="2"/>
  <c r="E110" i="4" s="1"/>
  <c r="F756" i="2"/>
  <c r="E110" i="3" s="1"/>
  <c r="E756" i="2"/>
  <c r="D756" i="2"/>
  <c r="H755" i="2"/>
  <c r="D110" i="5" s="1"/>
  <c r="G755" i="2"/>
  <c r="D110" i="4" s="1"/>
  <c r="F755" i="2"/>
  <c r="D110" i="3" s="1"/>
  <c r="E755" i="2"/>
  <c r="D755" i="2"/>
  <c r="C754" i="2"/>
  <c r="H754" i="2"/>
  <c r="C110" i="5" s="1"/>
  <c r="F754" i="2"/>
  <c r="C110" i="3" s="1"/>
  <c r="A754" i="2"/>
  <c r="C753" i="2"/>
  <c r="H753" i="2"/>
  <c r="B110" i="5" s="1"/>
  <c r="G753" i="2"/>
  <c r="B110" i="4" s="1"/>
  <c r="F753" i="2"/>
  <c r="B110" i="3" s="1"/>
  <c r="A753" i="2"/>
  <c r="C752" i="2"/>
  <c r="H752" i="2"/>
  <c r="H109" i="5" s="1"/>
  <c r="G752" i="2"/>
  <c r="H109" i="4" s="1"/>
  <c r="A752" i="2"/>
  <c r="C751" i="2"/>
  <c r="D751" i="2"/>
  <c r="A751" i="2"/>
  <c r="C750" i="2"/>
  <c r="E750" i="2"/>
  <c r="D750" i="2"/>
  <c r="A750" i="2"/>
  <c r="F749" i="2"/>
  <c r="E109" i="3" s="1"/>
  <c r="E749" i="2"/>
  <c r="D749" i="2"/>
  <c r="G748" i="2"/>
  <c r="D109" i="4" s="1"/>
  <c r="F748" i="2"/>
  <c r="D109" i="3" s="1"/>
  <c r="E748" i="2"/>
  <c r="D748" i="2"/>
  <c r="H747" i="2"/>
  <c r="C109" i="5" s="1"/>
  <c r="G747" i="2"/>
  <c r="C109" i="4" s="1"/>
  <c r="F747" i="2"/>
  <c r="C109" i="3" s="1"/>
  <c r="E747" i="2"/>
  <c r="D747" i="2"/>
  <c r="C746" i="2"/>
  <c r="A109" i="20" s="1"/>
  <c r="H746" i="2"/>
  <c r="G746" i="2"/>
  <c r="B109" i="10" s="1"/>
  <c r="F746" i="2"/>
  <c r="B109" i="9" s="1"/>
  <c r="E746" i="2"/>
  <c r="A746" i="2"/>
  <c r="C745" i="2"/>
  <c r="H745" i="2"/>
  <c r="H108" i="5" s="1"/>
  <c r="G745" i="2"/>
  <c r="H108" i="4" s="1"/>
  <c r="F745" i="2"/>
  <c r="H108" i="3" s="1"/>
  <c r="A745" i="2"/>
  <c r="C744" i="2"/>
  <c r="H744" i="2"/>
  <c r="G108" i="5" s="1"/>
  <c r="G744" i="2"/>
  <c r="G108" i="4" s="1"/>
  <c r="A744" i="2"/>
  <c r="C743" i="2"/>
  <c r="H743" i="2"/>
  <c r="F108" i="5" s="1"/>
  <c r="D743" i="2"/>
  <c r="A743" i="2"/>
  <c r="C742" i="2"/>
  <c r="E742" i="2"/>
  <c r="D742" i="2"/>
  <c r="A742" i="2"/>
  <c r="F741" i="2"/>
  <c r="D108" i="3" s="1"/>
  <c r="E741" i="2"/>
  <c r="D741" i="2"/>
  <c r="G740" i="2"/>
  <c r="C108" i="4" s="1"/>
  <c r="F740" i="2"/>
  <c r="C108" i="3" s="1"/>
  <c r="E740" i="2"/>
  <c r="D740" i="2"/>
  <c r="H739" i="2"/>
  <c r="G739" i="2"/>
  <c r="B108" i="10" s="1"/>
  <c r="F739" i="2"/>
  <c r="B108" i="9" s="1"/>
  <c r="E739" i="2"/>
  <c r="D739" i="2"/>
  <c r="C738" i="2"/>
  <c r="H738" i="2"/>
  <c r="H107" i="5" s="1"/>
  <c r="G738" i="2"/>
  <c r="H107" i="4" s="1"/>
  <c r="F738" i="2"/>
  <c r="H107" i="3" s="1"/>
  <c r="A738" i="2"/>
  <c r="C737" i="2"/>
  <c r="H737" i="2"/>
  <c r="G107" i="5" s="1"/>
  <c r="G737" i="2"/>
  <c r="G107" i="4" s="1"/>
  <c r="A737" i="2"/>
  <c r="C736" i="2"/>
  <c r="H736" i="2"/>
  <c r="F107" i="5" s="1"/>
  <c r="G736" i="2"/>
  <c r="F107" i="4" s="1"/>
  <c r="A736" i="2"/>
  <c r="C735" i="2"/>
  <c r="H735" i="2"/>
  <c r="E107" i="5" s="1"/>
  <c r="D735" i="2"/>
  <c r="A735" i="2"/>
  <c r="C734" i="2"/>
  <c r="E734" i="2"/>
  <c r="D734" i="2"/>
  <c r="A734" i="2"/>
  <c r="F733" i="2"/>
  <c r="C107" i="3" s="1"/>
  <c r="E733" i="2"/>
  <c r="D733" i="2"/>
  <c r="G732" i="2"/>
  <c r="B107" i="10" s="1"/>
  <c r="F732" i="2"/>
  <c r="B107" i="9" s="1"/>
  <c r="E732" i="2"/>
  <c r="D732" i="2"/>
  <c r="H731" i="2"/>
  <c r="H106" i="5" s="1"/>
  <c r="G731" i="2"/>
  <c r="H106" i="4" s="1"/>
  <c r="F731" i="2"/>
  <c r="H106" i="3" s="1"/>
  <c r="E731" i="2"/>
  <c r="C730" i="2"/>
  <c r="H730" i="2"/>
  <c r="G106" i="5" s="1"/>
  <c r="G730" i="2"/>
  <c r="G106" i="4" s="1"/>
  <c r="F730" i="2"/>
  <c r="G106" i="3" s="1"/>
  <c r="E730" i="2"/>
  <c r="A730" i="2"/>
  <c r="C729" i="2"/>
  <c r="H729" i="2"/>
  <c r="F106" i="5" s="1"/>
  <c r="F729" i="2"/>
  <c r="F106" i="3" s="1"/>
  <c r="A729" i="2"/>
  <c r="C728" i="2"/>
  <c r="H728" i="2"/>
  <c r="E106" i="5" s="1"/>
  <c r="G728" i="2"/>
  <c r="E106" i="4" s="1"/>
  <c r="A728" i="2"/>
  <c r="C727" i="2"/>
  <c r="H727" i="2"/>
  <c r="D106" i="5" s="1"/>
  <c r="D727" i="2"/>
  <c r="A727" i="2"/>
  <c r="E726" i="2"/>
  <c r="D726" i="2"/>
  <c r="F725" i="2"/>
  <c r="B106" i="9" s="1"/>
  <c r="E725" i="2"/>
  <c r="D725" i="2"/>
  <c r="G724" i="2"/>
  <c r="H105" i="4" s="1"/>
  <c r="F724" i="2"/>
  <c r="H105" i="3" s="1"/>
  <c r="E724" i="2"/>
  <c r="D724" i="2"/>
  <c r="H723" i="2"/>
  <c r="G105" i="5" s="1"/>
  <c r="G723" i="2"/>
  <c r="G105" i="4" s="1"/>
  <c r="F723" i="2"/>
  <c r="G105" i="3" s="1"/>
  <c r="E723" i="2"/>
  <c r="D723" i="2"/>
  <c r="C722" i="2"/>
  <c r="H722" i="2"/>
  <c r="F105" i="5" s="1"/>
  <c r="G722" i="2"/>
  <c r="F105" i="4" s="1"/>
  <c r="F722" i="2"/>
  <c r="F105" i="3" s="1"/>
  <c r="E722" i="2"/>
  <c r="A722" i="2"/>
  <c r="C721" i="2"/>
  <c r="H721" i="2"/>
  <c r="E105" i="5" s="1"/>
  <c r="G721" i="2"/>
  <c r="E105" i="4" s="1"/>
  <c r="F721" i="2"/>
  <c r="E105" i="3" s="1"/>
  <c r="A721" i="2"/>
  <c r="C720" i="2"/>
  <c r="H720" i="2"/>
  <c r="D105" i="5" s="1"/>
  <c r="G720" i="2"/>
  <c r="D105" i="4" s="1"/>
  <c r="A720" i="2"/>
  <c r="C719" i="2"/>
  <c r="D719" i="2"/>
  <c r="A719" i="2"/>
  <c r="E718" i="2"/>
  <c r="D718" i="2"/>
  <c r="F717" i="2"/>
  <c r="H104" i="3" s="1"/>
  <c r="E717" i="2"/>
  <c r="D717" i="2"/>
  <c r="G716" i="2"/>
  <c r="G104" i="4" s="1"/>
  <c r="F716" i="2"/>
  <c r="G104" i="3" s="1"/>
  <c r="E716" i="2"/>
  <c r="D716" i="2"/>
  <c r="H715" i="2"/>
  <c r="F104" i="5" s="1"/>
  <c r="G715" i="2"/>
  <c r="F104" i="4" s="1"/>
  <c r="F715" i="2"/>
  <c r="F104" i="3" s="1"/>
  <c r="E715" i="2"/>
  <c r="C714" i="2"/>
  <c r="H714" i="2"/>
  <c r="E104" i="5" s="1"/>
  <c r="G714" i="2"/>
  <c r="E104" i="4" s="1"/>
  <c r="F714" i="2"/>
  <c r="E104" i="3" s="1"/>
  <c r="E714" i="2"/>
  <c r="A714" i="2"/>
  <c r="C713" i="2"/>
  <c r="H713" i="2"/>
  <c r="D104" i="5" s="1"/>
  <c r="G713" i="2"/>
  <c r="D104" i="4" s="1"/>
  <c r="F713" i="2"/>
  <c r="D104" i="3" s="1"/>
  <c r="A713" i="2"/>
  <c r="C712" i="2"/>
  <c r="H712" i="2"/>
  <c r="C104" i="5" s="1"/>
  <c r="A712" i="2"/>
  <c r="C711" i="2"/>
  <c r="A104" i="20" s="1"/>
  <c r="H711" i="2"/>
  <c r="D711" i="2"/>
  <c r="A711" i="2"/>
  <c r="A103" i="20" s="1"/>
  <c r="E710" i="2"/>
  <c r="D710" i="2"/>
  <c r="F709" i="2"/>
  <c r="E709" i="2"/>
  <c r="D709" i="2"/>
  <c r="G708" i="2"/>
  <c r="F708" i="2"/>
  <c r="E708" i="2"/>
  <c r="D708" i="2"/>
  <c r="H707" i="2"/>
  <c r="G707" i="2"/>
  <c r="F707" i="2"/>
  <c r="E707" i="2"/>
  <c r="D707" i="2"/>
  <c r="C706" i="2"/>
  <c r="H706" i="2"/>
  <c r="G706" i="2"/>
  <c r="F706" i="2"/>
  <c r="E706" i="2"/>
  <c r="A706" i="2"/>
  <c r="C705" i="2"/>
  <c r="H705" i="2"/>
  <c r="G705" i="2"/>
  <c r="A705" i="2"/>
  <c r="C704" i="2"/>
  <c r="H704" i="2"/>
  <c r="A704" i="2"/>
  <c r="C703" i="2"/>
  <c r="H703" i="2"/>
  <c r="D703" i="2"/>
  <c r="A703" i="2"/>
  <c r="C702" i="2"/>
  <c r="E702" i="2"/>
  <c r="D702" i="2"/>
  <c r="A702" i="2"/>
  <c r="F701" i="2"/>
  <c r="E701" i="2"/>
  <c r="D701" i="2"/>
  <c r="G700" i="2"/>
  <c r="F700" i="2"/>
  <c r="E700" i="2"/>
  <c r="D700" i="2"/>
  <c r="H699" i="2"/>
  <c r="G699" i="2"/>
  <c r="F699" i="2"/>
  <c r="E699" i="2"/>
  <c r="C698" i="2"/>
  <c r="H698" i="2"/>
  <c r="G698" i="2"/>
  <c r="F698" i="2"/>
  <c r="A698" i="2"/>
  <c r="C697" i="2"/>
  <c r="H697" i="2"/>
  <c r="G697" i="2"/>
  <c r="F697" i="2"/>
  <c r="A697" i="2"/>
  <c r="C696" i="2"/>
  <c r="H696" i="2"/>
  <c r="H102" i="5" s="1"/>
  <c r="G696" i="2"/>
  <c r="H102" i="4" s="1"/>
  <c r="A696" i="2"/>
  <c r="C695" i="2"/>
  <c r="H695" i="2"/>
  <c r="G102" i="5" s="1"/>
  <c r="D695" i="2"/>
  <c r="A695" i="2"/>
  <c r="C694" i="2"/>
  <c r="E694" i="2"/>
  <c r="D694" i="2"/>
  <c r="F693" i="2"/>
  <c r="E102" i="3" s="1"/>
  <c r="E693" i="2"/>
  <c r="D693" i="2"/>
  <c r="G692" i="2"/>
  <c r="D102" i="4" s="1"/>
  <c r="F692" i="2"/>
  <c r="D102" i="3" s="1"/>
  <c r="E692" i="2"/>
  <c r="D692" i="2"/>
  <c r="H691" i="2"/>
  <c r="C102" i="5" s="1"/>
  <c r="G691" i="2"/>
  <c r="C102" i="4" s="1"/>
  <c r="F691" i="2"/>
  <c r="C102" i="3" s="1"/>
  <c r="E691" i="2"/>
  <c r="D691" i="2"/>
  <c r="C690" i="2"/>
  <c r="A102" i="20" s="1"/>
  <c r="H690" i="2"/>
  <c r="G690" i="2"/>
  <c r="B102" i="10" s="1"/>
  <c r="F690" i="2"/>
  <c r="B102" i="9" s="1"/>
  <c r="E690" i="2"/>
  <c r="A690" i="2"/>
  <c r="C689" i="2"/>
  <c r="H689" i="2"/>
  <c r="H101" i="5" s="1"/>
  <c r="G689" i="2"/>
  <c r="H101" i="4" s="1"/>
  <c r="F689" i="2"/>
  <c r="H101" i="3" s="1"/>
  <c r="A689" i="2"/>
  <c r="C688" i="2"/>
  <c r="H688" i="2"/>
  <c r="G101" i="5" s="1"/>
  <c r="A688" i="2"/>
  <c r="C687" i="2"/>
  <c r="H687" i="2"/>
  <c r="F101" i="5" s="1"/>
  <c r="D687" i="2"/>
  <c r="A687" i="2"/>
  <c r="C686" i="2"/>
  <c r="E686" i="2"/>
  <c r="D686" i="2"/>
  <c r="A686" i="2"/>
  <c r="F685" i="2"/>
  <c r="D101" i="3" s="1"/>
  <c r="E685" i="2"/>
  <c r="D685" i="2"/>
  <c r="G684" i="2"/>
  <c r="C101" i="4" s="1"/>
  <c r="F684" i="2"/>
  <c r="C101" i="3" s="1"/>
  <c r="E684" i="2"/>
  <c r="D684" i="2"/>
  <c r="H683" i="2"/>
  <c r="G683" i="2"/>
  <c r="B101" i="10" s="1"/>
  <c r="F683" i="2"/>
  <c r="B101" i="9" s="1"/>
  <c r="E683" i="2"/>
  <c r="D683" i="2"/>
  <c r="C682" i="2"/>
  <c r="H682" i="2"/>
  <c r="G682" i="2"/>
  <c r="F682" i="2"/>
  <c r="A682" i="2"/>
  <c r="C681" i="2"/>
  <c r="H681" i="2"/>
  <c r="G681" i="2"/>
  <c r="G100" i="10" s="1"/>
  <c r="A681" i="2"/>
  <c r="C680" i="2"/>
  <c r="H680" i="2"/>
  <c r="A680" i="2"/>
  <c r="C679" i="2"/>
  <c r="H679" i="2"/>
  <c r="D679" i="2"/>
  <c r="A679" i="2"/>
  <c r="C678" i="2"/>
  <c r="E678" i="2"/>
  <c r="D678" i="2"/>
  <c r="A678" i="2"/>
  <c r="F677" i="2"/>
  <c r="C100" i="9" s="1"/>
  <c r="E677" i="2"/>
  <c r="D677" i="2"/>
  <c r="G676" i="2"/>
  <c r="F676" i="2"/>
  <c r="E676" i="2"/>
  <c r="D676" i="2"/>
  <c r="H675" i="2"/>
  <c r="G675" i="2"/>
  <c r="F675" i="2"/>
  <c r="E675" i="2"/>
  <c r="H674" i="2"/>
  <c r="G674" i="2"/>
  <c r="G99" i="10" s="1"/>
  <c r="F674" i="2"/>
  <c r="G99" i="9" s="1"/>
  <c r="A674" i="2"/>
  <c r="C673" i="2"/>
  <c r="H673" i="2"/>
  <c r="G673" i="2"/>
  <c r="F99" i="10" s="1"/>
  <c r="F673" i="2"/>
  <c r="F99" i="9" s="1"/>
  <c r="A673" i="2"/>
  <c r="C672" i="2"/>
  <c r="H672" i="2"/>
  <c r="A672" i="2"/>
  <c r="C671" i="2"/>
  <c r="D671" i="2"/>
  <c r="A671" i="2"/>
  <c r="E670" i="2"/>
  <c r="D670" i="2"/>
  <c r="A670" i="2"/>
  <c r="F669" i="2"/>
  <c r="E669" i="2"/>
  <c r="D669" i="2"/>
  <c r="G668" i="2"/>
  <c r="H98" i="4" s="1"/>
  <c r="F668" i="2"/>
  <c r="H98" i="3" s="1"/>
  <c r="E668" i="2"/>
  <c r="D668" i="2"/>
  <c r="H667" i="2"/>
  <c r="G98" i="5" s="1"/>
  <c r="G667" i="2"/>
  <c r="G98" i="4" s="1"/>
  <c r="F667" i="2"/>
  <c r="G98" i="3" s="1"/>
  <c r="C666" i="2"/>
  <c r="H666" i="2"/>
  <c r="F98" i="5" s="1"/>
  <c r="G666" i="2"/>
  <c r="F98" i="4" s="1"/>
  <c r="F666" i="2"/>
  <c r="F98" i="3" s="1"/>
  <c r="A666" i="2"/>
  <c r="C665" i="2"/>
  <c r="H665" i="2"/>
  <c r="E98" i="5" s="1"/>
  <c r="G665" i="2"/>
  <c r="E98" i="4" s="1"/>
  <c r="A665" i="2"/>
  <c r="C664" i="2"/>
  <c r="H664" i="2"/>
  <c r="D98" i="5" s="1"/>
  <c r="G664" i="2"/>
  <c r="D98" i="4" s="1"/>
  <c r="A664" i="2"/>
  <c r="C663" i="2"/>
  <c r="H663" i="2"/>
  <c r="C98" i="5" s="1"/>
  <c r="D663" i="2"/>
  <c r="A663" i="2"/>
  <c r="C662" i="2"/>
  <c r="A98" i="20" s="1"/>
  <c r="E662" i="2"/>
  <c r="D662" i="2"/>
  <c r="F661" i="2"/>
  <c r="H97" i="3" s="1"/>
  <c r="E661" i="2"/>
  <c r="D661" i="2"/>
  <c r="G660" i="2"/>
  <c r="G97" i="4" s="1"/>
  <c r="F660" i="2"/>
  <c r="G97" i="3" s="1"/>
  <c r="E660" i="2"/>
  <c r="D660" i="2"/>
  <c r="H659" i="2"/>
  <c r="F97" i="5" s="1"/>
  <c r="G659" i="2"/>
  <c r="F97" i="4" s="1"/>
  <c r="F659" i="2"/>
  <c r="F97" i="3" s="1"/>
  <c r="E659" i="2"/>
  <c r="D659" i="2"/>
  <c r="C658" i="2"/>
  <c r="H658" i="2"/>
  <c r="E97" i="5" s="1"/>
  <c r="G658" i="2"/>
  <c r="E97" i="4" s="1"/>
  <c r="F658" i="2"/>
  <c r="E97" i="3" s="1"/>
  <c r="E658" i="2"/>
  <c r="A658" i="2"/>
  <c r="C657" i="2"/>
  <c r="H657" i="2"/>
  <c r="D97" i="5" s="1"/>
  <c r="G657" i="2"/>
  <c r="D97" i="4" s="1"/>
  <c r="F657" i="2"/>
  <c r="D97" i="3" s="1"/>
  <c r="A657" i="2"/>
  <c r="C656" i="2"/>
  <c r="H656" i="2"/>
  <c r="C97" i="5" s="1"/>
  <c r="A656" i="2"/>
  <c r="C655" i="2"/>
  <c r="A97" i="20" s="1"/>
  <c r="H655" i="2"/>
  <c r="D655" i="2"/>
  <c r="A655" i="2"/>
  <c r="E654" i="2"/>
  <c r="D654" i="2"/>
  <c r="A654" i="2"/>
  <c r="F653" i="2"/>
  <c r="G96" i="3" s="1"/>
  <c r="E653" i="2"/>
  <c r="D653" i="2"/>
  <c r="G652" i="2"/>
  <c r="F96" i="4" s="1"/>
  <c r="F652" i="2"/>
  <c r="F96" i="3" s="1"/>
  <c r="E652" i="2"/>
  <c r="D652" i="2"/>
  <c r="H651" i="2"/>
  <c r="E96" i="5" s="1"/>
  <c r="G651" i="2"/>
  <c r="E96" i="4" s="1"/>
  <c r="F651" i="2"/>
  <c r="E96" i="3" s="1"/>
  <c r="E651" i="2"/>
  <c r="C650" i="2"/>
  <c r="H650" i="2"/>
  <c r="D96" i="5" s="1"/>
  <c r="G650" i="2"/>
  <c r="D96" i="4" s="1"/>
  <c r="F650" i="2"/>
  <c r="D96" i="3" s="1"/>
  <c r="E650" i="2"/>
  <c r="A650" i="2"/>
  <c r="C649" i="2"/>
  <c r="H649" i="2"/>
  <c r="C96" i="5" s="1"/>
  <c r="G649" i="2"/>
  <c r="C96" i="4" s="1"/>
  <c r="F649" i="2"/>
  <c r="C96" i="3" s="1"/>
  <c r="A649" i="2"/>
  <c r="C648" i="2"/>
  <c r="A96" i="20" s="1"/>
  <c r="H648" i="2"/>
  <c r="G648" i="2"/>
  <c r="B96" i="10" s="1"/>
  <c r="A648" i="2"/>
  <c r="C647" i="2"/>
  <c r="D647" i="2"/>
  <c r="A647" i="2"/>
  <c r="E646" i="2"/>
  <c r="D646" i="2"/>
  <c r="F645" i="2"/>
  <c r="F95" i="3" s="1"/>
  <c r="E645" i="2"/>
  <c r="D645" i="2"/>
  <c r="G644" i="2"/>
  <c r="E95" i="4" s="1"/>
  <c r="F644" i="2"/>
  <c r="E95" i="3" s="1"/>
  <c r="E644" i="2"/>
  <c r="D644" i="2"/>
  <c r="H643" i="2"/>
  <c r="D95" i="5" s="1"/>
  <c r="G643" i="2"/>
  <c r="D95" i="4" s="1"/>
  <c r="F643" i="2"/>
  <c r="D95" i="3" s="1"/>
  <c r="E643" i="2"/>
  <c r="D643" i="2"/>
  <c r="C642" i="2"/>
  <c r="H642" i="2"/>
  <c r="C95" i="5" s="1"/>
  <c r="G642" i="2"/>
  <c r="C95" i="4" s="1"/>
  <c r="F642" i="2"/>
  <c r="C95" i="3" s="1"/>
  <c r="E642" i="2"/>
  <c r="A642" i="2"/>
  <c r="C641" i="2"/>
  <c r="A95" i="20" s="1"/>
  <c r="H641" i="2"/>
  <c r="G641" i="2"/>
  <c r="B95" i="10" s="1"/>
  <c r="F641" i="2"/>
  <c r="B95" i="9" s="1"/>
  <c r="A641" i="2"/>
  <c r="C640" i="2"/>
  <c r="H640" i="2"/>
  <c r="H94" i="5" s="1"/>
  <c r="G640" i="2"/>
  <c r="H94" i="4" s="1"/>
  <c r="A640" i="2"/>
  <c r="C639" i="2"/>
  <c r="D639" i="2"/>
  <c r="A639" i="2"/>
  <c r="C638" i="2"/>
  <c r="E638" i="2"/>
  <c r="D638" i="2"/>
  <c r="F637" i="2"/>
  <c r="E94" i="3" s="1"/>
  <c r="E637" i="2"/>
  <c r="D637" i="2"/>
  <c r="G636" i="2"/>
  <c r="D94" i="4" s="1"/>
  <c r="F636" i="2"/>
  <c r="D94" i="3" s="1"/>
  <c r="E636" i="2"/>
  <c r="D636" i="2"/>
  <c r="H635" i="2"/>
  <c r="C94" i="5" s="1"/>
  <c r="G635" i="2"/>
  <c r="C94" i="4" s="1"/>
  <c r="F635" i="2"/>
  <c r="C94" i="3" s="1"/>
  <c r="E635" i="2"/>
  <c r="D635" i="2"/>
  <c r="C634" i="2"/>
  <c r="A94" i="20" s="1"/>
  <c r="H634" i="2"/>
  <c r="G634" i="2"/>
  <c r="B94" i="10" s="1"/>
  <c r="F634" i="2"/>
  <c r="B94" i="9" s="1"/>
  <c r="E634" i="2"/>
  <c r="A634" i="2"/>
  <c r="C633" i="2"/>
  <c r="H633" i="2"/>
  <c r="H93" i="5" s="1"/>
  <c r="G633" i="2"/>
  <c r="H93" i="4" s="1"/>
  <c r="F633" i="2"/>
  <c r="H93" i="3" s="1"/>
  <c r="A633" i="2"/>
  <c r="C632" i="2"/>
  <c r="H632" i="2"/>
  <c r="G93" i="5" s="1"/>
  <c r="G632" i="2"/>
  <c r="G93" i="4" s="1"/>
  <c r="A632" i="2"/>
  <c r="C631" i="2"/>
  <c r="H631" i="2"/>
  <c r="F93" i="5" s="1"/>
  <c r="D631" i="2"/>
  <c r="A631" i="2"/>
  <c r="C630" i="2"/>
  <c r="E630" i="2"/>
  <c r="D630" i="2"/>
  <c r="A630" i="2"/>
  <c r="F629" i="2"/>
  <c r="D93" i="3" s="1"/>
  <c r="E629" i="2"/>
  <c r="D629" i="2"/>
  <c r="G628" i="2"/>
  <c r="C93" i="4" s="1"/>
  <c r="F628" i="2"/>
  <c r="C93" i="3" s="1"/>
  <c r="E628" i="2"/>
  <c r="D628" i="2"/>
  <c r="H627" i="2"/>
  <c r="G627" i="2"/>
  <c r="B93" i="10" s="1"/>
  <c r="F627" i="2"/>
  <c r="B93" i="9" s="1"/>
  <c r="E627" i="2"/>
  <c r="D627" i="2"/>
  <c r="C626" i="2"/>
  <c r="H626" i="2"/>
  <c r="G626" i="2"/>
  <c r="F626" i="2"/>
  <c r="A626" i="2"/>
  <c r="C625" i="2"/>
  <c r="H625" i="2"/>
  <c r="G625" i="2"/>
  <c r="F625" i="2"/>
  <c r="A625" i="2"/>
  <c r="C624" i="2"/>
  <c r="H624" i="2"/>
  <c r="A624" i="2"/>
  <c r="C623" i="2"/>
  <c r="H623" i="2"/>
  <c r="D623" i="2"/>
  <c r="A623" i="2"/>
  <c r="C622" i="2"/>
  <c r="E622" i="2"/>
  <c r="D622" i="2"/>
  <c r="F621" i="2"/>
  <c r="E621" i="2"/>
  <c r="D621" i="2"/>
  <c r="G620" i="2"/>
  <c r="F620" i="2"/>
  <c r="E620" i="2"/>
  <c r="D620" i="2"/>
  <c r="H619" i="2"/>
  <c r="G619" i="2"/>
  <c r="F619" i="2"/>
  <c r="C618" i="2"/>
  <c r="H618" i="2"/>
  <c r="G618" i="2"/>
  <c r="F618" i="2"/>
  <c r="A618" i="2"/>
  <c r="C617" i="2"/>
  <c r="H617" i="2"/>
  <c r="G617" i="2"/>
  <c r="F617" i="2"/>
  <c r="A617" i="2"/>
  <c r="C616" i="2"/>
  <c r="H616" i="2"/>
  <c r="G616" i="2"/>
  <c r="A616" i="2"/>
  <c r="C615" i="2"/>
  <c r="D615" i="2"/>
  <c r="A615" i="2"/>
  <c r="E614" i="2"/>
  <c r="D614" i="2"/>
  <c r="F613" i="2"/>
  <c r="E613" i="2"/>
  <c r="D613" i="2"/>
  <c r="G612" i="2"/>
  <c r="H91" i="4" s="1"/>
  <c r="F612" i="2"/>
  <c r="H91" i="3" s="1"/>
  <c r="E612" i="2"/>
  <c r="D612" i="2"/>
  <c r="H611" i="2"/>
  <c r="G91" i="5" s="1"/>
  <c r="G611" i="2"/>
  <c r="G91" i="4" s="1"/>
  <c r="F611" i="2"/>
  <c r="G91" i="3" s="1"/>
  <c r="E611" i="2"/>
  <c r="C610" i="2"/>
  <c r="H610" i="2"/>
  <c r="F91" i="5" s="1"/>
  <c r="G610" i="2"/>
  <c r="F91" i="4" s="1"/>
  <c r="F610" i="2"/>
  <c r="F91" i="3" s="1"/>
  <c r="E610" i="2"/>
  <c r="A610" i="2"/>
  <c r="C609" i="2"/>
  <c r="H609" i="2"/>
  <c r="E91" i="5" s="1"/>
  <c r="G609" i="2"/>
  <c r="E91" i="4" s="1"/>
  <c r="F609" i="2"/>
  <c r="E91" i="3" s="1"/>
  <c r="A609" i="2"/>
  <c r="C608" i="2"/>
  <c r="H608" i="2"/>
  <c r="D91" i="5" s="1"/>
  <c r="G608" i="2"/>
  <c r="D91" i="4" s="1"/>
  <c r="A608" i="2"/>
  <c r="C607" i="2"/>
  <c r="H607" i="2"/>
  <c r="C91" i="5" s="1"/>
  <c r="D607" i="2"/>
  <c r="A607" i="2"/>
  <c r="C606" i="2"/>
  <c r="A91" i="20" s="1"/>
  <c r="E606" i="2"/>
  <c r="D606" i="2"/>
  <c r="F605" i="2"/>
  <c r="H90" i="3" s="1"/>
  <c r="E605" i="2"/>
  <c r="D605" i="2"/>
  <c r="G604" i="2"/>
  <c r="G90" i="4" s="1"/>
  <c r="F604" i="2"/>
  <c r="G90" i="3" s="1"/>
  <c r="E604" i="2"/>
  <c r="D604" i="2"/>
  <c r="H603" i="2"/>
  <c r="F90" i="5" s="1"/>
  <c r="G603" i="2"/>
  <c r="F90" i="4" s="1"/>
  <c r="F603" i="2"/>
  <c r="F90" i="3" s="1"/>
  <c r="E603" i="2"/>
  <c r="D603" i="2"/>
  <c r="C602" i="2"/>
  <c r="H602" i="2"/>
  <c r="E90" i="5" s="1"/>
  <c r="G602" i="2"/>
  <c r="E90" i="4" s="1"/>
  <c r="F602" i="2"/>
  <c r="E90" i="3" s="1"/>
  <c r="E602" i="2"/>
  <c r="A602" i="2"/>
  <c r="C601" i="2"/>
  <c r="H601" i="2"/>
  <c r="D90" i="5" s="1"/>
  <c r="G601" i="2"/>
  <c r="D90" i="4" s="1"/>
  <c r="F601" i="2"/>
  <c r="D90" i="3" s="1"/>
  <c r="A601" i="2"/>
  <c r="C600" i="2"/>
  <c r="H600" i="2"/>
  <c r="C90" i="5" s="1"/>
  <c r="G600" i="2"/>
  <c r="C90" i="4" s="1"/>
  <c r="A600" i="2"/>
  <c r="C599" i="2"/>
  <c r="A90" i="20" s="1"/>
  <c r="D599" i="2"/>
  <c r="A599" i="2"/>
  <c r="C598" i="2"/>
  <c r="E598" i="2"/>
  <c r="D598" i="2"/>
  <c r="A598" i="2"/>
  <c r="F597" i="2"/>
  <c r="G89" i="3" s="1"/>
  <c r="E597" i="2"/>
  <c r="D597" i="2"/>
  <c r="G596" i="2"/>
  <c r="F89" i="4" s="1"/>
  <c r="F596" i="2"/>
  <c r="F89" i="3" s="1"/>
  <c r="E596" i="2"/>
  <c r="D596" i="2"/>
  <c r="H595" i="2"/>
  <c r="E89" i="5" s="1"/>
  <c r="G595" i="2"/>
  <c r="E89" i="4" s="1"/>
  <c r="F595" i="2"/>
  <c r="E89" i="3" s="1"/>
  <c r="E595" i="2"/>
  <c r="D595" i="2"/>
  <c r="C594" i="2"/>
  <c r="H594" i="2"/>
  <c r="D89" i="5" s="1"/>
  <c r="G594" i="2"/>
  <c r="D89" i="4" s="1"/>
  <c r="F594" i="2"/>
  <c r="D89" i="3" s="1"/>
  <c r="E594" i="2"/>
  <c r="A594" i="2"/>
  <c r="C593" i="2"/>
  <c r="H593" i="2"/>
  <c r="C89" i="5" s="1"/>
  <c r="G593" i="2"/>
  <c r="C89" i="4" s="1"/>
  <c r="F593" i="2"/>
  <c r="C89" i="3" s="1"/>
  <c r="A593" i="2"/>
  <c r="C592" i="2"/>
  <c r="A89" i="20" s="1"/>
  <c r="H592" i="2"/>
  <c r="G592" i="2"/>
  <c r="B89" i="10" s="1"/>
  <c r="A592" i="2"/>
  <c r="D591" i="2"/>
  <c r="A591" i="2"/>
  <c r="E590" i="2"/>
  <c r="D590" i="2"/>
  <c r="A590" i="2"/>
  <c r="F589" i="2"/>
  <c r="F87" i="3" s="1"/>
  <c r="E589" i="2"/>
  <c r="D589" i="2"/>
  <c r="G588" i="2"/>
  <c r="E87" i="4" s="1"/>
  <c r="F588" i="2"/>
  <c r="E87" i="3" s="1"/>
  <c r="E588" i="2"/>
  <c r="D588" i="2"/>
  <c r="H587" i="2"/>
  <c r="D87" i="5" s="1"/>
  <c r="G587" i="2"/>
  <c r="D87" i="4" s="1"/>
  <c r="F587" i="2"/>
  <c r="D87" i="3" s="1"/>
  <c r="E587" i="2"/>
  <c r="C586" i="2"/>
  <c r="H586" i="2"/>
  <c r="C87" i="5" s="1"/>
  <c r="G586" i="2"/>
  <c r="C87" i="4" s="1"/>
  <c r="F586" i="2"/>
  <c r="C87" i="3" s="1"/>
  <c r="A586" i="2"/>
  <c r="C585" i="2"/>
  <c r="A87" i="20" s="1"/>
  <c r="H585" i="2"/>
  <c r="G585" i="2"/>
  <c r="B87" i="10" s="1"/>
  <c r="A585" i="2"/>
  <c r="C584" i="2"/>
  <c r="H584" i="2"/>
  <c r="H86" i="5" s="1"/>
  <c r="A584" i="2"/>
  <c r="C583" i="2"/>
  <c r="H583" i="2"/>
  <c r="G86" i="5" s="1"/>
  <c r="D583" i="2"/>
  <c r="A583" i="2"/>
  <c r="E582" i="2"/>
  <c r="D582" i="2"/>
  <c r="F581" i="2"/>
  <c r="E86" i="3" s="1"/>
  <c r="E581" i="2"/>
  <c r="D581" i="2"/>
  <c r="G580" i="2"/>
  <c r="D86" i="4" s="1"/>
  <c r="F580" i="2"/>
  <c r="D86" i="3" s="1"/>
  <c r="E580" i="2"/>
  <c r="D580" i="2"/>
  <c r="H579" i="2"/>
  <c r="C86" i="5" s="1"/>
  <c r="G579" i="2"/>
  <c r="C86" i="4" s="1"/>
  <c r="F579" i="2"/>
  <c r="C86" i="3" s="1"/>
  <c r="E579" i="2"/>
  <c r="C578" i="2"/>
  <c r="A86" i="20" s="1"/>
  <c r="H578" i="2"/>
  <c r="G578" i="2"/>
  <c r="B86" i="10" s="1"/>
  <c r="F578" i="2"/>
  <c r="B86" i="9" s="1"/>
  <c r="A578" i="2"/>
  <c r="C577" i="2"/>
  <c r="H577" i="2"/>
  <c r="H85" i="5" s="1"/>
  <c r="G577" i="2"/>
  <c r="H85" i="4" s="1"/>
  <c r="F577" i="2"/>
  <c r="H85" i="3" s="1"/>
  <c r="A577" i="2"/>
  <c r="C576" i="2"/>
  <c r="H576" i="2"/>
  <c r="G85" i="5" s="1"/>
  <c r="G576" i="2"/>
  <c r="G85" i="4" s="1"/>
  <c r="A576" i="2"/>
  <c r="C575" i="2"/>
  <c r="D575" i="2"/>
  <c r="A575" i="2"/>
  <c r="C574" i="2"/>
  <c r="E574" i="2"/>
  <c r="D574" i="2"/>
  <c r="A574" i="2"/>
  <c r="F573" i="2"/>
  <c r="D85" i="3" s="1"/>
  <c r="E573" i="2"/>
  <c r="D573" i="2"/>
  <c r="G572" i="2"/>
  <c r="C85" i="4" s="1"/>
  <c r="F572" i="2"/>
  <c r="C85" i="3" s="1"/>
  <c r="E572" i="2"/>
  <c r="D572" i="2"/>
  <c r="H571" i="2"/>
  <c r="G571" i="2"/>
  <c r="B85" i="10" s="1"/>
  <c r="F571" i="2"/>
  <c r="B85" i="9" s="1"/>
  <c r="E571" i="2"/>
  <c r="C570" i="2"/>
  <c r="H570" i="2"/>
  <c r="H84" i="5" s="1"/>
  <c r="G570" i="2"/>
  <c r="H84" i="4" s="1"/>
  <c r="F570" i="2"/>
  <c r="H84" i="3" s="1"/>
  <c r="A570" i="2"/>
  <c r="C569" i="2"/>
  <c r="H569" i="2"/>
  <c r="G84" i="5" s="1"/>
  <c r="G569" i="2"/>
  <c r="G84" i="4" s="1"/>
  <c r="A569" i="2"/>
  <c r="C568" i="2"/>
  <c r="H568" i="2"/>
  <c r="F84" i="5" s="1"/>
  <c r="G568" i="2"/>
  <c r="F84" i="4" s="1"/>
  <c r="A568" i="2"/>
  <c r="H567" i="2"/>
  <c r="E84" i="5" s="1"/>
  <c r="D567" i="2"/>
  <c r="A567" i="2"/>
  <c r="C566" i="2"/>
  <c r="E566" i="2"/>
  <c r="D566" i="2"/>
  <c r="A566" i="2"/>
  <c r="F565" i="2"/>
  <c r="C84" i="3" s="1"/>
  <c r="E565" i="2"/>
  <c r="D565" i="2"/>
  <c r="G564" i="2"/>
  <c r="B84" i="10" s="1"/>
  <c r="F564" i="2"/>
  <c r="B84" i="9" s="1"/>
  <c r="E564" i="2"/>
  <c r="D564" i="2"/>
  <c r="H563" i="2"/>
  <c r="H83" i="5" s="1"/>
  <c r="G563" i="2"/>
  <c r="H83" i="4" s="1"/>
  <c r="F563" i="2"/>
  <c r="H83" i="3" s="1"/>
  <c r="E563" i="2"/>
  <c r="C562" i="2"/>
  <c r="H562" i="2"/>
  <c r="G83" i="5" s="1"/>
  <c r="G562" i="2"/>
  <c r="G83" i="4" s="1"/>
  <c r="F562" i="2"/>
  <c r="G83" i="3" s="1"/>
  <c r="A562" i="2"/>
  <c r="C561" i="2"/>
  <c r="H561" i="2"/>
  <c r="F83" i="5" s="1"/>
  <c r="G561" i="2"/>
  <c r="F83" i="4" s="1"/>
  <c r="A561" i="2"/>
  <c r="C560" i="2"/>
  <c r="H560" i="2"/>
  <c r="E83" i="5" s="1"/>
  <c r="G560" i="2"/>
  <c r="E83" i="4" s="1"/>
  <c r="A560" i="2"/>
  <c r="C559" i="2"/>
  <c r="H559" i="2"/>
  <c r="D83" i="5" s="1"/>
  <c r="D559" i="2"/>
  <c r="A559" i="2"/>
  <c r="E558" i="2"/>
  <c r="D558" i="2"/>
  <c r="A558" i="2"/>
  <c r="F557" i="2"/>
  <c r="B83" i="9" s="1"/>
  <c r="E557" i="2"/>
  <c r="D557" i="2"/>
  <c r="G556" i="2"/>
  <c r="H82" i="4" s="1"/>
  <c r="F556" i="2"/>
  <c r="H82" i="3" s="1"/>
  <c r="E556" i="2"/>
  <c r="D556" i="2"/>
  <c r="H555" i="2"/>
  <c r="G82" i="5" s="1"/>
  <c r="G555" i="2"/>
  <c r="G82" i="4" s="1"/>
  <c r="F555" i="2"/>
  <c r="G82" i="3" s="1"/>
  <c r="E555" i="2"/>
  <c r="D555" i="2"/>
  <c r="C554" i="2"/>
  <c r="H554" i="2"/>
  <c r="F82" i="5" s="1"/>
  <c r="F554" i="2"/>
  <c r="F82" i="3" s="1"/>
  <c r="E554" i="2"/>
  <c r="A554" i="2"/>
  <c r="C553" i="2"/>
  <c r="H553" i="2"/>
  <c r="E82" i="5" s="1"/>
  <c r="A553" i="2"/>
  <c r="C552" i="2"/>
  <c r="H552" i="2"/>
  <c r="D82" i="5" s="1"/>
  <c r="A552" i="2"/>
  <c r="D551" i="2"/>
  <c r="A551" i="2"/>
  <c r="C550" i="2"/>
  <c r="A82" i="20" s="1"/>
  <c r="E550" i="2"/>
  <c r="D550" i="2"/>
  <c r="A550" i="2"/>
  <c r="A81" i="20" s="1"/>
  <c r="F549" i="2"/>
  <c r="E549" i="2"/>
  <c r="D549" i="2"/>
  <c r="G548" i="2"/>
  <c r="F548" i="2"/>
  <c r="E548" i="2"/>
  <c r="D548" i="2"/>
  <c r="H547" i="2"/>
  <c r="G547" i="2"/>
  <c r="F547" i="2"/>
  <c r="E547" i="2"/>
  <c r="D547" i="2"/>
  <c r="C546" i="2"/>
  <c r="H546" i="2"/>
  <c r="G546" i="2"/>
  <c r="F546" i="2"/>
  <c r="A546" i="2"/>
  <c r="C545" i="2"/>
  <c r="G545" i="2"/>
  <c r="A545" i="2"/>
  <c r="C544" i="2"/>
  <c r="H544" i="2"/>
  <c r="A544" i="2"/>
  <c r="C543" i="2"/>
  <c r="H543" i="2"/>
  <c r="D543" i="2"/>
  <c r="A543" i="2"/>
  <c r="E542" i="2"/>
  <c r="D542" i="2"/>
  <c r="A542" i="2"/>
  <c r="F541" i="2"/>
  <c r="E541" i="2"/>
  <c r="D541" i="2"/>
  <c r="G540" i="2"/>
  <c r="F540" i="2"/>
  <c r="E540" i="2"/>
  <c r="D540" i="2"/>
  <c r="H539" i="2"/>
  <c r="G539" i="2"/>
  <c r="F539" i="2"/>
  <c r="E539" i="2"/>
  <c r="C538" i="2"/>
  <c r="H538" i="2"/>
  <c r="G538" i="2"/>
  <c r="F538" i="2"/>
  <c r="A538" i="2"/>
  <c r="C537" i="2"/>
  <c r="H537" i="2"/>
  <c r="G537" i="2"/>
  <c r="F537" i="2"/>
  <c r="A537" i="2"/>
  <c r="C536" i="2"/>
  <c r="H536" i="2"/>
  <c r="G536" i="2"/>
  <c r="A536" i="2"/>
  <c r="C535" i="2"/>
  <c r="D535" i="2"/>
  <c r="A535" i="2"/>
  <c r="C534" i="2"/>
  <c r="E534" i="2"/>
  <c r="D534" i="2"/>
  <c r="F533" i="2"/>
  <c r="F80" i="3" s="1"/>
  <c r="E533" i="2"/>
  <c r="D533" i="2"/>
  <c r="G532" i="2"/>
  <c r="E80" i="4" s="1"/>
  <c r="F532" i="2"/>
  <c r="E80" i="3" s="1"/>
  <c r="E532" i="2"/>
  <c r="D532" i="2"/>
  <c r="H531" i="2"/>
  <c r="D80" i="5" s="1"/>
  <c r="G531" i="2"/>
  <c r="D80" i="4" s="1"/>
  <c r="F531" i="2"/>
  <c r="D80" i="3" s="1"/>
  <c r="E531" i="2"/>
  <c r="C530" i="2"/>
  <c r="H530" i="2"/>
  <c r="C80" i="5" s="1"/>
  <c r="G530" i="2"/>
  <c r="C80" i="4" s="1"/>
  <c r="F530" i="2"/>
  <c r="C80" i="3" s="1"/>
  <c r="E530" i="2"/>
  <c r="A530" i="2"/>
  <c r="C529" i="2"/>
  <c r="A80" i="20" s="1"/>
  <c r="H529" i="2"/>
  <c r="G529" i="2"/>
  <c r="B80" i="10" s="1"/>
  <c r="F529" i="2"/>
  <c r="B80" i="9" s="1"/>
  <c r="A529" i="2"/>
  <c r="C528" i="2"/>
  <c r="H528" i="2"/>
  <c r="H78" i="5" s="1"/>
  <c r="A528" i="2"/>
  <c r="C527" i="2"/>
  <c r="H527" i="2"/>
  <c r="G78" i="5" s="1"/>
  <c r="D527" i="2"/>
  <c r="A527" i="2"/>
  <c r="C526" i="2"/>
  <c r="E526" i="2"/>
  <c r="D526" i="2"/>
  <c r="F525" i="2"/>
  <c r="E78" i="3" s="1"/>
  <c r="E525" i="2"/>
  <c r="D525" i="2"/>
  <c r="G524" i="2"/>
  <c r="D78" i="4" s="1"/>
  <c r="F524" i="2"/>
  <c r="D78" i="3" s="1"/>
  <c r="E524" i="2"/>
  <c r="D524" i="2"/>
  <c r="H523" i="2"/>
  <c r="C78" i="5" s="1"/>
  <c r="G523" i="2"/>
  <c r="C78" i="4" s="1"/>
  <c r="F523" i="2"/>
  <c r="C78" i="3" s="1"/>
  <c r="E523" i="2"/>
  <c r="D523" i="2"/>
  <c r="C522" i="2"/>
  <c r="A78" i="20" s="1"/>
  <c r="H522" i="2"/>
  <c r="G522" i="2"/>
  <c r="B78" i="10" s="1"/>
  <c r="F522" i="2"/>
  <c r="B78" i="9" s="1"/>
  <c r="E522" i="2"/>
  <c r="A522" i="2"/>
  <c r="C521" i="2"/>
  <c r="H521" i="2"/>
  <c r="H77" i="5" s="1"/>
  <c r="G521" i="2"/>
  <c r="H77" i="4" s="1"/>
  <c r="A521" i="2"/>
  <c r="C520" i="2"/>
  <c r="H520" i="2"/>
  <c r="G77" i="5" s="1"/>
  <c r="G520" i="2"/>
  <c r="G77" i="4" s="1"/>
  <c r="A520" i="2"/>
  <c r="C519" i="2"/>
  <c r="H519" i="2"/>
  <c r="F77" i="5" s="1"/>
  <c r="D519" i="2"/>
  <c r="A519" i="2"/>
  <c r="C518" i="2"/>
  <c r="E518" i="2"/>
  <c r="D518" i="2"/>
  <c r="A518" i="2"/>
  <c r="F517" i="2"/>
  <c r="D77" i="3" s="1"/>
  <c r="E517" i="2"/>
  <c r="D517" i="2"/>
  <c r="G516" i="2"/>
  <c r="C77" i="4" s="1"/>
  <c r="F516" i="2"/>
  <c r="C77" i="3" s="1"/>
  <c r="E516" i="2"/>
  <c r="D516" i="2"/>
  <c r="H515" i="2"/>
  <c r="B77" i="5" s="1"/>
  <c r="G515" i="2"/>
  <c r="B77" i="4" s="1"/>
  <c r="F515" i="2"/>
  <c r="B77" i="3" s="1"/>
  <c r="E515" i="2"/>
  <c r="C514" i="2"/>
  <c r="H514" i="2"/>
  <c r="H76" i="5" s="1"/>
  <c r="G514" i="2"/>
  <c r="H76" i="4" s="1"/>
  <c r="F514" i="2"/>
  <c r="H76" i="3" s="1"/>
  <c r="A514" i="2"/>
  <c r="C513" i="2"/>
  <c r="H513" i="2"/>
  <c r="G76" i="5" s="1"/>
  <c r="G513" i="2"/>
  <c r="G76" i="4" s="1"/>
  <c r="A513" i="2"/>
  <c r="C512" i="2"/>
  <c r="G512" i="2"/>
  <c r="F76" i="4" s="1"/>
  <c r="A512" i="2"/>
  <c r="H511" i="2"/>
  <c r="E76" i="5" s="1"/>
  <c r="D511" i="2"/>
  <c r="C510" i="2"/>
  <c r="E510" i="2"/>
  <c r="D510" i="2"/>
  <c r="F509" i="2"/>
  <c r="C76" i="3" s="1"/>
  <c r="E509" i="2"/>
  <c r="D509" i="2"/>
  <c r="G508" i="2"/>
  <c r="B76" i="10" s="1"/>
  <c r="F508" i="2"/>
  <c r="B76" i="9" s="1"/>
  <c r="E508" i="2"/>
  <c r="D508" i="2"/>
  <c r="H507" i="2"/>
  <c r="H75" i="5" s="1"/>
  <c r="G507" i="2"/>
  <c r="H75" i="4" s="1"/>
  <c r="F507" i="2"/>
  <c r="H75" i="3" s="1"/>
  <c r="E507" i="2"/>
  <c r="C506" i="2"/>
  <c r="H506" i="2"/>
  <c r="G75" i="5" s="1"/>
  <c r="G506" i="2"/>
  <c r="G75" i="4" s="1"/>
  <c r="A506" i="2"/>
  <c r="C505" i="2"/>
  <c r="H505" i="2"/>
  <c r="F75" i="5" s="1"/>
  <c r="G505" i="2"/>
  <c r="F75" i="4" s="1"/>
  <c r="A505" i="2"/>
  <c r="C504" i="2"/>
  <c r="H504" i="2"/>
  <c r="E75" i="5" s="1"/>
  <c r="G504" i="2"/>
  <c r="E75" i="4" s="1"/>
  <c r="A504" i="2"/>
  <c r="C503" i="2"/>
  <c r="H503" i="2"/>
  <c r="D75" i="5" s="1"/>
  <c r="D503" i="2"/>
  <c r="A503" i="2"/>
  <c r="C502" i="2"/>
  <c r="E502" i="2"/>
  <c r="D502" i="2"/>
  <c r="A502" i="2"/>
  <c r="F501" i="2"/>
  <c r="B75" i="9" s="1"/>
  <c r="E501" i="2"/>
  <c r="D501" i="2"/>
  <c r="G500" i="2"/>
  <c r="H74" i="4" s="1"/>
  <c r="F500" i="2"/>
  <c r="H74" i="3" s="1"/>
  <c r="E500" i="2"/>
  <c r="D500" i="2"/>
  <c r="H499" i="2"/>
  <c r="G74" i="5" s="1"/>
  <c r="G499" i="2"/>
  <c r="G74" i="4" s="1"/>
  <c r="F499" i="2"/>
  <c r="G74" i="3" s="1"/>
  <c r="E499" i="2"/>
  <c r="D499" i="2"/>
  <c r="C498" i="2"/>
  <c r="H498" i="2"/>
  <c r="F74" i="5" s="1"/>
  <c r="G498" i="2"/>
  <c r="F74" i="4" s="1"/>
  <c r="F498" i="2"/>
  <c r="F74" i="3" s="1"/>
  <c r="A498" i="2"/>
  <c r="C497" i="2"/>
  <c r="H497" i="2"/>
  <c r="E74" i="5" s="1"/>
  <c r="G497" i="2"/>
  <c r="E74" i="4" s="1"/>
  <c r="F497" i="2"/>
  <c r="E74" i="3" s="1"/>
  <c r="A497" i="2"/>
  <c r="C496" i="2"/>
  <c r="H496" i="2"/>
  <c r="D74" i="5" s="1"/>
  <c r="G496" i="2"/>
  <c r="D74" i="4" s="1"/>
  <c r="A496" i="2"/>
  <c r="C495" i="2"/>
  <c r="H495" i="2"/>
  <c r="C74" i="5" s="1"/>
  <c r="D495" i="2"/>
  <c r="A495" i="2"/>
  <c r="E494" i="2"/>
  <c r="D494" i="2"/>
  <c r="A494" i="2"/>
  <c r="F493" i="2"/>
  <c r="H73" i="3" s="1"/>
  <c r="E493" i="2"/>
  <c r="D493" i="2"/>
  <c r="G492" i="2"/>
  <c r="G73" i="4" s="1"/>
  <c r="F492" i="2"/>
  <c r="G73" i="3" s="1"/>
  <c r="E492" i="2"/>
  <c r="D492" i="2"/>
  <c r="H491" i="2"/>
  <c r="F73" i="5" s="1"/>
  <c r="G491" i="2"/>
  <c r="F73" i="4" s="1"/>
  <c r="F491" i="2"/>
  <c r="F73" i="3" s="1"/>
  <c r="E491" i="2"/>
  <c r="D491" i="2"/>
  <c r="C490" i="2"/>
  <c r="H490" i="2"/>
  <c r="E73" i="5" s="1"/>
  <c r="G490" i="2"/>
  <c r="E73" i="4" s="1"/>
  <c r="A490" i="2"/>
  <c r="C489" i="2"/>
  <c r="H489" i="2"/>
  <c r="D73" i="5" s="1"/>
  <c r="G489" i="2"/>
  <c r="D73" i="4" s="1"/>
  <c r="F489" i="2"/>
  <c r="D73" i="3" s="1"/>
  <c r="A489" i="2"/>
  <c r="C488" i="2"/>
  <c r="H488" i="2"/>
  <c r="C73" i="5" s="1"/>
  <c r="G488" i="2"/>
  <c r="C73" i="4" s="1"/>
  <c r="A488" i="2"/>
  <c r="C487" i="2"/>
  <c r="A73" i="20" s="1"/>
  <c r="D487" i="2"/>
  <c r="A487" i="2"/>
  <c r="E486" i="2"/>
  <c r="D486" i="2"/>
  <c r="A486" i="2"/>
  <c r="F485" i="2"/>
  <c r="G72" i="3" s="1"/>
  <c r="E485" i="2"/>
  <c r="D485" i="2"/>
  <c r="G484" i="2"/>
  <c r="F72" i="4" s="1"/>
  <c r="F484" i="2"/>
  <c r="F72" i="3" s="1"/>
  <c r="E484" i="2"/>
  <c r="D484" i="2"/>
  <c r="H483" i="2"/>
  <c r="E72" i="5" s="1"/>
  <c r="G483" i="2"/>
  <c r="E72" i="4" s="1"/>
  <c r="F483" i="2"/>
  <c r="E72" i="3" s="1"/>
  <c r="E483" i="2"/>
  <c r="D483" i="2"/>
  <c r="C482" i="2"/>
  <c r="H482" i="2"/>
  <c r="D72" i="5" s="1"/>
  <c r="G482" i="2"/>
  <c r="D72" i="4" s="1"/>
  <c r="F482" i="2"/>
  <c r="D72" i="3" s="1"/>
  <c r="A482" i="2"/>
  <c r="C481" i="2"/>
  <c r="H481" i="2"/>
  <c r="C72" i="5" s="1"/>
  <c r="G481" i="2"/>
  <c r="C72" i="4" s="1"/>
  <c r="F481" i="2"/>
  <c r="C72" i="3" s="1"/>
  <c r="A481" i="2"/>
  <c r="C480" i="2"/>
  <c r="A72" i="20" s="1"/>
  <c r="H480" i="2"/>
  <c r="A480" i="2"/>
  <c r="C479" i="2"/>
  <c r="D479" i="2"/>
  <c r="A479" i="2"/>
  <c r="E478" i="2"/>
  <c r="D478" i="2"/>
  <c r="F477" i="2"/>
  <c r="F71" i="3" s="1"/>
  <c r="E477" i="2"/>
  <c r="D477" i="2"/>
  <c r="G476" i="2"/>
  <c r="E71" i="4" s="1"/>
  <c r="F476" i="2"/>
  <c r="E71" i="3" s="1"/>
  <c r="E476" i="2"/>
  <c r="D476" i="2"/>
  <c r="H475" i="2"/>
  <c r="D71" i="5" s="1"/>
  <c r="G475" i="2"/>
  <c r="D71" i="4" s="1"/>
  <c r="F475" i="2"/>
  <c r="D71" i="3" s="1"/>
  <c r="E475" i="2"/>
  <c r="D475" i="2"/>
  <c r="C474" i="2"/>
  <c r="H474" i="2"/>
  <c r="C71" i="5" s="1"/>
  <c r="G474" i="2"/>
  <c r="C71" i="4" s="1"/>
  <c r="F474" i="2"/>
  <c r="C71" i="3" s="1"/>
  <c r="E474" i="2"/>
  <c r="A474" i="2"/>
  <c r="C473" i="2"/>
  <c r="A71" i="20" s="1"/>
  <c r="H473" i="2"/>
  <c r="A473" i="2"/>
  <c r="A70" i="20" s="1"/>
  <c r="C472" i="2"/>
  <c r="H472" i="2"/>
  <c r="G472" i="2"/>
  <c r="A472" i="2"/>
  <c r="C471" i="2"/>
  <c r="H471" i="2"/>
  <c r="D471" i="2"/>
  <c r="A471" i="2"/>
  <c r="C470" i="2"/>
  <c r="E470" i="2"/>
  <c r="D470" i="2"/>
  <c r="A470" i="2"/>
  <c r="F469" i="2"/>
  <c r="E469" i="2"/>
  <c r="D469" i="2"/>
  <c r="G468" i="2"/>
  <c r="F468" i="2"/>
  <c r="E468" i="2"/>
  <c r="D468" i="2"/>
  <c r="H467" i="2"/>
  <c r="G467" i="2"/>
  <c r="F467" i="2"/>
  <c r="E467" i="2"/>
  <c r="C466" i="2"/>
  <c r="H466" i="2"/>
  <c r="G466" i="2"/>
  <c r="E466" i="2"/>
  <c r="A466" i="2"/>
  <c r="C465" i="2"/>
  <c r="H465" i="2"/>
  <c r="G465" i="2"/>
  <c r="F465" i="2"/>
  <c r="A465" i="2"/>
  <c r="C464" i="2"/>
  <c r="H464" i="2"/>
  <c r="G464" i="2"/>
  <c r="A464" i="2"/>
  <c r="C463" i="2"/>
  <c r="H463" i="2"/>
  <c r="D463" i="2"/>
  <c r="A463" i="2"/>
  <c r="C462" i="2"/>
  <c r="E462" i="2"/>
  <c r="D462" i="2"/>
  <c r="A462" i="2"/>
  <c r="F461" i="2"/>
  <c r="E461" i="2"/>
  <c r="D461" i="2"/>
  <c r="G460" i="2"/>
  <c r="F460" i="2"/>
  <c r="E460" i="2"/>
  <c r="D460" i="2"/>
  <c r="H459" i="2"/>
  <c r="G459" i="2"/>
  <c r="F459" i="2"/>
  <c r="E459" i="2"/>
  <c r="D459" i="2"/>
  <c r="C458" i="2"/>
  <c r="H458" i="2"/>
  <c r="H69" i="5" s="1"/>
  <c r="G458" i="2"/>
  <c r="H69" i="4" s="1"/>
  <c r="F458" i="2"/>
  <c r="H69" i="3" s="1"/>
  <c r="A458" i="2"/>
  <c r="C457" i="2"/>
  <c r="H457" i="2"/>
  <c r="G69" i="5" s="1"/>
  <c r="G457" i="2"/>
  <c r="G69" i="4" s="1"/>
  <c r="F457" i="2"/>
  <c r="G69" i="3" s="1"/>
  <c r="A457" i="2"/>
  <c r="C456" i="2"/>
  <c r="H456" i="2"/>
  <c r="F69" i="5" s="1"/>
  <c r="G456" i="2"/>
  <c r="F69" i="4" s="1"/>
  <c r="A456" i="2"/>
  <c r="C455" i="2"/>
  <c r="H455" i="2"/>
  <c r="E69" i="5" s="1"/>
  <c r="D455" i="2"/>
  <c r="A455" i="2"/>
  <c r="E454" i="2"/>
  <c r="D454" i="2"/>
  <c r="A454" i="2"/>
  <c r="F453" i="2"/>
  <c r="C69" i="3" s="1"/>
  <c r="E453" i="2"/>
  <c r="D453" i="2"/>
  <c r="G452" i="2"/>
  <c r="B69" i="10" s="1"/>
  <c r="F452" i="2"/>
  <c r="B69" i="9" s="1"/>
  <c r="E452" i="2"/>
  <c r="H451" i="2"/>
  <c r="H67" i="5" s="1"/>
  <c r="G451" i="2"/>
  <c r="H67" i="4" s="1"/>
  <c r="F451" i="2"/>
  <c r="H67" i="3" s="1"/>
  <c r="E451" i="2"/>
  <c r="D451" i="2"/>
  <c r="C450" i="2"/>
  <c r="H450" i="2"/>
  <c r="G67" i="5" s="1"/>
  <c r="G450" i="2"/>
  <c r="G67" i="4" s="1"/>
  <c r="F450" i="2"/>
  <c r="G67" i="3" s="1"/>
  <c r="A450" i="2"/>
  <c r="C449" i="2"/>
  <c r="H449" i="2"/>
  <c r="F67" i="5" s="1"/>
  <c r="G449" i="2"/>
  <c r="F67" i="4" s="1"/>
  <c r="F449" i="2"/>
  <c r="F67" i="3" s="1"/>
  <c r="A449" i="2"/>
  <c r="C448" i="2"/>
  <c r="H448" i="2"/>
  <c r="E67" i="5" s="1"/>
  <c r="G448" i="2"/>
  <c r="E67" i="4" s="1"/>
  <c r="A448" i="2"/>
  <c r="C447" i="2"/>
  <c r="H447" i="2"/>
  <c r="D67" i="5" s="1"/>
  <c r="D447" i="2"/>
  <c r="A447" i="2"/>
  <c r="E446" i="2"/>
  <c r="D446" i="2"/>
  <c r="F445" i="2"/>
  <c r="B67" i="9" s="1"/>
  <c r="E445" i="2"/>
  <c r="D445" i="2"/>
  <c r="G444" i="2"/>
  <c r="H65" i="4" s="1"/>
  <c r="F444" i="2"/>
  <c r="H65" i="3" s="1"/>
  <c r="E444" i="2"/>
  <c r="H443" i="2"/>
  <c r="G65" i="5" s="1"/>
  <c r="G443" i="2"/>
  <c r="G65" i="4" s="1"/>
  <c r="F443" i="2"/>
  <c r="G65" i="3" s="1"/>
  <c r="E443" i="2"/>
  <c r="D443" i="2"/>
  <c r="C442" i="2"/>
  <c r="H442" i="2"/>
  <c r="F65" i="5" s="1"/>
  <c r="G442" i="2"/>
  <c r="F65" i="4" s="1"/>
  <c r="F442" i="2"/>
  <c r="F65" i="3" s="1"/>
  <c r="E442" i="2"/>
  <c r="A442" i="2"/>
  <c r="C441" i="2"/>
  <c r="H441" i="2"/>
  <c r="E65" i="5" s="1"/>
  <c r="G441" i="2"/>
  <c r="E65" i="4" s="1"/>
  <c r="A441" i="2"/>
  <c r="C440" i="2"/>
  <c r="H440" i="2"/>
  <c r="D65" i="5" s="1"/>
  <c r="G440" i="2"/>
  <c r="D65" i="4" s="1"/>
  <c r="A440" i="2"/>
  <c r="C439" i="2"/>
  <c r="H439" i="2"/>
  <c r="C65" i="5" s="1"/>
  <c r="D439" i="2"/>
  <c r="A439" i="2"/>
  <c r="E438" i="2"/>
  <c r="D438" i="2"/>
  <c r="A438" i="2"/>
  <c r="F437" i="2"/>
  <c r="H64" i="3" s="1"/>
  <c r="E437" i="2"/>
  <c r="D437" i="2"/>
  <c r="G436" i="2"/>
  <c r="G64" i="4" s="1"/>
  <c r="F436" i="2"/>
  <c r="G64" i="3" s="1"/>
  <c r="E436" i="2"/>
  <c r="D436" i="2"/>
  <c r="H435" i="2"/>
  <c r="F64" i="5" s="1"/>
  <c r="G435" i="2"/>
  <c r="F64" i="4" s="1"/>
  <c r="F435" i="2"/>
  <c r="F64" i="3" s="1"/>
  <c r="E435" i="2"/>
  <c r="D435" i="2"/>
  <c r="C434" i="2"/>
  <c r="H434" i="2"/>
  <c r="E64" i="5" s="1"/>
  <c r="G434" i="2"/>
  <c r="E64" i="4" s="1"/>
  <c r="F434" i="2"/>
  <c r="E64" i="3" s="1"/>
  <c r="E434" i="2"/>
  <c r="A434" i="2"/>
  <c r="C433" i="2"/>
  <c r="H433" i="2"/>
  <c r="D64" i="5" s="1"/>
  <c r="G433" i="2"/>
  <c r="D64" i="4" s="1"/>
  <c r="F433" i="2"/>
  <c r="D64" i="3" s="1"/>
  <c r="A433" i="2"/>
  <c r="C432" i="2"/>
  <c r="H432" i="2"/>
  <c r="C64" i="5" s="1"/>
  <c r="G432" i="2"/>
  <c r="C64" i="4" s="1"/>
  <c r="A432" i="2"/>
  <c r="C431" i="2"/>
  <c r="A64" i="20" s="1"/>
  <c r="H431" i="2"/>
  <c r="D431" i="2"/>
  <c r="A431" i="2"/>
  <c r="E430" i="2"/>
  <c r="D430" i="2"/>
  <c r="A430" i="2"/>
  <c r="F429" i="2"/>
  <c r="G63" i="3" s="1"/>
  <c r="E429" i="2"/>
  <c r="D429" i="2"/>
  <c r="G428" i="2"/>
  <c r="F63" i="4" s="1"/>
  <c r="F428" i="2"/>
  <c r="F63" i="3" s="1"/>
  <c r="E428" i="2"/>
  <c r="D428" i="2"/>
  <c r="H427" i="2"/>
  <c r="E63" i="5" s="1"/>
  <c r="G427" i="2"/>
  <c r="E63" i="4" s="1"/>
  <c r="F427" i="2"/>
  <c r="E63" i="3" s="1"/>
  <c r="E427" i="2"/>
  <c r="C426" i="2"/>
  <c r="H426" i="2"/>
  <c r="D63" i="5" s="1"/>
  <c r="G426" i="2"/>
  <c r="D63" i="4" s="1"/>
  <c r="F426" i="2"/>
  <c r="D63" i="3" s="1"/>
  <c r="E426" i="2"/>
  <c r="A426" i="2"/>
  <c r="C425" i="2"/>
  <c r="H425" i="2"/>
  <c r="C63" i="5" s="1"/>
  <c r="G425" i="2"/>
  <c r="C63" i="4" s="1"/>
  <c r="A425" i="2"/>
  <c r="C424" i="2"/>
  <c r="A63" i="20" s="1"/>
  <c r="H424" i="2"/>
  <c r="G424" i="2"/>
  <c r="B63" i="10" s="1"/>
  <c r="A424" i="2"/>
  <c r="C423" i="2"/>
  <c r="H423" i="2"/>
  <c r="H62" i="5" s="1"/>
  <c r="D423" i="2"/>
  <c r="A423" i="2"/>
  <c r="E422" i="2"/>
  <c r="D422" i="2"/>
  <c r="A422" i="2"/>
  <c r="F421" i="2"/>
  <c r="F62" i="3" s="1"/>
  <c r="E421" i="2"/>
  <c r="D421" i="2"/>
  <c r="G420" i="2"/>
  <c r="E62" i="4" s="1"/>
  <c r="F420" i="2"/>
  <c r="E62" i="3" s="1"/>
  <c r="E420" i="2"/>
  <c r="D420" i="2"/>
  <c r="H419" i="2"/>
  <c r="D62" i="5" s="1"/>
  <c r="G419" i="2"/>
  <c r="D62" i="4" s="1"/>
  <c r="F419" i="2"/>
  <c r="D62" i="3" s="1"/>
  <c r="E419" i="2"/>
  <c r="D419" i="2"/>
  <c r="C418" i="2"/>
  <c r="H418" i="2"/>
  <c r="C62" i="5" s="1"/>
  <c r="G418" i="2"/>
  <c r="C62" i="4" s="1"/>
  <c r="F418" i="2"/>
  <c r="C62" i="3" s="1"/>
  <c r="E418" i="2"/>
  <c r="A418" i="2"/>
  <c r="C417" i="2"/>
  <c r="A62" i="20" s="1"/>
  <c r="H417" i="2"/>
  <c r="G417" i="2"/>
  <c r="B62" i="10" s="1"/>
  <c r="A417" i="2"/>
  <c r="C416" i="2"/>
  <c r="H416" i="2"/>
  <c r="H61" i="5" s="1"/>
  <c r="G416" i="2"/>
  <c r="H61" i="4" s="1"/>
  <c r="A416" i="2"/>
  <c r="C415" i="2"/>
  <c r="H415" i="2"/>
  <c r="G61" i="5" s="1"/>
  <c r="D415" i="2"/>
  <c r="A415" i="2"/>
  <c r="C414" i="2"/>
  <c r="E414" i="2"/>
  <c r="D414" i="2"/>
  <c r="A414" i="2"/>
  <c r="F413" i="2"/>
  <c r="E61" i="3" s="1"/>
  <c r="E413" i="2"/>
  <c r="D413" i="2"/>
  <c r="G412" i="2"/>
  <c r="D61" i="4" s="1"/>
  <c r="F412" i="2"/>
  <c r="D61" i="3" s="1"/>
  <c r="E412" i="2"/>
  <c r="D412" i="2"/>
  <c r="H411" i="2"/>
  <c r="C61" i="5" s="1"/>
  <c r="G411" i="2"/>
  <c r="C61" i="4" s="1"/>
  <c r="F411" i="2"/>
  <c r="C61" i="3" s="1"/>
  <c r="E411" i="2"/>
  <c r="D411" i="2"/>
  <c r="C410" i="2"/>
  <c r="A61" i="20" s="1"/>
  <c r="H410" i="2"/>
  <c r="G410" i="2"/>
  <c r="B61" i="10" s="1"/>
  <c r="F410" i="2"/>
  <c r="B61" i="9" s="1"/>
  <c r="E410" i="2"/>
  <c r="A410" i="2"/>
  <c r="C409" i="2"/>
  <c r="H409" i="2"/>
  <c r="H60" i="5" s="1"/>
  <c r="G409" i="2"/>
  <c r="H60" i="4" s="1"/>
  <c r="F409" i="2"/>
  <c r="H60" i="3" s="1"/>
  <c r="A409" i="2"/>
  <c r="C408" i="2"/>
  <c r="H408" i="2"/>
  <c r="G60" i="5" s="1"/>
  <c r="G408" i="2"/>
  <c r="G60" i="4" s="1"/>
  <c r="A408" i="2"/>
  <c r="C407" i="2"/>
  <c r="D407" i="2"/>
  <c r="A407" i="2"/>
  <c r="C406" i="2"/>
  <c r="E406" i="2"/>
  <c r="D406" i="2"/>
  <c r="A406" i="2"/>
  <c r="F405" i="2"/>
  <c r="D60" i="3" s="1"/>
  <c r="E405" i="2"/>
  <c r="D405" i="2"/>
  <c r="G404" i="2"/>
  <c r="C60" i="4" s="1"/>
  <c r="F404" i="2"/>
  <c r="C60" i="3" s="1"/>
  <c r="E404" i="2"/>
  <c r="D404" i="2"/>
  <c r="H403" i="2"/>
  <c r="G403" i="2"/>
  <c r="B60" i="10" s="1"/>
  <c r="F403" i="2"/>
  <c r="B60" i="9" s="1"/>
  <c r="E403" i="2"/>
  <c r="D403" i="2"/>
  <c r="C402" i="2"/>
  <c r="H402" i="2"/>
  <c r="G402" i="2"/>
  <c r="F402" i="2"/>
  <c r="A402" i="2"/>
  <c r="C401" i="2"/>
  <c r="H401" i="2"/>
  <c r="G401" i="2"/>
  <c r="A401" i="2"/>
  <c r="C400" i="2"/>
  <c r="H400" i="2"/>
  <c r="G400" i="2"/>
  <c r="A400" i="2"/>
  <c r="C399" i="2"/>
  <c r="D399" i="2"/>
  <c r="A399" i="2"/>
  <c r="C398" i="2"/>
  <c r="E398" i="2"/>
  <c r="D398" i="2"/>
  <c r="F397" i="2"/>
  <c r="E397" i="2"/>
  <c r="D397" i="2"/>
  <c r="G396" i="2"/>
  <c r="F396" i="2"/>
  <c r="E396" i="2"/>
  <c r="D396" i="2"/>
  <c r="H395" i="2"/>
  <c r="G395" i="2"/>
  <c r="F395" i="2"/>
  <c r="E395" i="2"/>
  <c r="D395" i="2"/>
  <c r="C394" i="2"/>
  <c r="H394" i="2"/>
  <c r="G394" i="2"/>
  <c r="F394" i="2"/>
  <c r="A394" i="2"/>
  <c r="C393" i="2"/>
  <c r="H393" i="2"/>
  <c r="G393" i="2"/>
  <c r="F393" i="2"/>
  <c r="A393" i="2"/>
  <c r="C392" i="2"/>
  <c r="H392" i="2"/>
  <c r="G392" i="2"/>
  <c r="A392" i="2"/>
  <c r="C391" i="2"/>
  <c r="D391" i="2"/>
  <c r="A391" i="2"/>
  <c r="E390" i="2"/>
  <c r="D390" i="2"/>
  <c r="F389" i="2"/>
  <c r="E389" i="2"/>
  <c r="D389" i="2"/>
  <c r="F388" i="2"/>
  <c r="H58" i="3" s="1"/>
  <c r="E388" i="2"/>
  <c r="D388" i="2"/>
  <c r="H387" i="2"/>
  <c r="G58" i="5" s="1"/>
  <c r="G387" i="2"/>
  <c r="G58" i="4" s="1"/>
  <c r="F387" i="2"/>
  <c r="G58" i="3" s="1"/>
  <c r="E387" i="2"/>
  <c r="C386" i="2"/>
  <c r="H386" i="2"/>
  <c r="F58" i="5" s="1"/>
  <c r="G386" i="2"/>
  <c r="F58" i="4" s="1"/>
  <c r="F386" i="2"/>
  <c r="F58" i="3" s="1"/>
  <c r="E386" i="2"/>
  <c r="A386" i="2"/>
  <c r="C385" i="2"/>
  <c r="H385" i="2"/>
  <c r="E58" i="5" s="1"/>
  <c r="A385" i="2"/>
  <c r="C384" i="2"/>
  <c r="H384" i="2"/>
  <c r="D58" i="5" s="1"/>
  <c r="G384" i="2"/>
  <c r="D58" i="4" s="1"/>
  <c r="A384" i="2"/>
  <c r="C383" i="2"/>
  <c r="H383" i="2"/>
  <c r="C58" i="5" s="1"/>
  <c r="D383" i="2"/>
  <c r="A383" i="2"/>
  <c r="C382" i="2"/>
  <c r="A58" i="20" s="1"/>
  <c r="E382" i="2"/>
  <c r="D382" i="2"/>
  <c r="A382" i="2"/>
  <c r="F381" i="2"/>
  <c r="H57" i="3" s="1"/>
  <c r="E381" i="2"/>
  <c r="D381" i="2"/>
  <c r="G380" i="2"/>
  <c r="G57" i="4" s="1"/>
  <c r="F380" i="2"/>
  <c r="G57" i="3" s="1"/>
  <c r="E380" i="2"/>
  <c r="D380" i="2"/>
  <c r="H379" i="2"/>
  <c r="F57" i="5" s="1"/>
  <c r="G379" i="2"/>
  <c r="F57" i="4" s="1"/>
  <c r="F379" i="2"/>
  <c r="F57" i="3" s="1"/>
  <c r="E379" i="2"/>
  <c r="D379" i="2"/>
  <c r="C378" i="2"/>
  <c r="H378" i="2"/>
  <c r="E57" i="5" s="1"/>
  <c r="G378" i="2"/>
  <c r="E57" i="4" s="1"/>
  <c r="F378" i="2"/>
  <c r="E57" i="3" s="1"/>
  <c r="E378" i="2"/>
  <c r="A378" i="2"/>
  <c r="C377" i="2"/>
  <c r="H377" i="2"/>
  <c r="D57" i="5" s="1"/>
  <c r="G377" i="2"/>
  <c r="D57" i="4" s="1"/>
  <c r="A377" i="2"/>
  <c r="C376" i="2"/>
  <c r="H376" i="2"/>
  <c r="C57" i="5" s="1"/>
  <c r="G376" i="2"/>
  <c r="C57" i="4" s="1"/>
  <c r="A376" i="2"/>
  <c r="C375" i="2"/>
  <c r="A57" i="20" s="1"/>
  <c r="H375" i="2"/>
  <c r="D375" i="2"/>
  <c r="A375" i="2"/>
  <c r="C374" i="2"/>
  <c r="E374" i="2"/>
  <c r="D374" i="2"/>
  <c r="A374" i="2"/>
  <c r="F373" i="2"/>
  <c r="G56" i="3" s="1"/>
  <c r="E373" i="2"/>
  <c r="D373" i="2"/>
  <c r="G372" i="2"/>
  <c r="F56" i="4" s="1"/>
  <c r="F372" i="2"/>
  <c r="F56" i="3" s="1"/>
  <c r="E372" i="2"/>
  <c r="D372" i="2"/>
  <c r="H371" i="2"/>
  <c r="E56" i="5" s="1"/>
  <c r="G371" i="2"/>
  <c r="E56" i="4" s="1"/>
  <c r="F371" i="2"/>
  <c r="E56" i="3" s="1"/>
  <c r="E371" i="2"/>
  <c r="D371" i="2"/>
  <c r="C370" i="2"/>
  <c r="H370" i="2"/>
  <c r="D56" i="5" s="1"/>
  <c r="A370" i="2"/>
  <c r="C369" i="2"/>
  <c r="H369" i="2"/>
  <c r="C56" i="5" s="1"/>
  <c r="G369" i="2"/>
  <c r="C56" i="4" s="1"/>
  <c r="F369" i="2"/>
  <c r="C56" i="3" s="1"/>
  <c r="A369" i="2"/>
  <c r="C368" i="2"/>
  <c r="A56" i="20" s="1"/>
  <c r="H368" i="2"/>
  <c r="G368" i="2"/>
  <c r="B56" i="10" s="1"/>
  <c r="A368" i="2"/>
  <c r="C367" i="2"/>
  <c r="H367" i="2"/>
  <c r="H55" i="5" s="1"/>
  <c r="D367" i="2"/>
  <c r="A367" i="2"/>
  <c r="C366" i="2"/>
  <c r="E366" i="2"/>
  <c r="D366" i="2"/>
  <c r="F365" i="2"/>
  <c r="F55" i="3" s="1"/>
  <c r="E365" i="2"/>
  <c r="D365" i="2"/>
  <c r="G364" i="2"/>
  <c r="E55" i="4" s="1"/>
  <c r="F364" i="2"/>
  <c r="E55" i="3" s="1"/>
  <c r="E364" i="2"/>
  <c r="D364" i="2"/>
  <c r="H363" i="2"/>
  <c r="D55" i="5" s="1"/>
  <c r="G363" i="2"/>
  <c r="D55" i="4" s="1"/>
  <c r="F363" i="2"/>
  <c r="D55" i="3" s="1"/>
  <c r="D363" i="2"/>
  <c r="C362" i="2"/>
  <c r="H362" i="2"/>
  <c r="C55" i="5" s="1"/>
  <c r="G362" i="2"/>
  <c r="C55" i="4" s="1"/>
  <c r="F362" i="2"/>
  <c r="C55" i="3" s="1"/>
  <c r="E362" i="2"/>
  <c r="A362" i="2"/>
  <c r="C361" i="2"/>
  <c r="A55" i="20" s="1"/>
  <c r="H361" i="2"/>
  <c r="B55" i="5" s="1"/>
  <c r="G361" i="2"/>
  <c r="B55" i="4" s="1"/>
  <c r="A361" i="2"/>
  <c r="C360" i="2"/>
  <c r="H360" i="2"/>
  <c r="H54" i="5" s="1"/>
  <c r="A360" i="2"/>
  <c r="C359" i="2"/>
  <c r="H359" i="2"/>
  <c r="G54" i="5" s="1"/>
  <c r="D359" i="2"/>
  <c r="C358" i="2"/>
  <c r="E358" i="2"/>
  <c r="D358" i="2"/>
  <c r="F357" i="2"/>
  <c r="E54" i="3" s="1"/>
  <c r="E357" i="2"/>
  <c r="D357" i="2"/>
  <c r="G356" i="2"/>
  <c r="D54" i="4" s="1"/>
  <c r="F356" i="2"/>
  <c r="D54" i="3" s="1"/>
  <c r="E356" i="2"/>
  <c r="D356" i="2"/>
  <c r="H355" i="2"/>
  <c r="C54" i="5" s="1"/>
  <c r="G355" i="2"/>
  <c r="C54" i="4" s="1"/>
  <c r="F355" i="2"/>
  <c r="C54" i="3" s="1"/>
  <c r="E355" i="2"/>
  <c r="D355" i="2"/>
  <c r="C354" i="2"/>
  <c r="A54" i="20" s="1"/>
  <c r="H354" i="2"/>
  <c r="G354" i="2"/>
  <c r="B54" i="10" s="1"/>
  <c r="F354" i="2"/>
  <c r="B54" i="9" s="1"/>
  <c r="E354" i="2"/>
  <c r="A354" i="2"/>
  <c r="C353" i="2"/>
  <c r="H353" i="2"/>
  <c r="H53" i="5" s="1"/>
  <c r="G353" i="2"/>
  <c r="H53" i="4" s="1"/>
  <c r="F353" i="2"/>
  <c r="H53" i="3" s="1"/>
  <c r="A353" i="2"/>
  <c r="C352" i="2"/>
  <c r="H352" i="2"/>
  <c r="G53" i="5" s="1"/>
  <c r="A352" i="2"/>
  <c r="C351" i="2"/>
  <c r="H351" i="2"/>
  <c r="F53" i="5" s="1"/>
  <c r="D351" i="2"/>
  <c r="A351" i="2"/>
  <c r="E350" i="2"/>
  <c r="D350" i="2"/>
  <c r="A350" i="2"/>
  <c r="F349" i="2"/>
  <c r="D53" i="3" s="1"/>
  <c r="E349" i="2"/>
  <c r="D349" i="2"/>
  <c r="G348" i="2"/>
  <c r="C53" i="4" s="1"/>
  <c r="F348" i="2"/>
  <c r="C53" i="3" s="1"/>
  <c r="E348" i="2"/>
  <c r="D348" i="2"/>
  <c r="H347" i="2"/>
  <c r="G347" i="2"/>
  <c r="B53" i="10" s="1"/>
  <c r="F347" i="2"/>
  <c r="B53" i="9" s="1"/>
  <c r="E347" i="2"/>
  <c r="D347" i="2"/>
  <c r="C346" i="2"/>
  <c r="H346" i="2"/>
  <c r="H52" i="5" s="1"/>
  <c r="G346" i="2"/>
  <c r="H52" i="4" s="1"/>
  <c r="F346" i="2"/>
  <c r="H52" i="3" s="1"/>
  <c r="E346" i="2"/>
  <c r="A346" i="2"/>
  <c r="C345" i="2"/>
  <c r="H345" i="2"/>
  <c r="G52" i="5" s="1"/>
  <c r="A345" i="2"/>
  <c r="C344" i="2"/>
  <c r="H344" i="2"/>
  <c r="F52" i="5" s="1"/>
  <c r="G344" i="2"/>
  <c r="F52" i="4" s="1"/>
  <c r="A344" i="2"/>
  <c r="C343" i="2"/>
  <c r="H343" i="2"/>
  <c r="E52" i="5" s="1"/>
  <c r="D343" i="2"/>
  <c r="A343" i="2"/>
  <c r="C342" i="2"/>
  <c r="E342" i="2"/>
  <c r="D342" i="2"/>
  <c r="F341" i="2"/>
  <c r="C52" i="3" s="1"/>
  <c r="E341" i="2"/>
  <c r="D341" i="2"/>
  <c r="G340" i="2"/>
  <c r="B52" i="10" s="1"/>
  <c r="F340" i="2"/>
  <c r="B52" i="9" s="1"/>
  <c r="E340" i="2"/>
  <c r="D340" i="2"/>
  <c r="H339" i="2"/>
  <c r="H51" i="5" s="1"/>
  <c r="G339" i="2"/>
  <c r="H51" i="4" s="1"/>
  <c r="F339" i="2"/>
  <c r="H51" i="3" s="1"/>
  <c r="E339" i="2"/>
  <c r="D339" i="2"/>
  <c r="C338" i="2"/>
  <c r="H338" i="2"/>
  <c r="G51" i="5" s="1"/>
  <c r="G338" i="2"/>
  <c r="G51" i="4" s="1"/>
  <c r="F338" i="2"/>
  <c r="G51" i="3" s="1"/>
  <c r="A338" i="2"/>
  <c r="C337" i="2"/>
  <c r="H337" i="2"/>
  <c r="F51" i="5" s="1"/>
  <c r="G337" i="2"/>
  <c r="F51" i="4" s="1"/>
  <c r="F337" i="2"/>
  <c r="F51" i="3" s="1"/>
  <c r="A337" i="2"/>
  <c r="C336" i="2"/>
  <c r="H336" i="2"/>
  <c r="E51" i="5" s="1"/>
  <c r="G336" i="2"/>
  <c r="E51" i="4" s="1"/>
  <c r="A336" i="2"/>
  <c r="C335" i="2"/>
  <c r="H335" i="2"/>
  <c r="D51" i="5" s="1"/>
  <c r="D335" i="2"/>
  <c r="A335" i="2"/>
  <c r="C334" i="2"/>
  <c r="E334" i="2"/>
  <c r="D334" i="2"/>
  <c r="A334" i="2"/>
  <c r="F333" i="2"/>
  <c r="B51" i="9" s="1"/>
  <c r="E333" i="2"/>
  <c r="D333" i="2"/>
  <c r="G332" i="2"/>
  <c r="H50" i="4" s="1"/>
  <c r="F332" i="2"/>
  <c r="H50" i="3" s="1"/>
  <c r="E332" i="2"/>
  <c r="D332" i="2"/>
  <c r="H331" i="2"/>
  <c r="G50" i="5" s="1"/>
  <c r="G331" i="2"/>
  <c r="G50" i="4" s="1"/>
  <c r="F331" i="2"/>
  <c r="G50" i="3" s="1"/>
  <c r="E331" i="2"/>
  <c r="C330" i="2"/>
  <c r="H330" i="2"/>
  <c r="F50" i="5" s="1"/>
  <c r="G330" i="2"/>
  <c r="F50" i="4" s="1"/>
  <c r="F330" i="2"/>
  <c r="F50" i="3" s="1"/>
  <c r="A330" i="2"/>
  <c r="C329" i="2"/>
  <c r="H329" i="2"/>
  <c r="E50" i="5" s="1"/>
  <c r="G329" i="2"/>
  <c r="E50" i="4" s="1"/>
  <c r="F329" i="2"/>
  <c r="E50" i="3" s="1"/>
  <c r="A329" i="2"/>
  <c r="C328" i="2"/>
  <c r="H328" i="2"/>
  <c r="D50" i="5" s="1"/>
  <c r="G328" i="2"/>
  <c r="D50" i="4" s="1"/>
  <c r="A328" i="2"/>
  <c r="C327" i="2"/>
  <c r="H327" i="2"/>
  <c r="C50" i="5" s="1"/>
  <c r="D327" i="2"/>
  <c r="A327" i="2"/>
  <c r="C326" i="2"/>
  <c r="A50" i="20" s="1"/>
  <c r="E326" i="2"/>
  <c r="D326" i="2"/>
  <c r="A326" i="2"/>
  <c r="F325" i="2"/>
  <c r="H49" i="3" s="1"/>
  <c r="E325" i="2"/>
  <c r="D325" i="2"/>
  <c r="G324" i="2"/>
  <c r="G49" i="4" s="1"/>
  <c r="F324" i="2"/>
  <c r="G49" i="3" s="1"/>
  <c r="E324" i="2"/>
  <c r="D324" i="2"/>
  <c r="H323" i="2"/>
  <c r="F49" i="5" s="1"/>
  <c r="G323" i="2"/>
  <c r="F49" i="4" s="1"/>
  <c r="F323" i="2"/>
  <c r="F49" i="3" s="1"/>
  <c r="E323" i="2"/>
  <c r="D323" i="2"/>
  <c r="C322" i="2"/>
  <c r="H322" i="2"/>
  <c r="E49" i="5" s="1"/>
  <c r="G322" i="2"/>
  <c r="E49" i="4" s="1"/>
  <c r="F322" i="2"/>
  <c r="E49" i="3" s="1"/>
  <c r="A322" i="2"/>
  <c r="C321" i="2"/>
  <c r="H321" i="2"/>
  <c r="D49" i="5" s="1"/>
  <c r="G321" i="2"/>
  <c r="D49" i="4" s="1"/>
  <c r="F321" i="2"/>
  <c r="D49" i="3" s="1"/>
  <c r="A321" i="2"/>
  <c r="C320" i="2"/>
  <c r="H320" i="2"/>
  <c r="C49" i="5" s="1"/>
  <c r="A320" i="2"/>
  <c r="C319" i="2"/>
  <c r="A49" i="20" s="1"/>
  <c r="H319" i="2"/>
  <c r="D319" i="2"/>
  <c r="E318" i="2"/>
  <c r="D318" i="2"/>
  <c r="A318" i="2"/>
  <c r="F317" i="2"/>
  <c r="E317" i="2"/>
  <c r="D317" i="2"/>
  <c r="G316" i="2"/>
  <c r="F316" i="2"/>
  <c r="E316" i="2"/>
  <c r="H315" i="2"/>
  <c r="G315" i="2"/>
  <c r="F315" i="2"/>
  <c r="E315" i="2"/>
  <c r="D315" i="2"/>
  <c r="C314" i="2"/>
  <c r="H314" i="2"/>
  <c r="G314" i="2"/>
  <c r="F314" i="2"/>
  <c r="A314" i="2"/>
  <c r="C313" i="2"/>
  <c r="H313" i="2"/>
  <c r="G313" i="2"/>
  <c r="F313" i="2"/>
  <c r="A313" i="2"/>
  <c r="C312" i="2"/>
  <c r="H312" i="2"/>
  <c r="G312" i="2"/>
  <c r="A312" i="2"/>
  <c r="C311" i="2"/>
  <c r="H311" i="2"/>
  <c r="D311" i="2"/>
  <c r="A311" i="2"/>
  <c r="C310" i="2"/>
  <c r="E310" i="2"/>
  <c r="D310" i="2"/>
  <c r="A310" i="2"/>
  <c r="F309" i="2"/>
  <c r="E309" i="2"/>
  <c r="D309" i="2"/>
  <c r="G308" i="2"/>
  <c r="F308" i="2"/>
  <c r="E308" i="2"/>
  <c r="D308" i="2"/>
  <c r="H307" i="2"/>
  <c r="G307" i="2"/>
  <c r="F307" i="2"/>
  <c r="C306" i="2"/>
  <c r="H306" i="2"/>
  <c r="G306" i="2"/>
  <c r="F306" i="2"/>
  <c r="E306" i="2"/>
  <c r="A306" i="2"/>
  <c r="C305" i="2"/>
  <c r="H305" i="2"/>
  <c r="A305" i="2"/>
  <c r="C304" i="2"/>
  <c r="H304" i="2"/>
  <c r="H47" i="5" s="1"/>
  <c r="A304" i="2"/>
  <c r="C303" i="2"/>
  <c r="D303" i="2"/>
  <c r="A303" i="2"/>
  <c r="C302" i="2"/>
  <c r="E302" i="2"/>
  <c r="D302" i="2"/>
  <c r="F301" i="2"/>
  <c r="E47" i="3" s="1"/>
  <c r="E301" i="2"/>
  <c r="D301" i="2"/>
  <c r="G300" i="2"/>
  <c r="D47" i="4" s="1"/>
  <c r="F300" i="2"/>
  <c r="D47" i="3" s="1"/>
  <c r="E300" i="2"/>
  <c r="D300" i="2"/>
  <c r="H299" i="2"/>
  <c r="C47" i="5" s="1"/>
  <c r="G299" i="2"/>
  <c r="C47" i="4" s="1"/>
  <c r="F299" i="2"/>
  <c r="C47" i="3" s="1"/>
  <c r="E299" i="2"/>
  <c r="D299" i="2"/>
  <c r="C298" i="2"/>
  <c r="A47" i="20" s="1"/>
  <c r="H298" i="2"/>
  <c r="G298" i="2"/>
  <c r="B47" i="10" s="1"/>
  <c r="F298" i="2"/>
  <c r="B47" i="9" s="1"/>
  <c r="E298" i="2"/>
  <c r="A298" i="2"/>
  <c r="C297" i="2"/>
  <c r="H297" i="2"/>
  <c r="H45" i="5" s="1"/>
  <c r="G297" i="2"/>
  <c r="H45" i="4" s="1"/>
  <c r="F297" i="2"/>
  <c r="H45" i="3" s="1"/>
  <c r="A297" i="2"/>
  <c r="C296" i="2"/>
  <c r="H296" i="2"/>
  <c r="G45" i="5" s="1"/>
  <c r="G296" i="2"/>
  <c r="G45" i="4" s="1"/>
  <c r="A296" i="2"/>
  <c r="C295" i="2"/>
  <c r="H295" i="2"/>
  <c r="F45" i="5" s="1"/>
  <c r="D295" i="2"/>
  <c r="A295" i="2"/>
  <c r="E294" i="2"/>
  <c r="D294" i="2"/>
  <c r="A294" i="2"/>
  <c r="F293" i="2"/>
  <c r="D45" i="3" s="1"/>
  <c r="E293" i="2"/>
  <c r="D293" i="2"/>
  <c r="G292" i="2"/>
  <c r="C45" i="4" s="1"/>
  <c r="F292" i="2"/>
  <c r="C45" i="3" s="1"/>
  <c r="E292" i="2"/>
  <c r="D292" i="2"/>
  <c r="H291" i="2"/>
  <c r="G291" i="2"/>
  <c r="B45" i="10" s="1"/>
  <c r="F291" i="2"/>
  <c r="B45" i="9" s="1"/>
  <c r="E291" i="2"/>
  <c r="D291" i="2"/>
  <c r="C290" i="2"/>
  <c r="H290" i="2"/>
  <c r="H43" i="5" s="1"/>
  <c r="G290" i="2"/>
  <c r="H43" i="4" s="1"/>
  <c r="F290" i="2"/>
  <c r="H43" i="3" s="1"/>
  <c r="A290" i="2"/>
  <c r="C289" i="2"/>
  <c r="H289" i="2"/>
  <c r="G43" i="5" s="1"/>
  <c r="G289" i="2"/>
  <c r="G43" i="4" s="1"/>
  <c r="A289" i="2"/>
  <c r="C288" i="2"/>
  <c r="H288" i="2"/>
  <c r="F43" i="5" s="1"/>
  <c r="G288" i="2"/>
  <c r="F43" i="4" s="1"/>
  <c r="A288" i="2"/>
  <c r="C287" i="2"/>
  <c r="D287" i="2"/>
  <c r="A287" i="2"/>
  <c r="E286" i="2"/>
  <c r="D286" i="2"/>
  <c r="F285" i="2"/>
  <c r="C43" i="3" s="1"/>
  <c r="E285" i="2"/>
  <c r="D285" i="2"/>
  <c r="G284" i="2"/>
  <c r="B43" i="10" s="1"/>
  <c r="F284" i="2"/>
  <c r="B43" i="9" s="1"/>
  <c r="E284" i="2"/>
  <c r="D284" i="2"/>
  <c r="H283" i="2"/>
  <c r="H42" i="5" s="1"/>
  <c r="G283" i="2"/>
  <c r="H42" i="4" s="1"/>
  <c r="F283" i="2"/>
  <c r="H42" i="3" s="1"/>
  <c r="C282" i="2"/>
  <c r="H282" i="2"/>
  <c r="G42" i="5" s="1"/>
  <c r="G282" i="2"/>
  <c r="G42" i="4" s="1"/>
  <c r="F282" i="2"/>
  <c r="G42" i="3" s="1"/>
  <c r="E282" i="2"/>
  <c r="A282" i="2"/>
  <c r="C281" i="2"/>
  <c r="H281" i="2"/>
  <c r="F42" i="5" s="1"/>
  <c r="G281" i="2"/>
  <c r="F42" i="4" s="1"/>
  <c r="A281" i="2"/>
  <c r="C280" i="2"/>
  <c r="H280" i="2"/>
  <c r="E42" i="5" s="1"/>
  <c r="G280" i="2"/>
  <c r="E42" i="4" s="1"/>
  <c r="A280" i="2"/>
  <c r="C279" i="2"/>
  <c r="H279" i="2"/>
  <c r="D42" i="5" s="1"/>
  <c r="D279" i="2"/>
  <c r="A279" i="2"/>
  <c r="E278" i="2"/>
  <c r="D278" i="2"/>
  <c r="A278" i="2"/>
  <c r="F277" i="2"/>
  <c r="B42" i="9" s="1"/>
  <c r="E277" i="2"/>
  <c r="D277" i="2"/>
  <c r="G276" i="2"/>
  <c r="H41" i="4" s="1"/>
  <c r="F276" i="2"/>
  <c r="H41" i="3" s="1"/>
  <c r="E276" i="2"/>
  <c r="D276" i="2"/>
  <c r="H275" i="2"/>
  <c r="G41" i="5" s="1"/>
  <c r="G275" i="2"/>
  <c r="G41" i="4" s="1"/>
  <c r="F275" i="2"/>
  <c r="G41" i="3" s="1"/>
  <c r="E275" i="2"/>
  <c r="C274" i="2"/>
  <c r="H274" i="2"/>
  <c r="F41" i="5" s="1"/>
  <c r="G274" i="2"/>
  <c r="F41" i="4" s="1"/>
  <c r="F274" i="2"/>
  <c r="F41" i="3" s="1"/>
  <c r="A274" i="2"/>
  <c r="C273" i="2"/>
  <c r="H273" i="2"/>
  <c r="E41" i="5" s="1"/>
  <c r="A273" i="2"/>
  <c r="C272" i="2"/>
  <c r="H272" i="2"/>
  <c r="D41" i="5" s="1"/>
  <c r="G272" i="2"/>
  <c r="D41" i="4" s="1"/>
  <c r="C271" i="2"/>
  <c r="D271" i="2"/>
  <c r="A271" i="2"/>
  <c r="C270" i="2"/>
  <c r="A41" i="20" s="1"/>
  <c r="E270" i="2"/>
  <c r="D270" i="2"/>
  <c r="F269" i="2"/>
  <c r="H40" i="3" s="1"/>
  <c r="E269" i="2"/>
  <c r="D269" i="2"/>
  <c r="G268" i="2"/>
  <c r="G40" i="4" s="1"/>
  <c r="F268" i="2"/>
  <c r="G40" i="3" s="1"/>
  <c r="E268" i="2"/>
  <c r="D268" i="2"/>
  <c r="H267" i="2"/>
  <c r="F40" i="5" s="1"/>
  <c r="G267" i="2"/>
  <c r="F40" i="4" s="1"/>
  <c r="F267" i="2"/>
  <c r="F40" i="3" s="1"/>
  <c r="E267" i="2"/>
  <c r="C266" i="2"/>
  <c r="H266" i="2"/>
  <c r="E40" i="5" s="1"/>
  <c r="G266" i="2"/>
  <c r="E40" i="4" s="1"/>
  <c r="F266" i="2"/>
  <c r="E40" i="3" s="1"/>
  <c r="E266" i="2"/>
  <c r="A266" i="2"/>
  <c r="C265" i="2"/>
  <c r="H265" i="2"/>
  <c r="D40" i="5" s="1"/>
  <c r="G265" i="2"/>
  <c r="D40" i="4" s="1"/>
  <c r="F265" i="2"/>
  <c r="D40" i="3" s="1"/>
  <c r="A265" i="2"/>
  <c r="C264" i="2"/>
  <c r="H264" i="2"/>
  <c r="C40" i="5" s="1"/>
  <c r="G264" i="2"/>
  <c r="C40" i="4" s="1"/>
  <c r="A264" i="2"/>
  <c r="C263" i="2"/>
  <c r="A40" i="20" s="1"/>
  <c r="H263" i="2"/>
  <c r="D263" i="2"/>
  <c r="A263" i="2"/>
  <c r="E262" i="2"/>
  <c r="D262" i="2"/>
  <c r="A262" i="2"/>
  <c r="F261" i="2"/>
  <c r="G39" i="3" s="1"/>
  <c r="E261" i="2"/>
  <c r="D261" i="2"/>
  <c r="G260" i="2"/>
  <c r="F39" i="4" s="1"/>
  <c r="F260" i="2"/>
  <c r="F39" i="3" s="1"/>
  <c r="E260" i="2"/>
  <c r="D260" i="2"/>
  <c r="H259" i="2"/>
  <c r="E39" i="5" s="1"/>
  <c r="G259" i="2"/>
  <c r="E39" i="4" s="1"/>
  <c r="F259" i="2"/>
  <c r="E39" i="3" s="1"/>
  <c r="E259" i="2"/>
  <c r="D259" i="2"/>
  <c r="C258" i="2"/>
  <c r="H258" i="2"/>
  <c r="D39" i="5" s="1"/>
  <c r="G258" i="2"/>
  <c r="D39" i="4" s="1"/>
  <c r="F258" i="2"/>
  <c r="D39" i="3" s="1"/>
  <c r="A258" i="2"/>
  <c r="C257" i="2"/>
  <c r="H257" i="2"/>
  <c r="C39" i="5" s="1"/>
  <c r="G257" i="2"/>
  <c r="C39" i="4" s="1"/>
  <c r="A257" i="2"/>
  <c r="C256" i="2"/>
  <c r="A39" i="20" s="1"/>
  <c r="H256" i="2"/>
  <c r="G256" i="2"/>
  <c r="B39" i="10" s="1"/>
  <c r="A256" i="2"/>
  <c r="C255" i="2"/>
  <c r="D255" i="2"/>
  <c r="A255" i="2"/>
  <c r="E254" i="2"/>
  <c r="D254" i="2"/>
  <c r="F253" i="2"/>
  <c r="F38" i="3" s="1"/>
  <c r="E253" i="2"/>
  <c r="D253" i="2"/>
  <c r="G252" i="2"/>
  <c r="E38" i="4" s="1"/>
  <c r="F252" i="2"/>
  <c r="E38" i="3" s="1"/>
  <c r="E252" i="2"/>
  <c r="D252" i="2"/>
  <c r="H251" i="2"/>
  <c r="D38" i="5" s="1"/>
  <c r="G251" i="2"/>
  <c r="D38" i="4" s="1"/>
  <c r="F251" i="2"/>
  <c r="D38" i="3" s="1"/>
  <c r="E251" i="2"/>
  <c r="C250" i="2"/>
  <c r="H250" i="2"/>
  <c r="C38" i="5" s="1"/>
  <c r="G250" i="2"/>
  <c r="C38" i="4" s="1"/>
  <c r="F250" i="2"/>
  <c r="C38" i="3" s="1"/>
  <c r="E250" i="2"/>
  <c r="A250" i="2"/>
  <c r="C249" i="2"/>
  <c r="A38" i="20" s="1"/>
  <c r="H249" i="2"/>
  <c r="G249" i="2"/>
  <c r="B38" i="10" s="1"/>
  <c r="A249" i="2"/>
  <c r="A37" i="20" s="1"/>
  <c r="C248" i="2"/>
  <c r="H248" i="2"/>
  <c r="A248" i="2"/>
  <c r="C247" i="2"/>
  <c r="H247" i="2"/>
  <c r="D247" i="2"/>
  <c r="A247" i="2"/>
  <c r="C246" i="2"/>
  <c r="E246" i="2"/>
  <c r="D246" i="2"/>
  <c r="A246" i="2"/>
  <c r="F245" i="2"/>
  <c r="E245" i="2"/>
  <c r="D245" i="2"/>
  <c r="G244" i="2"/>
  <c r="F244" i="2"/>
  <c r="E244" i="2"/>
  <c r="D244" i="2"/>
  <c r="H243" i="2"/>
  <c r="G243" i="2"/>
  <c r="F243" i="2"/>
  <c r="E243" i="2"/>
  <c r="D243" i="2"/>
  <c r="C242" i="2"/>
  <c r="H242" i="2"/>
  <c r="G242" i="2"/>
  <c r="A242" i="2"/>
  <c r="C241" i="2"/>
  <c r="H241" i="2"/>
  <c r="G241" i="2"/>
  <c r="F241" i="2"/>
  <c r="A241" i="2"/>
  <c r="C240" i="2"/>
  <c r="H240" i="2"/>
  <c r="A240" i="2"/>
  <c r="C239" i="2"/>
  <c r="H239" i="2"/>
  <c r="D239" i="2"/>
  <c r="A239" i="2"/>
  <c r="E238" i="2"/>
  <c r="D238" i="2"/>
  <c r="A238" i="2"/>
  <c r="F237" i="2"/>
  <c r="E237" i="2"/>
  <c r="D237" i="2"/>
  <c r="G236" i="2"/>
  <c r="F236" i="2"/>
  <c r="E236" i="2"/>
  <c r="D236" i="2"/>
  <c r="H235" i="2"/>
  <c r="G235" i="2"/>
  <c r="F235" i="2"/>
  <c r="E235" i="2"/>
  <c r="D235" i="2"/>
  <c r="C234" i="2"/>
  <c r="H234" i="2"/>
  <c r="H36" i="5" s="1"/>
  <c r="G234" i="2"/>
  <c r="H36" i="4" s="1"/>
  <c r="F234" i="2"/>
  <c r="H36" i="3" s="1"/>
  <c r="E234" i="2"/>
  <c r="A234" i="2"/>
  <c r="C233" i="2"/>
  <c r="H233" i="2"/>
  <c r="G36" i="5" s="1"/>
  <c r="G233" i="2"/>
  <c r="G36" i="4" s="1"/>
  <c r="F233" i="2"/>
  <c r="G36" i="3" s="1"/>
  <c r="A233" i="2"/>
  <c r="C232" i="2"/>
  <c r="A232" i="2"/>
  <c r="H231" i="2"/>
  <c r="E36" i="5" s="1"/>
  <c r="D231" i="2"/>
  <c r="A231" i="2"/>
  <c r="C230" i="2"/>
  <c r="E230" i="2"/>
  <c r="D230" i="2"/>
  <c r="A230" i="2"/>
  <c r="F229" i="2"/>
  <c r="C36" i="3" s="1"/>
  <c r="E229" i="2"/>
  <c r="D229" i="2"/>
  <c r="G228" i="2"/>
  <c r="B36" i="10" s="1"/>
  <c r="F228" i="2"/>
  <c r="B36" i="9" s="1"/>
  <c r="D228" i="2"/>
  <c r="H227" i="2"/>
  <c r="H35" i="5" s="1"/>
  <c r="G227" i="2"/>
  <c r="H35" i="4" s="1"/>
  <c r="F227" i="2"/>
  <c r="H35" i="3" s="1"/>
  <c r="E227" i="2"/>
  <c r="D227" i="2"/>
  <c r="C226" i="2"/>
  <c r="H226" i="2"/>
  <c r="G35" i="5" s="1"/>
  <c r="G226" i="2"/>
  <c r="G35" i="4" s="1"/>
  <c r="F226" i="2"/>
  <c r="G35" i="3" s="1"/>
  <c r="A226" i="2"/>
  <c r="C225" i="2"/>
  <c r="H225" i="2"/>
  <c r="F35" i="5" s="1"/>
  <c r="G225" i="2"/>
  <c r="F35" i="4" s="1"/>
  <c r="F225" i="2"/>
  <c r="F35" i="3" s="1"/>
  <c r="A225" i="2"/>
  <c r="C224" i="2"/>
  <c r="H224" i="2"/>
  <c r="E35" i="5" s="1"/>
  <c r="A224" i="2"/>
  <c r="C223" i="2"/>
  <c r="H223" i="2"/>
  <c r="D35" i="5" s="1"/>
  <c r="D223" i="2"/>
  <c r="A223" i="2"/>
  <c r="E222" i="2"/>
  <c r="D222" i="2"/>
  <c r="F221" i="2"/>
  <c r="B35" i="9" s="1"/>
  <c r="E221" i="2"/>
  <c r="D221" i="2"/>
  <c r="G220" i="2"/>
  <c r="H34" i="4" s="1"/>
  <c r="F220" i="2"/>
  <c r="H34" i="3" s="1"/>
  <c r="E220" i="2"/>
  <c r="D220" i="2"/>
  <c r="H219" i="2"/>
  <c r="G34" i="5" s="1"/>
  <c r="G219" i="2"/>
  <c r="G34" i="4" s="1"/>
  <c r="F219" i="2"/>
  <c r="G34" i="3" s="1"/>
  <c r="E219" i="2"/>
  <c r="C218" i="2"/>
  <c r="H218" i="2"/>
  <c r="F34" i="5" s="1"/>
  <c r="G218" i="2"/>
  <c r="F34" i="4" s="1"/>
  <c r="F218" i="2"/>
  <c r="F34" i="3" s="1"/>
  <c r="E218" i="2"/>
  <c r="A218" i="2"/>
  <c r="C217" i="2"/>
  <c r="H217" i="2"/>
  <c r="E34" i="5" s="1"/>
  <c r="G217" i="2"/>
  <c r="E34" i="4" s="1"/>
  <c r="A217" i="2"/>
  <c r="C216" i="2"/>
  <c r="H216" i="2"/>
  <c r="D34" i="5" s="1"/>
  <c r="G216" i="2"/>
  <c r="D34" i="4" s="1"/>
  <c r="A216" i="2"/>
  <c r="C215" i="2"/>
  <c r="H215" i="2"/>
  <c r="C34" i="5" s="1"/>
  <c r="D215" i="2"/>
  <c r="A215" i="2"/>
  <c r="C214" i="2"/>
  <c r="A34" i="20" s="1"/>
  <c r="E214" i="2"/>
  <c r="D214" i="2"/>
  <c r="A214" i="2"/>
  <c r="F213" i="2"/>
  <c r="H33" i="3" s="1"/>
  <c r="E213" i="2"/>
  <c r="D213" i="2"/>
  <c r="G212" i="2"/>
  <c r="G33" i="4" s="1"/>
  <c r="F212" i="2"/>
  <c r="G33" i="3" s="1"/>
  <c r="E212" i="2"/>
  <c r="D212" i="2"/>
  <c r="H211" i="2"/>
  <c r="F33" i="5" s="1"/>
  <c r="G211" i="2"/>
  <c r="F33" i="4" s="1"/>
  <c r="F211" i="2"/>
  <c r="F33" i="3" s="1"/>
  <c r="E211" i="2"/>
  <c r="D211" i="2"/>
  <c r="C210" i="2"/>
  <c r="H210" i="2"/>
  <c r="E33" i="5" s="1"/>
  <c r="G210" i="2"/>
  <c r="E33" i="4" s="1"/>
  <c r="F210" i="2"/>
  <c r="E33" i="3" s="1"/>
  <c r="E210" i="2"/>
  <c r="A210" i="2"/>
  <c r="C209" i="2"/>
  <c r="H209" i="2"/>
  <c r="D33" i="5" s="1"/>
  <c r="G209" i="2"/>
  <c r="D33" i="4" s="1"/>
  <c r="A209" i="2"/>
  <c r="C208" i="2"/>
  <c r="H208" i="2"/>
  <c r="C33" i="5" s="1"/>
  <c r="G208" i="2"/>
  <c r="C33" i="4" s="1"/>
  <c r="A208" i="2"/>
  <c r="C207" i="2"/>
  <c r="A33" i="20" s="1"/>
  <c r="D207" i="2"/>
  <c r="A207" i="2"/>
  <c r="E206" i="2"/>
  <c r="D206" i="2"/>
  <c r="F205" i="2"/>
  <c r="G32" i="3" s="1"/>
  <c r="E205" i="2"/>
  <c r="D205" i="2"/>
  <c r="G204" i="2"/>
  <c r="F32" i="4" s="1"/>
  <c r="F204" i="2"/>
  <c r="F32" i="3" s="1"/>
  <c r="E204" i="2"/>
  <c r="D204" i="2"/>
  <c r="H203" i="2"/>
  <c r="E32" i="5" s="1"/>
  <c r="G203" i="2"/>
  <c r="E32" i="4" s="1"/>
  <c r="F203" i="2"/>
  <c r="E32" i="3" s="1"/>
  <c r="C202" i="2"/>
  <c r="H202" i="2"/>
  <c r="D32" i="5" s="1"/>
  <c r="G202" i="2"/>
  <c r="D32" i="4" s="1"/>
  <c r="F202" i="2"/>
  <c r="D32" i="3" s="1"/>
  <c r="E202" i="2"/>
  <c r="A202" i="2"/>
  <c r="C201" i="2"/>
  <c r="H201" i="2"/>
  <c r="C32" i="5" s="1"/>
  <c r="G201" i="2"/>
  <c r="C32" i="4" s="1"/>
  <c r="A201" i="2"/>
  <c r="C200" i="2"/>
  <c r="A32" i="20" s="1"/>
  <c r="H200" i="2"/>
  <c r="G200" i="2"/>
  <c r="B32" i="10" s="1"/>
  <c r="A200" i="2"/>
  <c r="C199" i="2"/>
  <c r="H199" i="2"/>
  <c r="H31" i="5" s="1"/>
  <c r="D199" i="2"/>
  <c r="A199" i="2"/>
  <c r="C198" i="2"/>
  <c r="E198" i="2"/>
  <c r="D198" i="2"/>
  <c r="A198" i="2"/>
  <c r="F197" i="2"/>
  <c r="F31" i="3" s="1"/>
  <c r="E197" i="2"/>
  <c r="D197" i="2"/>
  <c r="G196" i="2"/>
  <c r="E31" i="4" s="1"/>
  <c r="F196" i="2"/>
  <c r="E31" i="3" s="1"/>
  <c r="E196" i="2"/>
  <c r="D196" i="2"/>
  <c r="H195" i="2"/>
  <c r="D31" i="5" s="1"/>
  <c r="G195" i="2"/>
  <c r="D31" i="4" s="1"/>
  <c r="F195" i="2"/>
  <c r="D31" i="3" s="1"/>
  <c r="E195" i="2"/>
  <c r="D195" i="2"/>
  <c r="C194" i="2"/>
  <c r="H194" i="2"/>
  <c r="C31" i="5" s="1"/>
  <c r="G194" i="2"/>
  <c r="C31" i="4" s="1"/>
  <c r="F194" i="2"/>
  <c r="C31" i="3" s="1"/>
  <c r="A194" i="2"/>
  <c r="C193" i="2"/>
  <c r="A31" i="20" s="1"/>
  <c r="H193" i="2"/>
  <c r="G193" i="2"/>
  <c r="B31" i="10" s="1"/>
  <c r="F193" i="2"/>
  <c r="B31" i="9" s="1"/>
  <c r="A193" i="2"/>
  <c r="C192" i="2"/>
  <c r="H192" i="2"/>
  <c r="H30" i="5" s="1"/>
  <c r="G192" i="2"/>
  <c r="H30" i="4" s="1"/>
  <c r="A192" i="2"/>
  <c r="C191" i="2"/>
  <c r="H191" i="2"/>
  <c r="G30" i="5" s="1"/>
  <c r="D191" i="2"/>
  <c r="E190" i="2"/>
  <c r="D190" i="2"/>
  <c r="A190" i="2"/>
  <c r="F189" i="2"/>
  <c r="E30" i="3" s="1"/>
  <c r="E189" i="2"/>
  <c r="D189" i="2"/>
  <c r="G188" i="2"/>
  <c r="D30" i="4" s="1"/>
  <c r="F188" i="2"/>
  <c r="D30" i="3" s="1"/>
  <c r="E188" i="2"/>
  <c r="D188" i="2"/>
  <c r="H187" i="2"/>
  <c r="C30" i="5" s="1"/>
  <c r="G187" i="2"/>
  <c r="C30" i="4" s="1"/>
  <c r="F187" i="2"/>
  <c r="C30" i="3" s="1"/>
  <c r="E187" i="2"/>
  <c r="D187" i="2"/>
  <c r="C186" i="2"/>
  <c r="A30" i="20" s="1"/>
  <c r="H186" i="2"/>
  <c r="G186" i="2"/>
  <c r="B30" i="10" s="1"/>
  <c r="F186" i="2"/>
  <c r="B30" i="9" s="1"/>
  <c r="E186" i="2"/>
  <c r="A186" i="2"/>
  <c r="C185" i="2"/>
  <c r="H185" i="2"/>
  <c r="H29" i="5" s="1"/>
  <c r="G185" i="2"/>
  <c r="H29" i="4" s="1"/>
  <c r="F185" i="2"/>
  <c r="H29" i="3" s="1"/>
  <c r="A185" i="2"/>
  <c r="C184" i="2"/>
  <c r="H184" i="2"/>
  <c r="G29" i="5" s="1"/>
  <c r="A184" i="2"/>
  <c r="H183" i="2"/>
  <c r="F29" i="5" s="1"/>
  <c r="D183" i="2"/>
  <c r="C182" i="2"/>
  <c r="E182" i="2"/>
  <c r="D182" i="2"/>
  <c r="A182" i="2"/>
  <c r="F181" i="2"/>
  <c r="D29" i="3" s="1"/>
  <c r="E181" i="2"/>
  <c r="D181" i="2"/>
  <c r="G180" i="2"/>
  <c r="C29" i="4" s="1"/>
  <c r="F180" i="2"/>
  <c r="C29" i="3" s="1"/>
  <c r="E180" i="2"/>
  <c r="D180" i="2"/>
  <c r="H179" i="2"/>
  <c r="G179" i="2"/>
  <c r="B29" i="10" s="1"/>
  <c r="F179" i="2"/>
  <c r="B29" i="9" s="1"/>
  <c r="E179" i="2"/>
  <c r="D179" i="2"/>
  <c r="C178" i="2"/>
  <c r="H178" i="2"/>
  <c r="H28" i="5" s="1"/>
  <c r="G178" i="2"/>
  <c r="H28" i="4" s="1"/>
  <c r="F178" i="2"/>
  <c r="H28" i="3" s="1"/>
  <c r="A178" i="2"/>
  <c r="C177" i="2"/>
  <c r="H177" i="2"/>
  <c r="G28" i="5" s="1"/>
  <c r="G177" i="2"/>
  <c r="G28" i="4" s="1"/>
  <c r="F177" i="2"/>
  <c r="G28" i="3" s="1"/>
  <c r="A177" i="2"/>
  <c r="C176" i="2"/>
  <c r="H176" i="2"/>
  <c r="F28" i="5" s="1"/>
  <c r="G176" i="2"/>
  <c r="F28" i="4" s="1"/>
  <c r="A176" i="2"/>
  <c r="C175" i="2"/>
  <c r="H175" i="2"/>
  <c r="E28" i="5" s="1"/>
  <c r="D175" i="2"/>
  <c r="A175" i="2"/>
  <c r="C174" i="2"/>
  <c r="E174" i="2"/>
  <c r="D174" i="2"/>
  <c r="A174" i="2"/>
  <c r="F173" i="2"/>
  <c r="C28" i="3" s="1"/>
  <c r="E173" i="2"/>
  <c r="D173" i="2"/>
  <c r="G172" i="2"/>
  <c r="B28" i="10" s="1"/>
  <c r="F172" i="2"/>
  <c r="B28" i="9" s="1"/>
  <c r="E172" i="2"/>
  <c r="D172" i="2"/>
  <c r="H171" i="2"/>
  <c r="H27" i="5" s="1"/>
  <c r="G171" i="2"/>
  <c r="H27" i="4" s="1"/>
  <c r="F171" i="2"/>
  <c r="H27" i="3" s="1"/>
  <c r="E171" i="2"/>
  <c r="D171" i="2"/>
  <c r="C170" i="2"/>
  <c r="H170" i="2"/>
  <c r="G27" i="5" s="1"/>
  <c r="G170" i="2"/>
  <c r="G27" i="4" s="1"/>
  <c r="F170" i="2"/>
  <c r="G27" i="3" s="1"/>
  <c r="A170" i="2"/>
  <c r="C169" i="2"/>
  <c r="H169" i="2"/>
  <c r="F27" i="5" s="1"/>
  <c r="G169" i="2"/>
  <c r="F27" i="4" s="1"/>
  <c r="F169" i="2"/>
  <c r="F27" i="3" s="1"/>
  <c r="A169" i="2"/>
  <c r="C168" i="2"/>
  <c r="H168" i="2"/>
  <c r="E27" i="5" s="1"/>
  <c r="G168" i="2"/>
  <c r="E27" i="4" s="1"/>
  <c r="A168" i="2"/>
  <c r="C167" i="2"/>
  <c r="H167" i="2"/>
  <c r="D27" i="5" s="1"/>
  <c r="D167" i="2"/>
  <c r="A167" i="2"/>
  <c r="E166" i="2"/>
  <c r="D166" i="2"/>
  <c r="A166" i="2"/>
  <c r="F165" i="2"/>
  <c r="B27" i="9" s="1"/>
  <c r="E165" i="2"/>
  <c r="D165" i="2"/>
  <c r="G164" i="2"/>
  <c r="F164" i="2"/>
  <c r="E164" i="2"/>
  <c r="D164" i="2"/>
  <c r="H163" i="2"/>
  <c r="G163" i="2"/>
  <c r="F163" i="2"/>
  <c r="E163" i="2"/>
  <c r="D163" i="2"/>
  <c r="C162" i="2"/>
  <c r="H162" i="2"/>
  <c r="G162" i="2"/>
  <c r="F162" i="2"/>
  <c r="A162" i="2"/>
  <c r="C161" i="2"/>
  <c r="H161" i="2"/>
  <c r="G161" i="2"/>
  <c r="F161" i="2"/>
  <c r="A161" i="2"/>
  <c r="C160" i="2"/>
  <c r="H160" i="2"/>
  <c r="A160" i="2"/>
  <c r="C159" i="2"/>
  <c r="H159" i="2"/>
  <c r="D159" i="2"/>
  <c r="C158" i="2"/>
  <c r="E158" i="2"/>
  <c r="D158" i="2"/>
  <c r="A158" i="2"/>
  <c r="F157" i="2"/>
  <c r="E157" i="2"/>
  <c r="D157" i="2"/>
  <c r="G156" i="2"/>
  <c r="F156" i="2"/>
  <c r="E156" i="2"/>
  <c r="D156" i="2"/>
  <c r="H155" i="2"/>
  <c r="G155" i="2"/>
  <c r="F155" i="2"/>
  <c r="E155" i="2"/>
  <c r="D155" i="2"/>
  <c r="C154" i="2"/>
  <c r="H154" i="2"/>
  <c r="G154" i="2"/>
  <c r="F154" i="2"/>
  <c r="E154" i="2"/>
  <c r="A154" i="2"/>
  <c r="C153" i="2"/>
  <c r="H153" i="2"/>
  <c r="G153" i="2"/>
  <c r="F153" i="2"/>
  <c r="A153" i="2"/>
  <c r="C152" i="2"/>
  <c r="H152" i="2"/>
  <c r="A152" i="2"/>
  <c r="C151" i="2"/>
  <c r="H151" i="2"/>
  <c r="D151" i="2"/>
  <c r="C150" i="2"/>
  <c r="E150" i="2"/>
  <c r="D150" i="2"/>
  <c r="A150" i="2"/>
  <c r="F149" i="2"/>
  <c r="G25" i="3" s="1"/>
  <c r="E149" i="2"/>
  <c r="D149" i="2"/>
  <c r="G148" i="2"/>
  <c r="F25" i="4" s="1"/>
  <c r="F148" i="2"/>
  <c r="F25" i="3" s="1"/>
  <c r="E148" i="2"/>
  <c r="H147" i="2"/>
  <c r="E25" i="5" s="1"/>
  <c r="G147" i="2"/>
  <c r="E25" i="4" s="1"/>
  <c r="F147" i="2"/>
  <c r="E25" i="3" s="1"/>
  <c r="E147" i="2"/>
  <c r="D147" i="2"/>
  <c r="C146" i="2"/>
  <c r="H146" i="2"/>
  <c r="D25" i="5" s="1"/>
  <c r="G146" i="2"/>
  <c r="D25" i="4" s="1"/>
  <c r="F146" i="2"/>
  <c r="D25" i="3" s="1"/>
  <c r="A146" i="2"/>
  <c r="C145" i="2"/>
  <c r="H145" i="2"/>
  <c r="C25" i="5" s="1"/>
  <c r="G145" i="2"/>
  <c r="C25" i="4" s="1"/>
  <c r="F145" i="2"/>
  <c r="C25" i="3" s="1"/>
  <c r="A145" i="2"/>
  <c r="C144" i="2"/>
  <c r="A25" i="20" s="1"/>
  <c r="H144" i="2"/>
  <c r="G144" i="2"/>
  <c r="B25" i="10" s="1"/>
  <c r="A144" i="2"/>
  <c r="C143" i="2"/>
  <c r="H143" i="2"/>
  <c r="H24" i="5" s="1"/>
  <c r="D143" i="2"/>
  <c r="A143" i="2"/>
  <c r="C142" i="2"/>
  <c r="E142" i="2"/>
  <c r="D142" i="2"/>
  <c r="F141" i="2"/>
  <c r="F24" i="3" s="1"/>
  <c r="E141" i="2"/>
  <c r="D141" i="2"/>
  <c r="G140" i="2"/>
  <c r="E24" i="4" s="1"/>
  <c r="F140" i="2"/>
  <c r="E24" i="3" s="1"/>
  <c r="E140" i="2"/>
  <c r="D140" i="2"/>
  <c r="H139" i="2"/>
  <c r="D24" i="5" s="1"/>
  <c r="G139" i="2"/>
  <c r="D24" i="4" s="1"/>
  <c r="F139" i="2"/>
  <c r="D24" i="3" s="1"/>
  <c r="E139" i="2"/>
  <c r="C138" i="2"/>
  <c r="H138" i="2"/>
  <c r="C24" i="5" s="1"/>
  <c r="G138" i="2"/>
  <c r="C24" i="4" s="1"/>
  <c r="F138" i="2"/>
  <c r="C24" i="3" s="1"/>
  <c r="E138" i="2"/>
  <c r="A138" i="2"/>
  <c r="C137" i="2"/>
  <c r="A24" i="20" s="1"/>
  <c r="H137" i="2"/>
  <c r="G137" i="2"/>
  <c r="B24" i="10" s="1"/>
  <c r="A137" i="2"/>
  <c r="C136" i="2"/>
  <c r="H136" i="2"/>
  <c r="A136" i="2"/>
  <c r="C135" i="2"/>
  <c r="H135" i="2"/>
  <c r="D135" i="2"/>
  <c r="C134" i="2"/>
  <c r="E134" i="2"/>
  <c r="D134" i="2"/>
  <c r="A134" i="2"/>
  <c r="F133" i="2"/>
  <c r="E23" i="9" s="1"/>
  <c r="G132" i="2"/>
  <c r="D23" i="10" s="1"/>
  <c r="F132" i="2"/>
  <c r="D23" i="9" s="1"/>
  <c r="E132" i="2"/>
  <c r="D132" i="2"/>
  <c r="H131" i="2"/>
  <c r="G131" i="2"/>
  <c r="C23" i="10" s="1"/>
  <c r="F131" i="2"/>
  <c r="C23" i="9" s="1"/>
  <c r="E131" i="2"/>
  <c r="D131" i="2"/>
  <c r="C130" i="2"/>
  <c r="A23" i="20" s="1"/>
  <c r="H130" i="2"/>
  <c r="G130" i="2"/>
  <c r="F130" i="2"/>
  <c r="E130" i="2"/>
  <c r="A130" i="2"/>
  <c r="C129" i="2"/>
  <c r="H129" i="2"/>
  <c r="G129" i="2"/>
  <c r="F129" i="2"/>
  <c r="A129" i="2"/>
  <c r="C128" i="2"/>
  <c r="H128" i="2"/>
  <c r="A128" i="2"/>
  <c r="C127" i="2"/>
  <c r="H127" i="2"/>
  <c r="D127" i="2"/>
  <c r="A127" i="2"/>
  <c r="C126" i="2"/>
  <c r="E126" i="2"/>
  <c r="D126" i="2"/>
  <c r="A126" i="2"/>
  <c r="F125" i="2"/>
  <c r="D22" i="9" s="1"/>
  <c r="E125" i="2"/>
  <c r="D125" i="2"/>
  <c r="G124" i="2"/>
  <c r="C22" i="10" s="1"/>
  <c r="F124" i="2"/>
  <c r="C22" i="9" s="1"/>
  <c r="E124" i="2"/>
  <c r="H123" i="2"/>
  <c r="G123" i="2"/>
  <c r="F123" i="2"/>
  <c r="E123" i="2"/>
  <c r="D123" i="2"/>
  <c r="C122" i="2"/>
  <c r="H122" i="2"/>
  <c r="H21" i="5" s="1"/>
  <c r="G122" i="2"/>
  <c r="H21" i="4" s="1"/>
  <c r="F122" i="2"/>
  <c r="H21" i="3" s="1"/>
  <c r="A122" i="2"/>
  <c r="C121" i="2"/>
  <c r="H121" i="2"/>
  <c r="G21" i="5" s="1"/>
  <c r="G121" i="2"/>
  <c r="G21" i="4" s="1"/>
  <c r="F121" i="2"/>
  <c r="G21" i="3" s="1"/>
  <c r="A121" i="2"/>
  <c r="C120" i="2"/>
  <c r="H120" i="2"/>
  <c r="F21" i="5" s="1"/>
  <c r="G120" i="2"/>
  <c r="F21" i="4" s="1"/>
  <c r="A120" i="2"/>
  <c r="C119" i="2"/>
  <c r="H119" i="2"/>
  <c r="E21" i="5" s="1"/>
  <c r="D119" i="2"/>
  <c r="A119" i="2"/>
  <c r="C118" i="2"/>
  <c r="E118" i="2"/>
  <c r="D118" i="2"/>
  <c r="A118" i="2"/>
  <c r="F117" i="2"/>
  <c r="C21" i="3" s="1"/>
  <c r="E117" i="2"/>
  <c r="D117" i="2"/>
  <c r="G116" i="2"/>
  <c r="B21" i="10" s="1"/>
  <c r="F116" i="2"/>
  <c r="B21" i="9" s="1"/>
  <c r="E116" i="2"/>
  <c r="D116" i="2"/>
  <c r="H115" i="2"/>
  <c r="H20" i="5" s="1"/>
  <c r="G115" i="2"/>
  <c r="H20" i="4" s="1"/>
  <c r="F115" i="2"/>
  <c r="H20" i="3" s="1"/>
  <c r="E115" i="2"/>
  <c r="D115" i="2"/>
  <c r="C114" i="2"/>
  <c r="H114" i="2"/>
  <c r="G20" i="5" s="1"/>
  <c r="G114" i="2"/>
  <c r="G20" i="4" s="1"/>
  <c r="F114" i="2"/>
  <c r="G20" i="3" s="1"/>
  <c r="A114" i="2"/>
  <c r="C113" i="2"/>
  <c r="H113" i="2"/>
  <c r="F20" i="5" s="1"/>
  <c r="G113" i="2"/>
  <c r="F20" i="4" s="1"/>
  <c r="F113" i="2"/>
  <c r="F20" i="3" s="1"/>
  <c r="A113" i="2"/>
  <c r="C112" i="2"/>
  <c r="H112" i="2"/>
  <c r="E20" i="5" s="1"/>
  <c r="G112" i="2"/>
  <c r="E20" i="4" s="1"/>
  <c r="A112" i="2"/>
  <c r="C111" i="2"/>
  <c r="H111" i="2"/>
  <c r="D20" i="5" s="1"/>
  <c r="D111" i="2"/>
  <c r="A111" i="2"/>
  <c r="C110" i="2"/>
  <c r="E110" i="2"/>
  <c r="D110" i="2"/>
  <c r="A110" i="2"/>
  <c r="F109" i="2"/>
  <c r="B20" i="9" s="1"/>
  <c r="E109" i="2"/>
  <c r="D109" i="2"/>
  <c r="G108" i="2"/>
  <c r="H19" i="4" s="1"/>
  <c r="F108" i="2"/>
  <c r="H19" i="3" s="1"/>
  <c r="E108" i="2"/>
  <c r="D108" i="2"/>
  <c r="H107" i="2"/>
  <c r="G19" i="5" s="1"/>
  <c r="G107" i="2"/>
  <c r="G19" i="4" s="1"/>
  <c r="F107" i="2"/>
  <c r="G19" i="3" s="1"/>
  <c r="E107" i="2"/>
  <c r="D107" i="2"/>
  <c r="C106" i="2"/>
  <c r="H106" i="2"/>
  <c r="F19" i="5" s="1"/>
  <c r="G106" i="2"/>
  <c r="F19" i="4" s="1"/>
  <c r="F106" i="2"/>
  <c r="F19" i="3" s="1"/>
  <c r="A106" i="2"/>
  <c r="C105" i="2"/>
  <c r="H105" i="2"/>
  <c r="E19" i="5" s="1"/>
  <c r="G105" i="2"/>
  <c r="E19" i="4" s="1"/>
  <c r="F105" i="2"/>
  <c r="E19" i="3" s="1"/>
  <c r="A105" i="2"/>
  <c r="C104" i="2"/>
  <c r="H104" i="2"/>
  <c r="D19" i="5" s="1"/>
  <c r="A104" i="2"/>
  <c r="C103" i="2"/>
  <c r="H103" i="2"/>
  <c r="C19" i="5" s="1"/>
  <c r="D103" i="2"/>
  <c r="A103" i="2"/>
  <c r="C102" i="2"/>
  <c r="A19" i="20" s="1"/>
  <c r="E102" i="2"/>
  <c r="D102" i="2"/>
  <c r="A102" i="2"/>
  <c r="F101" i="2"/>
  <c r="H18" i="3" s="1"/>
  <c r="E101" i="2"/>
  <c r="D101" i="2"/>
  <c r="G100" i="2"/>
  <c r="G18" i="4" s="1"/>
  <c r="F100" i="2"/>
  <c r="G18" i="3" s="1"/>
  <c r="E100" i="2"/>
  <c r="D100" i="2"/>
  <c r="H99" i="2"/>
  <c r="F18" i="5" s="1"/>
  <c r="G99" i="2"/>
  <c r="F18" i="4" s="1"/>
  <c r="F99" i="2"/>
  <c r="F18" i="3" s="1"/>
  <c r="E99" i="2"/>
  <c r="D99" i="2"/>
  <c r="C98" i="2"/>
  <c r="H98" i="2"/>
  <c r="E18" i="5" s="1"/>
  <c r="G98" i="2"/>
  <c r="E18" i="4" s="1"/>
  <c r="F98" i="2"/>
  <c r="E18" i="3" s="1"/>
  <c r="E98" i="2"/>
  <c r="A98" i="2"/>
  <c r="C97" i="2"/>
  <c r="H97" i="2"/>
  <c r="D18" i="5" s="1"/>
  <c r="G97" i="2"/>
  <c r="D18" i="4" s="1"/>
  <c r="F97" i="2"/>
  <c r="D18" i="3" s="1"/>
  <c r="A97" i="2"/>
  <c r="C96" i="2"/>
  <c r="H96" i="2"/>
  <c r="C18" i="5" s="1"/>
  <c r="A96" i="2"/>
  <c r="C95" i="2"/>
  <c r="A18" i="20" s="1"/>
  <c r="H95" i="2"/>
  <c r="D95" i="2"/>
  <c r="A95" i="2"/>
  <c r="C94" i="2"/>
  <c r="E94" i="2"/>
  <c r="D94" i="2"/>
  <c r="A94" i="2"/>
  <c r="F93" i="2"/>
  <c r="G17" i="3" s="1"/>
  <c r="E93" i="2"/>
  <c r="D93" i="2"/>
  <c r="G92" i="2"/>
  <c r="F17" i="4" s="1"/>
  <c r="F92" i="2"/>
  <c r="F17" i="3" s="1"/>
  <c r="E92" i="2"/>
  <c r="H91" i="2"/>
  <c r="E17" i="5" s="1"/>
  <c r="G91" i="2"/>
  <c r="E17" i="4" s="1"/>
  <c r="F91" i="2"/>
  <c r="E17" i="3" s="1"/>
  <c r="E91" i="2"/>
  <c r="D91" i="2"/>
  <c r="C90" i="2"/>
  <c r="H90" i="2"/>
  <c r="D17" i="5" s="1"/>
  <c r="G90" i="2"/>
  <c r="D17" i="4" s="1"/>
  <c r="F90" i="2"/>
  <c r="D17" i="3" s="1"/>
  <c r="A90" i="2"/>
  <c r="C89" i="2"/>
  <c r="H89" i="2"/>
  <c r="C17" i="5" s="1"/>
  <c r="G89" i="2"/>
  <c r="C17" i="4" s="1"/>
  <c r="F89" i="2"/>
  <c r="C17" i="3" s="1"/>
  <c r="A89" i="2"/>
  <c r="C88" i="2"/>
  <c r="A17" i="20" s="1"/>
  <c r="H88" i="2"/>
  <c r="G88" i="2"/>
  <c r="B17" i="10" s="1"/>
  <c r="A88" i="2"/>
  <c r="C87" i="2"/>
  <c r="H87" i="2"/>
  <c r="H16" i="5" s="1"/>
  <c r="D87" i="2"/>
  <c r="A87" i="2"/>
  <c r="C86" i="2"/>
  <c r="E86" i="2"/>
  <c r="D86" i="2"/>
  <c r="A86" i="2"/>
  <c r="F85" i="2"/>
  <c r="F16" i="3" s="1"/>
  <c r="E85" i="2"/>
  <c r="D85" i="2"/>
  <c r="G84" i="2"/>
  <c r="E16" i="4" s="1"/>
  <c r="F84" i="2"/>
  <c r="E16" i="3" s="1"/>
  <c r="E84" i="2"/>
  <c r="D84" i="2"/>
  <c r="H83" i="2"/>
  <c r="D16" i="5" s="1"/>
  <c r="G83" i="2"/>
  <c r="D16" i="4" s="1"/>
  <c r="F83" i="2"/>
  <c r="D16" i="3" s="1"/>
  <c r="E83" i="2"/>
  <c r="D83" i="2"/>
  <c r="C82" i="2"/>
  <c r="H82" i="2"/>
  <c r="C16" i="5" s="1"/>
  <c r="G82" i="2"/>
  <c r="C16" i="4" s="1"/>
  <c r="F82" i="2"/>
  <c r="C16" i="3" s="1"/>
  <c r="A82" i="2"/>
  <c r="C81" i="2"/>
  <c r="A16" i="20" s="1"/>
  <c r="H81" i="2"/>
  <c r="G81" i="2"/>
  <c r="B16" i="10" s="1"/>
  <c r="F81" i="2"/>
  <c r="B16" i="9" s="1"/>
  <c r="A81" i="2"/>
  <c r="A15" i="20" s="1"/>
  <c r="C80" i="2"/>
  <c r="H80" i="2"/>
  <c r="G80" i="2"/>
  <c r="A80" i="2"/>
  <c r="C79" i="2"/>
  <c r="H79" i="2"/>
  <c r="D79" i="2"/>
  <c r="A79" i="2"/>
  <c r="C78" i="2"/>
  <c r="E78" i="2"/>
  <c r="D78" i="2"/>
  <c r="A78" i="2"/>
  <c r="F77" i="2"/>
  <c r="E77" i="2"/>
  <c r="D77" i="2"/>
  <c r="G76" i="2"/>
  <c r="F76" i="2"/>
  <c r="E76" i="2"/>
  <c r="D76" i="2"/>
  <c r="H75" i="2"/>
  <c r="G75" i="2"/>
  <c r="F75" i="2"/>
  <c r="E75" i="2"/>
  <c r="D75" i="2"/>
  <c r="C74" i="2"/>
  <c r="H74" i="2"/>
  <c r="G74" i="2"/>
  <c r="F74" i="2"/>
  <c r="E74" i="2"/>
  <c r="A74" i="2"/>
  <c r="C73" i="2"/>
  <c r="H73" i="2"/>
  <c r="G73" i="2"/>
  <c r="F73" i="2"/>
  <c r="A73" i="2"/>
  <c r="C72" i="2"/>
  <c r="H72" i="2"/>
  <c r="A72" i="2"/>
  <c r="C71" i="2"/>
  <c r="H71" i="2"/>
  <c r="D71" i="2"/>
  <c r="A71" i="2"/>
  <c r="E70" i="2"/>
  <c r="D70" i="2"/>
  <c r="A70" i="2"/>
  <c r="F69" i="2"/>
  <c r="E69" i="2"/>
  <c r="D69" i="2"/>
  <c r="G68" i="2"/>
  <c r="F68" i="2"/>
  <c r="E68" i="2"/>
  <c r="H67" i="2"/>
  <c r="G67" i="2"/>
  <c r="F67" i="2"/>
  <c r="E67" i="2"/>
  <c r="D67" i="2"/>
  <c r="C66" i="2"/>
  <c r="H66" i="2"/>
  <c r="H14" i="5" s="1"/>
  <c r="G66" i="2"/>
  <c r="H14" i="4" s="1"/>
  <c r="F66" i="2"/>
  <c r="H14" i="3" s="1"/>
  <c r="A66" i="2"/>
  <c r="C65" i="2"/>
  <c r="H65" i="2"/>
  <c r="G14" i="5" s="1"/>
  <c r="G65" i="2"/>
  <c r="G14" i="4" s="1"/>
  <c r="F65" i="2"/>
  <c r="G14" i="3" s="1"/>
  <c r="A65" i="2"/>
  <c r="C64" i="2"/>
  <c r="H64" i="2"/>
  <c r="F14" i="5" s="1"/>
  <c r="G64" i="2"/>
  <c r="F14" i="4" s="1"/>
  <c r="A64" i="2"/>
  <c r="C63" i="2"/>
  <c r="H63" i="2"/>
  <c r="E14" i="5" s="1"/>
  <c r="D63" i="2"/>
  <c r="A63" i="2"/>
  <c r="C62" i="2"/>
  <c r="E62" i="2"/>
  <c r="D62" i="2"/>
  <c r="A62" i="2"/>
  <c r="F61" i="2"/>
  <c r="C14" i="3" s="1"/>
  <c r="E61" i="2"/>
  <c r="D61" i="2"/>
  <c r="G60" i="2"/>
  <c r="B14" i="10" s="1"/>
  <c r="F60" i="2"/>
  <c r="B14" i="9" s="1"/>
  <c r="E60" i="2"/>
  <c r="D60" i="2"/>
  <c r="H59" i="2"/>
  <c r="H13" i="5" s="1"/>
  <c r="G59" i="2"/>
  <c r="H13" i="4" s="1"/>
  <c r="F59" i="2"/>
  <c r="H13" i="3" s="1"/>
  <c r="E59" i="2"/>
  <c r="D59" i="2"/>
  <c r="C58" i="2"/>
  <c r="H58" i="2"/>
  <c r="G13" i="5" s="1"/>
  <c r="G58" i="2"/>
  <c r="G13" i="4" s="1"/>
  <c r="A58" i="2"/>
  <c r="C57" i="2"/>
  <c r="H57" i="2"/>
  <c r="F13" i="5" s="1"/>
  <c r="G57" i="2"/>
  <c r="F13" i="4" s="1"/>
  <c r="F57" i="2"/>
  <c r="F13" i="3" s="1"/>
  <c r="A57" i="2"/>
  <c r="C56" i="2"/>
  <c r="H56" i="2"/>
  <c r="E13" i="5" s="1"/>
  <c r="A56" i="2"/>
  <c r="C55" i="2"/>
  <c r="H55" i="2"/>
  <c r="D13" i="5" s="1"/>
  <c r="D55" i="2"/>
  <c r="A55" i="2"/>
  <c r="E54" i="2"/>
  <c r="D54" i="2"/>
  <c r="A54" i="2"/>
  <c r="F53" i="2"/>
  <c r="B13" i="9" s="1"/>
  <c r="E53" i="2"/>
  <c r="D53" i="2"/>
  <c r="G52" i="2"/>
  <c r="H12" i="4" s="1"/>
  <c r="F52" i="2"/>
  <c r="H12" i="3" s="1"/>
  <c r="E52" i="2"/>
  <c r="D52" i="2"/>
  <c r="H51" i="2"/>
  <c r="G12" i="5" s="1"/>
  <c r="G51" i="2"/>
  <c r="G12" i="4" s="1"/>
  <c r="F51" i="2"/>
  <c r="G12" i="3" s="1"/>
  <c r="E51" i="2"/>
  <c r="D51" i="2"/>
  <c r="C50" i="2"/>
  <c r="H50" i="2"/>
  <c r="F12" i="5" s="1"/>
  <c r="G50" i="2"/>
  <c r="F12" i="4" s="1"/>
  <c r="F50" i="2"/>
  <c r="F12" i="3" s="1"/>
  <c r="E50" i="2"/>
  <c r="A50" i="2"/>
  <c r="C49" i="2"/>
  <c r="H49" i="2"/>
  <c r="E12" i="5" s="1"/>
  <c r="G49" i="2"/>
  <c r="E12" i="4" s="1"/>
  <c r="F49" i="2"/>
  <c r="E12" i="3" s="1"/>
  <c r="A49" i="2"/>
  <c r="C48" i="2"/>
  <c r="A48" i="2"/>
  <c r="C47" i="2"/>
  <c r="H47" i="2"/>
  <c r="C12" i="5" s="1"/>
  <c r="D47" i="2"/>
  <c r="A47" i="2"/>
  <c r="C46" i="2"/>
  <c r="A12" i="20" s="1"/>
  <c r="A166" i="20" s="1"/>
  <c r="E46" i="2"/>
  <c r="D46" i="2"/>
  <c r="A46" i="2"/>
  <c r="F45" i="2"/>
  <c r="H10" i="3" s="1"/>
  <c r="E45" i="2"/>
  <c r="D45" i="2"/>
  <c r="F44" i="2"/>
  <c r="G10" i="3" s="1"/>
  <c r="E44" i="2"/>
  <c r="H43" i="2"/>
  <c r="F10" i="5" s="1"/>
  <c r="G43" i="2"/>
  <c r="F10" i="4" s="1"/>
  <c r="F43" i="2"/>
  <c r="F10" i="3" s="1"/>
  <c r="E43" i="2"/>
  <c r="D43" i="2"/>
  <c r="C42" i="2"/>
  <c r="H42" i="2"/>
  <c r="E10" i="5" s="1"/>
  <c r="G42" i="2"/>
  <c r="E10" i="4" s="1"/>
  <c r="F42" i="2"/>
  <c r="E10" i="3" s="1"/>
  <c r="A42" i="2"/>
  <c r="C41" i="2"/>
  <c r="H41" i="2"/>
  <c r="D10" i="5" s="1"/>
  <c r="G41" i="2"/>
  <c r="D10" i="4" s="1"/>
  <c r="F41" i="2"/>
  <c r="D10" i="3" s="1"/>
  <c r="A41" i="2"/>
  <c r="C40" i="2"/>
  <c r="H40" i="2"/>
  <c r="C10" i="5" s="1"/>
  <c r="G40" i="2"/>
  <c r="C10" i="4" s="1"/>
  <c r="A40" i="2"/>
  <c r="C39" i="2"/>
  <c r="A10" i="20" s="1"/>
  <c r="A164" i="20" s="1"/>
  <c r="H39" i="2"/>
  <c r="D39" i="2"/>
  <c r="A39" i="2"/>
  <c r="E38" i="2"/>
  <c r="D38" i="2"/>
  <c r="A38" i="2"/>
  <c r="F37" i="2"/>
  <c r="G9" i="3" s="1"/>
  <c r="E37" i="2"/>
  <c r="D37" i="2"/>
  <c r="G36" i="2"/>
  <c r="F9" i="4" s="1"/>
  <c r="F36" i="2"/>
  <c r="F9" i="3" s="1"/>
  <c r="E36" i="2"/>
  <c r="D36" i="2"/>
  <c r="H35" i="2"/>
  <c r="E9" i="5" s="1"/>
  <c r="G35" i="2"/>
  <c r="E9" i="4" s="1"/>
  <c r="F35" i="2"/>
  <c r="E9" i="3" s="1"/>
  <c r="E35" i="2"/>
  <c r="D35" i="2"/>
  <c r="C34" i="2"/>
  <c r="H34" i="2"/>
  <c r="D9" i="5" s="1"/>
  <c r="G34" i="2"/>
  <c r="D9" i="4" s="1"/>
  <c r="A34" i="2"/>
  <c r="C33" i="2"/>
  <c r="H33" i="2"/>
  <c r="C9" i="5" s="1"/>
  <c r="G33" i="2"/>
  <c r="C9" i="4" s="1"/>
  <c r="F33" i="2"/>
  <c r="C9" i="3" s="1"/>
  <c r="A33" i="2"/>
  <c r="C32" i="2"/>
  <c r="A9" i="20" s="1"/>
  <c r="A163" i="20" s="1"/>
  <c r="H32" i="2"/>
  <c r="A32" i="2"/>
  <c r="C31" i="2"/>
  <c r="H31" i="2"/>
  <c r="H8" i="5" s="1"/>
  <c r="D31" i="2"/>
  <c r="A31" i="2"/>
  <c r="C30" i="2"/>
  <c r="E30" i="2"/>
  <c r="D30" i="2"/>
  <c r="A30" i="2"/>
  <c r="F29" i="2"/>
  <c r="F8" i="3" s="1"/>
  <c r="E29" i="2"/>
  <c r="D29" i="2"/>
  <c r="G28" i="2"/>
  <c r="E8" i="4" s="1"/>
  <c r="F28" i="2"/>
  <c r="E8" i="3" s="1"/>
  <c r="E28" i="2"/>
  <c r="D28" i="2"/>
  <c r="H27" i="2"/>
  <c r="D8" i="5" s="1"/>
  <c r="G27" i="2"/>
  <c r="D8" i="4" s="1"/>
  <c r="F27" i="2"/>
  <c r="D8" i="3" s="1"/>
  <c r="E27" i="2"/>
  <c r="D27" i="2"/>
  <c r="C26" i="2"/>
  <c r="H26" i="2"/>
  <c r="C8" i="5" s="1"/>
  <c r="G26" i="2"/>
  <c r="C8" i="4" s="1"/>
  <c r="F26" i="2"/>
  <c r="C8" i="3" s="1"/>
  <c r="E26" i="2"/>
  <c r="A26" i="2"/>
  <c r="C25" i="2"/>
  <c r="A8" i="20" s="1"/>
  <c r="A162" i="20" s="1"/>
  <c r="H25" i="2"/>
  <c r="G25" i="2"/>
  <c r="B8" i="10" s="1"/>
  <c r="F25" i="2"/>
  <c r="B8" i="9" s="1"/>
  <c r="A25" i="2"/>
  <c r="C24" i="2"/>
  <c r="A24" i="2"/>
  <c r="C23" i="2"/>
  <c r="H23" i="2"/>
  <c r="G7" i="5" s="1"/>
  <c r="D23" i="2"/>
  <c r="A23" i="2"/>
  <c r="C22" i="2"/>
  <c r="E22" i="2"/>
  <c r="D22" i="2"/>
  <c r="A22" i="2"/>
  <c r="F21" i="2"/>
  <c r="E7" i="3" s="1"/>
  <c r="E21" i="2"/>
  <c r="D21" i="2"/>
  <c r="G20" i="2"/>
  <c r="D7" i="4" s="1"/>
  <c r="F20" i="2"/>
  <c r="D7" i="3" s="1"/>
  <c r="E20" i="2"/>
  <c r="D20" i="2"/>
  <c r="H19" i="2"/>
  <c r="C7" i="5" s="1"/>
  <c r="G19" i="2"/>
  <c r="C7" i="4" s="1"/>
  <c r="F19" i="2"/>
  <c r="C7" i="3" s="1"/>
  <c r="E19" i="2"/>
  <c r="D19" i="2"/>
  <c r="C18" i="2"/>
  <c r="A7" i="20" s="1"/>
  <c r="A161" i="20" s="1"/>
  <c r="H18" i="2"/>
  <c r="G18" i="2"/>
  <c r="B7" i="10" s="1"/>
  <c r="F18" i="2"/>
  <c r="B7" i="9" s="1"/>
  <c r="E18" i="2"/>
  <c r="A18" i="2"/>
  <c r="C17" i="2"/>
  <c r="H17" i="2"/>
  <c r="H6" i="5" s="1"/>
  <c r="G17" i="2"/>
  <c r="H6" i="4" s="1"/>
  <c r="A17" i="2"/>
  <c r="C16" i="2"/>
  <c r="H16" i="2"/>
  <c r="G6" i="5" s="1"/>
  <c r="G16" i="2"/>
  <c r="G6" i="4" s="1"/>
  <c r="A16" i="2"/>
  <c r="C15" i="2"/>
  <c r="D15" i="2"/>
  <c r="A15" i="2"/>
  <c r="C14" i="2"/>
  <c r="E14" i="2"/>
  <c r="D14" i="2"/>
  <c r="F13" i="2"/>
  <c r="D6" i="3" s="1"/>
  <c r="E13" i="2"/>
  <c r="D13" i="2"/>
  <c r="G12" i="2"/>
  <c r="C6" i="4" s="1"/>
  <c r="F12" i="2"/>
  <c r="C6" i="3" s="1"/>
  <c r="E12" i="2"/>
  <c r="D12" i="2"/>
  <c r="H11" i="2"/>
  <c r="G11" i="2"/>
  <c r="B6" i="10" s="1"/>
  <c r="F11" i="2"/>
  <c r="B6" i="9" s="1"/>
  <c r="E11" i="2"/>
  <c r="C10" i="2"/>
  <c r="H10" i="2"/>
  <c r="H5" i="5" s="1"/>
  <c r="G10" i="2"/>
  <c r="H5" i="4" s="1"/>
  <c r="F10" i="2"/>
  <c r="H5" i="3" s="1"/>
  <c r="E10" i="2"/>
  <c r="A10" i="2"/>
  <c r="C9" i="2"/>
  <c r="H9" i="2"/>
  <c r="G5" i="5" s="1"/>
  <c r="G9" i="2"/>
  <c r="G5" i="4" s="1"/>
  <c r="G3" i="3"/>
  <c r="A9" i="2"/>
  <c r="C8" i="2"/>
  <c r="H8" i="2"/>
  <c r="F5" i="5" s="1"/>
  <c r="G8" i="2"/>
  <c r="F5" i="4" s="1"/>
  <c r="F3" i="3"/>
  <c r="A8" i="2"/>
  <c r="C7" i="2"/>
  <c r="H7" i="2"/>
  <c r="E5" i="5" s="1"/>
  <c r="D7" i="2"/>
  <c r="E3" i="3"/>
  <c r="A7" i="2"/>
  <c r="C6" i="2"/>
  <c r="E6" i="2"/>
  <c r="D6" i="2"/>
  <c r="D3" i="3"/>
  <c r="A6" i="2"/>
  <c r="F5" i="2"/>
  <c r="C5" i="3" s="1"/>
  <c r="E5" i="2"/>
  <c r="D5" i="2"/>
  <c r="G4" i="2"/>
  <c r="B5" i="10" s="1"/>
  <c r="F4" i="2"/>
  <c r="B5" i="9" s="1"/>
  <c r="E4" i="2"/>
  <c r="D4" i="2"/>
  <c r="C1074" i="2"/>
  <c r="H1074" i="2"/>
  <c r="G1074" i="2"/>
  <c r="D1074" i="2"/>
  <c r="F1073" i="2"/>
  <c r="E1073" i="2"/>
  <c r="F1072" i="2"/>
  <c r="G1071" i="2"/>
  <c r="C1070" i="2"/>
  <c r="H1070" i="2"/>
  <c r="A1070" i="2"/>
  <c r="C1069" i="2"/>
  <c r="H1067" i="2"/>
  <c r="D1066" i="2"/>
  <c r="F1065" i="2"/>
  <c r="E1065" i="2"/>
  <c r="F1064" i="2"/>
  <c r="G1063" i="2"/>
  <c r="A1061" i="2"/>
  <c r="E1057" i="2"/>
  <c r="G1056" i="2"/>
  <c r="D157" i="4" s="1"/>
  <c r="F1056" i="2"/>
  <c r="D157" i="3" s="1"/>
  <c r="H1055" i="2"/>
  <c r="C157" i="5" s="1"/>
  <c r="G1055" i="2"/>
  <c r="C157" i="4" s="1"/>
  <c r="C1053" i="2"/>
  <c r="A1053" i="2"/>
  <c r="G1052" i="2"/>
  <c r="G155" i="4" s="1"/>
  <c r="D1051" i="2"/>
  <c r="E1050" i="2"/>
  <c r="D1050" i="2"/>
  <c r="E1049" i="2"/>
  <c r="F1048" i="2"/>
  <c r="C155" i="3" s="1"/>
  <c r="H1047" i="2"/>
  <c r="G1047" i="2"/>
  <c r="B155" i="10" s="1"/>
  <c r="C1046" i="2"/>
  <c r="C1045" i="2"/>
  <c r="A1045" i="2"/>
  <c r="D1042" i="2"/>
  <c r="F1041" i="2"/>
  <c r="C153" i="3" s="1"/>
  <c r="E1041" i="2"/>
  <c r="G1040" i="2"/>
  <c r="B153" i="10" s="1"/>
  <c r="F1040" i="2"/>
  <c r="B153" i="9" s="1"/>
  <c r="G1039" i="2"/>
  <c r="H152" i="4" s="1"/>
  <c r="H1038" i="2"/>
  <c r="G152" i="5" s="1"/>
  <c r="C1037" i="2"/>
  <c r="E1034" i="2"/>
  <c r="D1034" i="2"/>
  <c r="E1033" i="2"/>
  <c r="F1032" i="2"/>
  <c r="H151" i="3" s="1"/>
  <c r="G1031" i="2"/>
  <c r="G151" i="4" s="1"/>
  <c r="A1030" i="2"/>
  <c r="D1027" i="2"/>
  <c r="E1026" i="2"/>
  <c r="D1026" i="2"/>
  <c r="E1025" i="2"/>
  <c r="F1024" i="2"/>
  <c r="G150" i="3" s="1"/>
  <c r="G1023" i="2"/>
  <c r="F150" i="4" s="1"/>
  <c r="C1022" i="2"/>
  <c r="H1022" i="2"/>
  <c r="E150" i="5" s="1"/>
  <c r="C1021" i="2"/>
  <c r="A1021" i="2"/>
  <c r="E1018" i="2"/>
  <c r="F1017" i="2"/>
  <c r="G149" i="3" s="1"/>
  <c r="E1017" i="2"/>
  <c r="G1016" i="2"/>
  <c r="F149" i="4" s="1"/>
  <c r="F1016" i="2"/>
  <c r="F149" i="3" s="1"/>
  <c r="G1015" i="2"/>
  <c r="E149" i="4" s="1"/>
  <c r="H1014" i="2"/>
  <c r="D149" i="5" s="1"/>
  <c r="C1013" i="2"/>
  <c r="A1013" i="2"/>
  <c r="D1010" i="2"/>
  <c r="F1008" i="2"/>
  <c r="E148" i="3" s="1"/>
  <c r="H1007" i="2"/>
  <c r="D148" i="5" s="1"/>
  <c r="G1007" i="2"/>
  <c r="D148" i="4" s="1"/>
  <c r="H1006" i="2"/>
  <c r="C148" i="5" s="1"/>
  <c r="C1005" i="2"/>
  <c r="A148" i="20" s="1"/>
  <c r="D1002" i="2"/>
  <c r="F1001" i="2"/>
  <c r="E1001" i="2"/>
  <c r="F1000" i="2"/>
  <c r="H999" i="2"/>
  <c r="G999" i="2"/>
  <c r="H998" i="2"/>
  <c r="C997" i="2"/>
  <c r="A997" i="2"/>
  <c r="E994" i="2"/>
  <c r="D994" i="2"/>
  <c r="F993" i="2"/>
  <c r="E993" i="2"/>
  <c r="F992" i="2"/>
  <c r="G991" i="2"/>
  <c r="C990" i="2"/>
  <c r="A990" i="2"/>
  <c r="C989" i="2"/>
  <c r="A989" i="2"/>
  <c r="D986" i="2"/>
  <c r="F985" i="2"/>
  <c r="C146" i="3" s="1"/>
  <c r="E985" i="2"/>
  <c r="G984" i="2"/>
  <c r="B146" i="10" s="1"/>
  <c r="F984" i="2"/>
  <c r="B146" i="9" s="1"/>
  <c r="G983" i="2"/>
  <c r="H144" i="4" s="1"/>
  <c r="C981" i="2"/>
  <c r="A981" i="2"/>
  <c r="D979" i="2"/>
  <c r="E978" i="2"/>
  <c r="D978" i="2"/>
  <c r="E977" i="2"/>
  <c r="F976" i="2"/>
  <c r="H142" i="3" s="1"/>
  <c r="G975" i="2"/>
  <c r="G142" i="4" s="1"/>
  <c r="H974" i="2"/>
  <c r="F142" i="5" s="1"/>
  <c r="A974" i="2"/>
  <c r="C973" i="2"/>
  <c r="A973" i="2"/>
  <c r="D970" i="2"/>
  <c r="F969" i="2"/>
  <c r="H141" i="3" s="1"/>
  <c r="F968" i="2"/>
  <c r="G141" i="3" s="1"/>
  <c r="G967" i="2"/>
  <c r="F141" i="4" s="1"/>
  <c r="A966" i="2"/>
  <c r="A965" i="2"/>
  <c r="E961" i="2"/>
  <c r="G960" i="2"/>
  <c r="F140" i="4" s="1"/>
  <c r="F960" i="2"/>
  <c r="F140" i="3" s="1"/>
  <c r="H959" i="2"/>
  <c r="E140" i="5" s="1"/>
  <c r="G959" i="2"/>
  <c r="E140" i="4" s="1"/>
  <c r="H958" i="2"/>
  <c r="D140" i="5" s="1"/>
  <c r="C957" i="2"/>
  <c r="A957" i="2"/>
  <c r="D955" i="2"/>
  <c r="F953" i="2"/>
  <c r="F139" i="3" s="1"/>
  <c r="E953" i="2"/>
  <c r="G952" i="2"/>
  <c r="E139" i="4" s="1"/>
  <c r="F952" i="2"/>
  <c r="E139" i="3" s="1"/>
  <c r="G951" i="2"/>
  <c r="D139" i="4" s="1"/>
  <c r="H950" i="2"/>
  <c r="C139" i="5" s="1"/>
  <c r="A949" i="2"/>
  <c r="F944" i="2"/>
  <c r="D138" i="3" s="1"/>
  <c r="G943" i="2"/>
  <c r="C138" i="4" s="1"/>
  <c r="H942" i="2"/>
  <c r="C941" i="2"/>
  <c r="A941" i="2"/>
  <c r="D939" i="2"/>
  <c r="D938" i="2"/>
  <c r="F937" i="2"/>
  <c r="D137" i="3" s="1"/>
  <c r="F936" i="2"/>
  <c r="C137" i="3" s="1"/>
  <c r="G935" i="2"/>
  <c r="B137" i="10" s="1"/>
  <c r="H934" i="2"/>
  <c r="C933" i="2"/>
  <c r="A933" i="2"/>
  <c r="F928" i="2"/>
  <c r="G927" i="2"/>
  <c r="C926" i="2"/>
  <c r="H926" i="2"/>
  <c r="A925" i="2"/>
  <c r="D922" i="2"/>
  <c r="E921" i="2"/>
  <c r="G920" i="2"/>
  <c r="H135" i="4" s="1"/>
  <c r="F920" i="2"/>
  <c r="H135" i="3" s="1"/>
  <c r="G919" i="2"/>
  <c r="G135" i="4" s="1"/>
  <c r="H918" i="2"/>
  <c r="F135" i="5" s="1"/>
  <c r="C917" i="2"/>
  <c r="A917" i="2"/>
  <c r="D914" i="2"/>
  <c r="F913" i="2"/>
  <c r="G912" i="2"/>
  <c r="G133" i="10" s="1"/>
  <c r="G133" i="16" s="1"/>
  <c r="F912" i="2"/>
  <c r="G133" i="9" s="1"/>
  <c r="G133" i="18" s="1"/>
  <c r="G911" i="2"/>
  <c r="F133" i="10" s="1"/>
  <c r="F133" i="16" s="1"/>
  <c r="H910" i="2"/>
  <c r="C909" i="2"/>
  <c r="D907" i="2"/>
  <c r="D906" i="2"/>
  <c r="E905" i="2"/>
  <c r="G904" i="2"/>
  <c r="F132" i="10" s="1"/>
  <c r="F904" i="2"/>
  <c r="F132" i="9" s="1"/>
  <c r="F132" i="18" s="1"/>
  <c r="H903" i="2"/>
  <c r="G903" i="2"/>
  <c r="E132" i="10" s="1"/>
  <c r="C902" i="2"/>
  <c r="C901" i="2"/>
  <c r="A901" i="2"/>
  <c r="E898" i="2"/>
  <c r="D898" i="2"/>
  <c r="F897" i="2"/>
  <c r="F131" i="3" s="1"/>
  <c r="E897" i="2"/>
  <c r="F896" i="2"/>
  <c r="E131" i="3" s="1"/>
  <c r="G895" i="2"/>
  <c r="D131" i="4" s="1"/>
  <c r="C893" i="2"/>
  <c r="A131" i="20" s="1"/>
  <c r="E889" i="2"/>
  <c r="G888" i="2"/>
  <c r="D130" i="4" s="1"/>
  <c r="F888" i="2"/>
  <c r="D130" i="3" s="1"/>
  <c r="G887" i="2"/>
  <c r="C130" i="4" s="1"/>
  <c r="H886" i="2"/>
  <c r="C885" i="2"/>
  <c r="A885" i="2"/>
  <c r="G884" i="2"/>
  <c r="G129" i="4" s="1"/>
  <c r="D882" i="2"/>
  <c r="E881" i="2"/>
  <c r="G879" i="2"/>
  <c r="B129" i="10" s="1"/>
  <c r="H878" i="2"/>
  <c r="H128" i="5" s="1"/>
  <c r="C877" i="2"/>
  <c r="A877" i="2"/>
  <c r="F872" i="2"/>
  <c r="B128" i="9" s="1"/>
  <c r="H871" i="2"/>
  <c r="H127" i="5" s="1"/>
  <c r="G871" i="2"/>
  <c r="H127" i="4" s="1"/>
  <c r="H870" i="2"/>
  <c r="G127" i="5" s="1"/>
  <c r="C869" i="2"/>
  <c r="A869" i="2"/>
  <c r="D866" i="2"/>
  <c r="E865" i="2"/>
  <c r="G863" i="2"/>
  <c r="G126" i="4" s="1"/>
  <c r="C862" i="2"/>
  <c r="A862" i="2"/>
  <c r="C861" i="2"/>
  <c r="A861" i="2"/>
  <c r="E858" i="2"/>
  <c r="D858" i="2"/>
  <c r="F857" i="2"/>
  <c r="G856" i="2"/>
  <c r="G855" i="2"/>
  <c r="H854" i="2"/>
  <c r="A853" i="2"/>
  <c r="D851" i="2"/>
  <c r="D850" i="2"/>
  <c r="E849" i="2"/>
  <c r="F848" i="2"/>
  <c r="G847" i="2"/>
  <c r="C846" i="2"/>
  <c r="H846" i="2"/>
  <c r="A846" i="2"/>
  <c r="A845" i="2"/>
  <c r="D842" i="2"/>
  <c r="F841" i="2"/>
  <c r="F124" i="3" s="1"/>
  <c r="G840" i="2"/>
  <c r="E124" i="4" s="1"/>
  <c r="F840" i="2"/>
  <c r="E124" i="3" s="1"/>
  <c r="A838" i="2"/>
  <c r="C837" i="2"/>
  <c r="A124" i="20" s="1"/>
  <c r="D834" i="2"/>
  <c r="E833" i="2"/>
  <c r="G832" i="2"/>
  <c r="D122" i="4" s="1"/>
  <c r="H831" i="2"/>
  <c r="C122" i="5" s="1"/>
  <c r="G831" i="2"/>
  <c r="C122" i="4" s="1"/>
  <c r="C829" i="2"/>
  <c r="A829" i="2"/>
  <c r="D827" i="2"/>
  <c r="E826" i="2"/>
  <c r="D826" i="2"/>
  <c r="E825" i="2"/>
  <c r="G823" i="2"/>
  <c r="B120" i="10" s="1"/>
  <c r="A821" i="2"/>
  <c r="E817" i="2"/>
  <c r="G816" i="2"/>
  <c r="B119" i="10" s="1"/>
  <c r="F816" i="2"/>
  <c r="B119" i="9" s="1"/>
  <c r="G815" i="2"/>
  <c r="H118" i="4" s="1"/>
  <c r="H814" i="2"/>
  <c r="G118" i="5" s="1"/>
  <c r="A813" i="2"/>
  <c r="E810" i="2"/>
  <c r="E809" i="2"/>
  <c r="G807" i="2"/>
  <c r="G117" i="4" s="1"/>
  <c r="C806" i="2"/>
  <c r="H806" i="2"/>
  <c r="F117" i="5" s="1"/>
  <c r="A806" i="2"/>
  <c r="C805" i="2"/>
  <c r="E801" i="2"/>
  <c r="G800" i="2"/>
  <c r="G116" i="4" s="1"/>
  <c r="F800" i="2"/>
  <c r="G116" i="3" s="1"/>
  <c r="G799" i="2"/>
  <c r="F116" i="4" s="1"/>
  <c r="H798" i="2"/>
  <c r="E116" i="5" s="1"/>
  <c r="C797" i="2"/>
  <c r="A797" i="2"/>
  <c r="D795" i="2"/>
  <c r="D794" i="2"/>
  <c r="E793" i="2"/>
  <c r="G792" i="2"/>
  <c r="F115" i="4" s="1"/>
  <c r="H791" i="2"/>
  <c r="E115" i="5" s="1"/>
  <c r="G791" i="2"/>
  <c r="E115" i="4" s="1"/>
  <c r="H790" i="2"/>
  <c r="D115" i="5" s="1"/>
  <c r="C789" i="2"/>
  <c r="D787" i="2"/>
  <c r="E786" i="2"/>
  <c r="D786" i="2"/>
  <c r="F784" i="2"/>
  <c r="H782" i="2"/>
  <c r="A782" i="2"/>
  <c r="D779" i="2"/>
  <c r="D778" i="2"/>
  <c r="E777" i="2"/>
  <c r="F776" i="2"/>
  <c r="H775" i="2"/>
  <c r="C774" i="2"/>
  <c r="H774" i="2"/>
  <c r="C773" i="2"/>
  <c r="A773" i="2"/>
  <c r="E770" i="2"/>
  <c r="E769" i="2"/>
  <c r="F768" i="2"/>
  <c r="C113" i="3" s="1"/>
  <c r="H767" i="2"/>
  <c r="C766" i="2"/>
  <c r="A765" i="2"/>
  <c r="D762" i="2"/>
  <c r="F761" i="2"/>
  <c r="C111" i="3" s="1"/>
  <c r="E761" i="2"/>
  <c r="G760" i="2"/>
  <c r="B111" i="10" s="1"/>
  <c r="H758" i="2"/>
  <c r="G110" i="5" s="1"/>
  <c r="A757" i="2"/>
  <c r="G754" i="2"/>
  <c r="C110" i="4" s="1"/>
  <c r="E754" i="2"/>
  <c r="D754" i="2"/>
  <c r="E753" i="2"/>
  <c r="G751" i="2"/>
  <c r="G109" i="4" s="1"/>
  <c r="C749" i="2"/>
  <c r="A749" i="2"/>
  <c r="E745" i="2"/>
  <c r="G743" i="2"/>
  <c r="F108" i="4" s="1"/>
  <c r="C741" i="2"/>
  <c r="A741" i="2"/>
  <c r="E738" i="2"/>
  <c r="F737" i="2"/>
  <c r="G107" i="3" s="1"/>
  <c r="E737" i="2"/>
  <c r="F736" i="2"/>
  <c r="F107" i="3" s="1"/>
  <c r="H734" i="2"/>
  <c r="D107" i="5" s="1"/>
  <c r="C733" i="2"/>
  <c r="A733" i="2"/>
  <c r="D731" i="2"/>
  <c r="E729" i="2"/>
  <c r="C726" i="2"/>
  <c r="H726" i="2"/>
  <c r="C106" i="5" s="1"/>
  <c r="A726" i="2"/>
  <c r="A725" i="2"/>
  <c r="D722" i="2"/>
  <c r="E721" i="2"/>
  <c r="F720" i="2"/>
  <c r="D105" i="3" s="1"/>
  <c r="A718" i="2"/>
  <c r="A717" i="2"/>
  <c r="E713" i="2"/>
  <c r="F712" i="2"/>
  <c r="C104" i="3" s="1"/>
  <c r="G711" i="2"/>
  <c r="B104" i="10" s="1"/>
  <c r="C710" i="2"/>
  <c r="A710" i="2"/>
  <c r="C709" i="2"/>
  <c r="A709" i="2"/>
  <c r="F705" i="2"/>
  <c r="E705" i="2"/>
  <c r="G704" i="2"/>
  <c r="F704" i="2"/>
  <c r="A701" i="2"/>
  <c r="D699" i="2"/>
  <c r="E698" i="2"/>
  <c r="D698" i="2"/>
  <c r="E697" i="2"/>
  <c r="F696" i="2"/>
  <c r="H102" i="3" s="1"/>
  <c r="G695" i="2"/>
  <c r="G102" i="4" s="1"/>
  <c r="H694" i="2"/>
  <c r="F102" i="5" s="1"/>
  <c r="A694" i="2"/>
  <c r="A693" i="2"/>
  <c r="E689" i="2"/>
  <c r="G688" i="2"/>
  <c r="G101" i="4" s="1"/>
  <c r="F688" i="2"/>
  <c r="G101" i="3" s="1"/>
  <c r="C685" i="2"/>
  <c r="A685" i="2"/>
  <c r="E682" i="2"/>
  <c r="F681" i="2"/>
  <c r="G100" i="9" s="1"/>
  <c r="E681" i="2"/>
  <c r="G679" i="2"/>
  <c r="E100" i="10" s="1"/>
  <c r="A677" i="2"/>
  <c r="E674" i="2"/>
  <c r="D674" i="2"/>
  <c r="E673" i="2"/>
  <c r="G672" i="2"/>
  <c r="E99" i="10" s="1"/>
  <c r="F672" i="2"/>
  <c r="E99" i="9" s="1"/>
  <c r="A669" i="2"/>
  <c r="D667" i="2"/>
  <c r="E666" i="2"/>
  <c r="D666" i="2"/>
  <c r="F665" i="2"/>
  <c r="E98" i="3" s="1"/>
  <c r="E665" i="2"/>
  <c r="G663" i="2"/>
  <c r="C98" i="4" s="1"/>
  <c r="H662" i="2"/>
  <c r="A662" i="2"/>
  <c r="A661" i="2"/>
  <c r="E657" i="2"/>
  <c r="G656" i="2"/>
  <c r="C97" i="4" s="1"/>
  <c r="F656" i="2"/>
  <c r="C97" i="3" s="1"/>
  <c r="G655" i="2"/>
  <c r="B97" i="10" s="1"/>
  <c r="H654" i="2"/>
  <c r="H96" i="5" s="1"/>
  <c r="C653" i="2"/>
  <c r="A653" i="2"/>
  <c r="D651" i="2"/>
  <c r="D650" i="2"/>
  <c r="E649" i="2"/>
  <c r="F648" i="2"/>
  <c r="B96" i="9" s="1"/>
  <c r="G647" i="2"/>
  <c r="H95" i="4" s="1"/>
  <c r="C646" i="2"/>
  <c r="A646" i="2"/>
  <c r="A645" i="2"/>
  <c r="E641" i="2"/>
  <c r="F640" i="2"/>
  <c r="H94" i="3" s="1"/>
  <c r="G639" i="2"/>
  <c r="G94" i="4" s="1"/>
  <c r="A638" i="2"/>
  <c r="A637" i="2"/>
  <c r="E633" i="2"/>
  <c r="F632" i="2"/>
  <c r="G93" i="3" s="1"/>
  <c r="C629" i="2"/>
  <c r="A629" i="2"/>
  <c r="E626" i="2"/>
  <c r="D626" i="2"/>
  <c r="E625" i="2"/>
  <c r="G623" i="2"/>
  <c r="H622" i="2"/>
  <c r="A621" i="2"/>
  <c r="D619" i="2"/>
  <c r="E618" i="2"/>
  <c r="D618" i="2"/>
  <c r="E617" i="2"/>
  <c r="F616" i="2"/>
  <c r="G615" i="2"/>
  <c r="C614" i="2"/>
  <c r="A614" i="2"/>
  <c r="A613" i="2"/>
  <c r="D611" i="2"/>
  <c r="E609" i="2"/>
  <c r="F608" i="2"/>
  <c r="D91" i="3" s="1"/>
  <c r="G607" i="2"/>
  <c r="C91" i="4" s="1"/>
  <c r="H606" i="2"/>
  <c r="A606" i="2"/>
  <c r="C605" i="2"/>
  <c r="E601" i="2"/>
  <c r="G599" i="2"/>
  <c r="B90" i="10" s="1"/>
  <c r="C597" i="2"/>
  <c r="A597" i="2"/>
  <c r="E593" i="2"/>
  <c r="F592" i="2"/>
  <c r="B89" i="9" s="1"/>
  <c r="H591" i="2"/>
  <c r="H87" i="5" s="1"/>
  <c r="C590" i="2"/>
  <c r="H590" i="2"/>
  <c r="G87" i="5" s="1"/>
  <c r="C589" i="2"/>
  <c r="E586" i="2"/>
  <c r="D586" i="2"/>
  <c r="F585" i="2"/>
  <c r="B87" i="9" s="1"/>
  <c r="E585" i="2"/>
  <c r="G584" i="2"/>
  <c r="H86" i="4" s="1"/>
  <c r="G583" i="2"/>
  <c r="G86" i="4" s="1"/>
  <c r="H582" i="2"/>
  <c r="F86" i="5" s="1"/>
  <c r="A581" i="2"/>
  <c r="D579" i="2"/>
  <c r="E578" i="2"/>
  <c r="D578" i="2"/>
  <c r="E577" i="2"/>
  <c r="F576" i="2"/>
  <c r="G85" i="3" s="1"/>
  <c r="A573" i="2"/>
  <c r="D571" i="2"/>
  <c r="E570" i="2"/>
  <c r="F569" i="2"/>
  <c r="G84" i="3" s="1"/>
  <c r="E569" i="2"/>
  <c r="F568" i="2"/>
  <c r="F84" i="3" s="1"/>
  <c r="C565" i="2"/>
  <c r="D563" i="2"/>
  <c r="E562" i="2"/>
  <c r="E561" i="2"/>
  <c r="C558" i="2"/>
  <c r="H558" i="2"/>
  <c r="C83" i="5" s="1"/>
  <c r="D554" i="2"/>
  <c r="E553" i="2"/>
  <c r="G552" i="2"/>
  <c r="D82" i="4" s="1"/>
  <c r="F552" i="2"/>
  <c r="D82" i="3" s="1"/>
  <c r="G551" i="2"/>
  <c r="C82" i="4" s="1"/>
  <c r="A549" i="2"/>
  <c r="E546" i="2"/>
  <c r="H545" i="2"/>
  <c r="F545" i="2"/>
  <c r="E545" i="2"/>
  <c r="G544" i="2"/>
  <c r="F544" i="2"/>
  <c r="G543" i="2"/>
  <c r="A541" i="2"/>
  <c r="D539" i="2"/>
  <c r="E538" i="2"/>
  <c r="D538" i="2"/>
  <c r="E537" i="2"/>
  <c r="A534" i="2"/>
  <c r="C533" i="2"/>
  <c r="E529" i="2"/>
  <c r="F528" i="2"/>
  <c r="H78" i="3" s="1"/>
  <c r="H526" i="2"/>
  <c r="F78" i="5" s="1"/>
  <c r="C525" i="2"/>
  <c r="D522" i="2"/>
  <c r="F521" i="2"/>
  <c r="H77" i="3" s="1"/>
  <c r="E521" i="2"/>
  <c r="G519" i="2"/>
  <c r="F77" i="4" s="1"/>
  <c r="H518" i="2"/>
  <c r="E77" i="5" s="1"/>
  <c r="C517" i="2"/>
  <c r="A517" i="2"/>
  <c r="D515" i="2"/>
  <c r="E514" i="2"/>
  <c r="D514" i="2"/>
  <c r="E513" i="2"/>
  <c r="F512" i="2"/>
  <c r="F76" i="3" s="1"/>
  <c r="A510" i="2"/>
  <c r="A509" i="2"/>
  <c r="D507" i="2"/>
  <c r="E506" i="2"/>
  <c r="F505" i="2"/>
  <c r="F75" i="3" s="1"/>
  <c r="E505" i="2"/>
  <c r="F504" i="2"/>
  <c r="E75" i="3" s="1"/>
  <c r="C501" i="2"/>
  <c r="A75" i="20" s="1"/>
  <c r="E498" i="2"/>
  <c r="E497" i="2"/>
  <c r="F496" i="2"/>
  <c r="D74" i="3" s="1"/>
  <c r="C494" i="2"/>
  <c r="A74" i="20" s="1"/>
  <c r="H494" i="2"/>
  <c r="E490" i="2"/>
  <c r="D490" i="2"/>
  <c r="E489" i="2"/>
  <c r="G487" i="2"/>
  <c r="B73" i="10" s="1"/>
  <c r="C486" i="2"/>
  <c r="A485" i="2"/>
  <c r="E482" i="2"/>
  <c r="E481" i="2"/>
  <c r="G480" i="2"/>
  <c r="B72" i="10" s="1"/>
  <c r="F480" i="2"/>
  <c r="B72" i="9" s="1"/>
  <c r="H479" i="2"/>
  <c r="H71" i="5" s="1"/>
  <c r="G479" i="2"/>
  <c r="H71" i="4" s="1"/>
  <c r="G471" i="2"/>
  <c r="D467" i="2"/>
  <c r="D466" i="2"/>
  <c r="E465" i="2"/>
  <c r="A461" i="2"/>
  <c r="F456" i="2"/>
  <c r="F69" i="3" s="1"/>
  <c r="H446" i="2"/>
  <c r="C67" i="5" s="1"/>
  <c r="F441" i="2"/>
  <c r="E65" i="3" s="1"/>
  <c r="E441" i="2"/>
  <c r="C438" i="2"/>
  <c r="A65" i="20" s="1"/>
  <c r="C437" i="2"/>
  <c r="A437" i="2"/>
  <c r="G431" i="2"/>
  <c r="B64" i="10" s="1"/>
  <c r="D427" i="2"/>
  <c r="D426" i="2"/>
  <c r="H422" i="2"/>
  <c r="G62" i="5" s="1"/>
  <c r="F417" i="2"/>
  <c r="B62" i="9" s="1"/>
  <c r="F416" i="2"/>
  <c r="H61" i="3" s="1"/>
  <c r="C413" i="2"/>
  <c r="H407" i="2"/>
  <c r="F60" i="5" s="1"/>
  <c r="G407" i="2"/>
  <c r="F60" i="4" s="1"/>
  <c r="E402" i="2"/>
  <c r="D402" i="2"/>
  <c r="E401" i="2"/>
  <c r="A398" i="2"/>
  <c r="A397" i="2"/>
  <c r="F392" i="2"/>
  <c r="G388" i="2"/>
  <c r="H58" i="4" s="1"/>
  <c r="H382" i="2"/>
  <c r="F377" i="2"/>
  <c r="D57" i="3" s="1"/>
  <c r="E377" i="2"/>
  <c r="C373" i="2"/>
  <c r="A373" i="2"/>
  <c r="G367" i="2"/>
  <c r="H55" i="4" s="1"/>
  <c r="D362" i="2"/>
  <c r="H358" i="2"/>
  <c r="F54" i="5" s="1"/>
  <c r="A358" i="2"/>
  <c r="F352" i="2"/>
  <c r="G53" i="3" s="1"/>
  <c r="C350" i="2"/>
  <c r="C349" i="2"/>
  <c r="G343" i="2"/>
  <c r="E52" i="4" s="1"/>
  <c r="E338" i="2"/>
  <c r="D338" i="2"/>
  <c r="E337" i="2"/>
  <c r="A333" i="2"/>
  <c r="F328" i="2"/>
  <c r="D50" i="3" s="1"/>
  <c r="H318" i="2"/>
  <c r="E314" i="2"/>
  <c r="E313" i="2"/>
  <c r="C309" i="2"/>
  <c r="A309" i="2"/>
  <c r="G304" i="2"/>
  <c r="H47" i="4" s="1"/>
  <c r="G303" i="2"/>
  <c r="G47" i="4" s="1"/>
  <c r="D298" i="2"/>
  <c r="H294" i="2"/>
  <c r="E45" i="5" s="1"/>
  <c r="F289" i="2"/>
  <c r="G43" i="3" s="1"/>
  <c r="F288" i="2"/>
  <c r="F43" i="3" s="1"/>
  <c r="C286" i="2"/>
  <c r="C285" i="2"/>
  <c r="G279" i="2"/>
  <c r="D42" i="4" s="1"/>
  <c r="D275" i="2"/>
  <c r="E274" i="2"/>
  <c r="D274" i="2"/>
  <c r="E273" i="2"/>
  <c r="C269" i="2"/>
  <c r="C262" i="2"/>
  <c r="C261" i="2"/>
  <c r="C254" i="2"/>
  <c r="C253" i="2"/>
  <c r="C245" i="2"/>
  <c r="C238" i="2"/>
  <c r="C237" i="2"/>
  <c r="C229" i="2"/>
  <c r="E228" i="2"/>
  <c r="C222" i="2"/>
  <c r="C221" i="2"/>
  <c r="C213" i="2"/>
  <c r="C206" i="2"/>
  <c r="C205" i="2"/>
  <c r="C197" i="2"/>
  <c r="C190" i="2"/>
  <c r="C189" i="2"/>
  <c r="C181" i="2"/>
  <c r="C173" i="2"/>
  <c r="C166" i="2"/>
  <c r="C165" i="2"/>
  <c r="A27" i="20" s="1"/>
  <c r="C157" i="2"/>
  <c r="C149" i="2"/>
  <c r="C141" i="2"/>
  <c r="C133" i="2"/>
  <c r="E133" i="2"/>
  <c r="D133" i="2"/>
  <c r="C125" i="2"/>
  <c r="C117" i="2"/>
  <c r="C109" i="2"/>
  <c r="A20" i="20" s="1"/>
  <c r="C101" i="2"/>
  <c r="C93" i="2"/>
  <c r="C85" i="2"/>
  <c r="C77" i="2"/>
  <c r="C70" i="2"/>
  <c r="C69" i="2"/>
  <c r="C61" i="2"/>
  <c r="C54" i="2"/>
  <c r="C53" i="2"/>
  <c r="A13" i="20" s="1"/>
  <c r="A167" i="20" s="1"/>
  <c r="C45" i="2"/>
  <c r="G44" i="2"/>
  <c r="G10" i="4" s="1"/>
  <c r="C38" i="2"/>
  <c r="C37" i="2"/>
  <c r="C29" i="2"/>
  <c r="C21" i="2"/>
  <c r="C13" i="2"/>
  <c r="C5" i="2"/>
  <c r="C3" i="3"/>
  <c r="B3" i="3"/>
  <c r="A48" i="4"/>
  <c r="A4" i="2"/>
  <c r="A4" i="20" s="1"/>
  <c r="E1074" i="2"/>
  <c r="D1073" i="2"/>
  <c r="E1072" i="2"/>
  <c r="D1072" i="2"/>
  <c r="F1071" i="2"/>
  <c r="E1071" i="2"/>
  <c r="G1070" i="2"/>
  <c r="F1070" i="2"/>
  <c r="H1069" i="2"/>
  <c r="G1069" i="2"/>
  <c r="A1069" i="2"/>
  <c r="H1068" i="2"/>
  <c r="C1068" i="2"/>
  <c r="A1068" i="2"/>
  <c r="D1067" i="2"/>
  <c r="C1067" i="2"/>
  <c r="A1067" i="2"/>
  <c r="D1065" i="2"/>
  <c r="E1064" i="2"/>
  <c r="D1064" i="2"/>
  <c r="F1063" i="2"/>
  <c r="E1063" i="2"/>
  <c r="H1062" i="2"/>
  <c r="G1062" i="2"/>
  <c r="F1062" i="2"/>
  <c r="H1061" i="2"/>
  <c r="G1061" i="2"/>
  <c r="C1061" i="2"/>
  <c r="H1060" i="2"/>
  <c r="H157" i="5" s="1"/>
  <c r="C1060" i="2"/>
  <c r="A1060" i="2"/>
  <c r="C1059" i="2"/>
  <c r="A1059" i="2"/>
  <c r="D1058" i="2"/>
  <c r="D1057" i="2"/>
  <c r="E1056" i="2"/>
  <c r="D1056" i="2"/>
  <c r="F1055" i="2"/>
  <c r="C157" i="3" s="1"/>
  <c r="E1055" i="2"/>
  <c r="H1054" i="2"/>
  <c r="G1054" i="2"/>
  <c r="B157" i="10" s="1"/>
  <c r="F1054" i="2"/>
  <c r="B157" i="9" s="1"/>
  <c r="A1054" i="2"/>
  <c r="H1053" i="2"/>
  <c r="H155" i="5" s="1"/>
  <c r="G1053" i="2"/>
  <c r="H155" i="4" s="1"/>
  <c r="H1052" i="2"/>
  <c r="G155" i="5" s="1"/>
  <c r="C1052" i="2"/>
  <c r="A1052" i="2"/>
  <c r="C1051" i="2"/>
  <c r="A1051" i="2"/>
  <c r="D1049" i="2"/>
  <c r="E1048" i="2"/>
  <c r="D1048" i="2"/>
  <c r="F1047" i="2"/>
  <c r="B155" i="9" s="1"/>
  <c r="E1047" i="2"/>
  <c r="H1046" i="2"/>
  <c r="H153" i="5" s="1"/>
  <c r="G1046" i="2"/>
  <c r="H153" i="4" s="1"/>
  <c r="F1046" i="2"/>
  <c r="H153" i="3" s="1"/>
  <c r="H1045" i="2"/>
  <c r="G153" i="5" s="1"/>
  <c r="G1045" i="2"/>
  <c r="G153" i="4" s="1"/>
  <c r="H1044" i="2"/>
  <c r="F153" i="5" s="1"/>
  <c r="C1044" i="2"/>
  <c r="A1044" i="2"/>
  <c r="C1043" i="2"/>
  <c r="A1043" i="2"/>
  <c r="D1041" i="2"/>
  <c r="E1040" i="2"/>
  <c r="D1040" i="2"/>
  <c r="H1039" i="2"/>
  <c r="H152" i="5" s="1"/>
  <c r="F1039" i="2"/>
  <c r="H152" i="3" s="1"/>
  <c r="E1039" i="2"/>
  <c r="G1038" i="2"/>
  <c r="G152" i="4" s="1"/>
  <c r="F1038" i="2"/>
  <c r="G152" i="3" s="1"/>
  <c r="H1037" i="2"/>
  <c r="F152" i="5" s="1"/>
  <c r="G1037" i="2"/>
  <c r="F152" i="4" s="1"/>
  <c r="A1037" i="2"/>
  <c r="H1036" i="2"/>
  <c r="E152" i="5" s="1"/>
  <c r="C1036" i="2"/>
  <c r="A1036" i="2"/>
  <c r="C1035" i="2"/>
  <c r="A1035" i="2"/>
  <c r="D1033" i="2"/>
  <c r="E1032" i="2"/>
  <c r="D1032" i="2"/>
  <c r="F1031" i="2"/>
  <c r="G151" i="3" s="1"/>
  <c r="E1031" i="2"/>
  <c r="H1030" i="2"/>
  <c r="F151" i="5" s="1"/>
  <c r="G1030" i="2"/>
  <c r="F151" i="4" s="1"/>
  <c r="F1030" i="2"/>
  <c r="F151" i="3" s="1"/>
  <c r="H1029" i="2"/>
  <c r="E151" i="5" s="1"/>
  <c r="G1029" i="2"/>
  <c r="E151" i="4" s="1"/>
  <c r="C1029" i="2"/>
  <c r="A1029" i="2"/>
  <c r="H1028" i="2"/>
  <c r="D151" i="5" s="1"/>
  <c r="C1028" i="2"/>
  <c r="A1028" i="2"/>
  <c r="C1027" i="2"/>
  <c r="A1027" i="2"/>
  <c r="D1025" i="2"/>
  <c r="E1024" i="2"/>
  <c r="D1024" i="2"/>
  <c r="F1023" i="2"/>
  <c r="F150" i="3" s="1"/>
  <c r="E1023" i="2"/>
  <c r="G1022" i="2"/>
  <c r="E150" i="4" s="1"/>
  <c r="F1022" i="2"/>
  <c r="E150" i="3" s="1"/>
  <c r="H1021" i="2"/>
  <c r="D150" i="5" s="1"/>
  <c r="G1021" i="2"/>
  <c r="D150" i="4" s="1"/>
  <c r="H1020" i="2"/>
  <c r="C150" i="5" s="1"/>
  <c r="C1020" i="2"/>
  <c r="A1020" i="2"/>
  <c r="C1019" i="2"/>
  <c r="A150" i="20" s="1"/>
  <c r="A1019" i="2"/>
  <c r="D1018" i="2"/>
  <c r="D1017" i="2"/>
  <c r="E1016" i="2"/>
  <c r="D1016" i="2"/>
  <c r="F1015" i="2"/>
  <c r="E149" i="3" s="1"/>
  <c r="E1015" i="2"/>
  <c r="G1014" i="2"/>
  <c r="D149" i="4" s="1"/>
  <c r="F1014" i="2"/>
  <c r="D149" i="3" s="1"/>
  <c r="H1013" i="2"/>
  <c r="C149" i="5" s="1"/>
  <c r="G1013" i="2"/>
  <c r="C149" i="4" s="1"/>
  <c r="H1012" i="2"/>
  <c r="C1012" i="2"/>
  <c r="A149" i="20" s="1"/>
  <c r="A1012" i="2"/>
  <c r="C1011" i="2"/>
  <c r="A1011" i="2"/>
  <c r="E1009" i="2"/>
  <c r="D1009" i="2"/>
  <c r="E1008" i="2"/>
  <c r="D1008" i="2"/>
  <c r="F1007" i="2"/>
  <c r="D148" i="3" s="1"/>
  <c r="E1007" i="2"/>
  <c r="G1006" i="2"/>
  <c r="C148" i="4" s="1"/>
  <c r="F1006" i="2"/>
  <c r="C148" i="3" s="1"/>
  <c r="H1005" i="2"/>
  <c r="G1005" i="2"/>
  <c r="B148" i="10" s="1"/>
  <c r="A1005" i="2"/>
  <c r="A147" i="20" s="1"/>
  <c r="H1004" i="2"/>
  <c r="C1004" i="2"/>
  <c r="A1004" i="2"/>
  <c r="C1003" i="2"/>
  <c r="A1003" i="2"/>
  <c r="D1001" i="2"/>
  <c r="E1000" i="2"/>
  <c r="D1000" i="2"/>
  <c r="F999" i="2"/>
  <c r="E999" i="2"/>
  <c r="G998" i="2"/>
  <c r="F998" i="2"/>
  <c r="C998" i="2"/>
  <c r="H997" i="2"/>
  <c r="G997" i="2"/>
  <c r="H996" i="2"/>
  <c r="C996" i="2"/>
  <c r="A996" i="2"/>
  <c r="C995" i="2"/>
  <c r="A995" i="2"/>
  <c r="F994" i="2"/>
  <c r="D993" i="2"/>
  <c r="E992" i="2"/>
  <c r="D992" i="2"/>
  <c r="F991" i="2"/>
  <c r="E991" i="2"/>
  <c r="H990" i="2"/>
  <c r="H146" i="5" s="1"/>
  <c r="G990" i="2"/>
  <c r="H146" i="4" s="1"/>
  <c r="F990" i="2"/>
  <c r="H146" i="3" s="1"/>
  <c r="H989" i="2"/>
  <c r="G146" i="5" s="1"/>
  <c r="G989" i="2"/>
  <c r="G146" i="4" s="1"/>
  <c r="H988" i="2"/>
  <c r="F146" i="5" s="1"/>
  <c r="C988" i="2"/>
  <c r="A988" i="2"/>
  <c r="E987" i="2"/>
  <c r="C987" i="2"/>
  <c r="A987" i="2"/>
  <c r="D985" i="2"/>
  <c r="E984" i="2"/>
  <c r="D984" i="2"/>
  <c r="F983" i="2"/>
  <c r="H144" i="3" s="1"/>
  <c r="E983" i="2"/>
  <c r="H982" i="2"/>
  <c r="G144" i="5" s="1"/>
  <c r="G982" i="2"/>
  <c r="G144" i="4" s="1"/>
  <c r="F982" i="2"/>
  <c r="G144" i="3" s="1"/>
  <c r="H981" i="2"/>
  <c r="F144" i="5" s="1"/>
  <c r="G981" i="2"/>
  <c r="F144" i="4" s="1"/>
  <c r="H980" i="2"/>
  <c r="E144" i="5" s="1"/>
  <c r="C980" i="2"/>
  <c r="A980" i="2"/>
  <c r="C979" i="2"/>
  <c r="A979" i="2"/>
  <c r="D977" i="2"/>
  <c r="E976" i="2"/>
  <c r="D976" i="2"/>
  <c r="H975" i="2"/>
  <c r="G142" i="5" s="1"/>
  <c r="F975" i="2"/>
  <c r="G142" i="3" s="1"/>
  <c r="E975" i="2"/>
  <c r="G974" i="2"/>
  <c r="F142" i="4" s="1"/>
  <c r="F974" i="2"/>
  <c r="F142" i="3" s="1"/>
  <c r="C974" i="2"/>
  <c r="H973" i="2"/>
  <c r="E142" i="5" s="1"/>
  <c r="G973" i="2"/>
  <c r="E142" i="4" s="1"/>
  <c r="H972" i="2"/>
  <c r="D142" i="5" s="1"/>
  <c r="C972" i="2"/>
  <c r="A972" i="2"/>
  <c r="C971" i="2"/>
  <c r="A971" i="2"/>
  <c r="E969" i="2"/>
  <c r="D969" i="2"/>
  <c r="E968" i="2"/>
  <c r="D968" i="2"/>
  <c r="F967" i="2"/>
  <c r="F141" i="3" s="1"/>
  <c r="E967" i="2"/>
  <c r="H966" i="2"/>
  <c r="E141" i="5" s="1"/>
  <c r="G966" i="2"/>
  <c r="E141" i="4" s="1"/>
  <c r="F966" i="2"/>
  <c r="E141" i="3" s="1"/>
  <c r="H965" i="2"/>
  <c r="D141" i="5" s="1"/>
  <c r="G965" i="2"/>
  <c r="D141" i="4" s="1"/>
  <c r="C965" i="2"/>
  <c r="H964" i="2"/>
  <c r="C141" i="5" s="1"/>
  <c r="C964" i="2"/>
  <c r="A964" i="2"/>
  <c r="C963" i="2"/>
  <c r="A141" i="20" s="1"/>
  <c r="A963" i="2"/>
  <c r="D962" i="2"/>
  <c r="D961" i="2"/>
  <c r="E960" i="2"/>
  <c r="D960" i="2"/>
  <c r="F959" i="2"/>
  <c r="E140" i="3" s="1"/>
  <c r="E959" i="2"/>
  <c r="G958" i="2"/>
  <c r="D140" i="4" s="1"/>
  <c r="F958" i="2"/>
  <c r="D140" i="3" s="1"/>
  <c r="H957" i="2"/>
  <c r="C140" i="5" s="1"/>
  <c r="G957" i="2"/>
  <c r="C140" i="4" s="1"/>
  <c r="H956" i="2"/>
  <c r="C956" i="2"/>
  <c r="A140" i="20" s="1"/>
  <c r="A956" i="2"/>
  <c r="C955" i="2"/>
  <c r="A955" i="2"/>
  <c r="E954" i="2"/>
  <c r="D954" i="2"/>
  <c r="D953" i="2"/>
  <c r="E952" i="2"/>
  <c r="D952" i="2"/>
  <c r="F951" i="2"/>
  <c r="D139" i="3" s="1"/>
  <c r="E951" i="2"/>
  <c r="C951" i="2"/>
  <c r="G950" i="2"/>
  <c r="C139" i="4" s="1"/>
  <c r="F950" i="2"/>
  <c r="C139" i="3" s="1"/>
  <c r="H949" i="2"/>
  <c r="G949" i="2"/>
  <c r="B139" i="10" s="1"/>
  <c r="C949" i="2"/>
  <c r="A139" i="20" s="1"/>
  <c r="H948" i="2"/>
  <c r="H138" i="5" s="1"/>
  <c r="C948" i="2"/>
  <c r="A948" i="2"/>
  <c r="C947" i="2"/>
  <c r="A947" i="2"/>
  <c r="D946" i="2"/>
  <c r="E945" i="2"/>
  <c r="D945" i="2"/>
  <c r="E944" i="2"/>
  <c r="D944" i="2"/>
  <c r="F943" i="2"/>
  <c r="C138" i="3" s="1"/>
  <c r="E943" i="2"/>
  <c r="G942" i="2"/>
  <c r="B138" i="10" s="1"/>
  <c r="F942" i="2"/>
  <c r="B138" i="9" s="1"/>
  <c r="H941" i="2"/>
  <c r="H137" i="5" s="1"/>
  <c r="G941" i="2"/>
  <c r="H137" i="4" s="1"/>
  <c r="H940" i="2"/>
  <c r="G137" i="5" s="1"/>
  <c r="C940" i="2"/>
  <c r="A940" i="2"/>
  <c r="C939" i="2"/>
  <c r="A939" i="2"/>
  <c r="E937" i="2"/>
  <c r="D937" i="2"/>
  <c r="E936" i="2"/>
  <c r="D936" i="2"/>
  <c r="F935" i="2"/>
  <c r="B137" i="9" s="1"/>
  <c r="E935" i="2"/>
  <c r="G934" i="2"/>
  <c r="F934" i="2"/>
  <c r="C934" i="2"/>
  <c r="H933" i="2"/>
  <c r="G933" i="2"/>
  <c r="H932" i="2"/>
  <c r="C932" i="2"/>
  <c r="A932" i="2"/>
  <c r="C931" i="2"/>
  <c r="A931" i="2"/>
  <c r="D930" i="2"/>
  <c r="E929" i="2"/>
  <c r="D929" i="2"/>
  <c r="E928" i="2"/>
  <c r="D928" i="2"/>
  <c r="F927" i="2"/>
  <c r="E927" i="2"/>
  <c r="G926" i="2"/>
  <c r="F926" i="2"/>
  <c r="H925" i="2"/>
  <c r="G925" i="2"/>
  <c r="C925" i="2"/>
  <c r="H924" i="2"/>
  <c r="C924" i="2"/>
  <c r="A924" i="2"/>
  <c r="C923" i="2"/>
  <c r="A923" i="2"/>
  <c r="E922" i="2"/>
  <c r="D921" i="2"/>
  <c r="E920" i="2"/>
  <c r="D920" i="2"/>
  <c r="F919" i="2"/>
  <c r="G135" i="3" s="1"/>
  <c r="E919" i="2"/>
  <c r="G918" i="2"/>
  <c r="F135" i="4" s="1"/>
  <c r="F918" i="2"/>
  <c r="F135" i="3" s="1"/>
  <c r="H917" i="2"/>
  <c r="E135" i="5" s="1"/>
  <c r="G917" i="2"/>
  <c r="E135" i="4" s="1"/>
  <c r="H916" i="2"/>
  <c r="D135" i="5" s="1"/>
  <c r="C916" i="2"/>
  <c r="A916" i="2"/>
  <c r="C915" i="2"/>
  <c r="A915" i="2"/>
  <c r="F914" i="2"/>
  <c r="E913" i="2"/>
  <c r="D913" i="2"/>
  <c r="E912" i="2"/>
  <c r="D912" i="2"/>
  <c r="F911" i="2"/>
  <c r="F133" i="9" s="1"/>
  <c r="F133" i="18" s="1"/>
  <c r="E911" i="2"/>
  <c r="G910" i="2"/>
  <c r="E133" i="10" s="1"/>
  <c r="E133" i="16" s="1"/>
  <c r="F910" i="2"/>
  <c r="E133" i="9" s="1"/>
  <c r="E133" i="18" s="1"/>
  <c r="A910" i="2"/>
  <c r="H909" i="2"/>
  <c r="G909" i="2"/>
  <c r="D133" i="10" s="1"/>
  <c r="D133" i="16" s="1"/>
  <c r="A909" i="2"/>
  <c r="H908" i="2"/>
  <c r="C908" i="2"/>
  <c r="A908" i="2"/>
  <c r="C907" i="2"/>
  <c r="A133" i="20" s="1"/>
  <c r="A907" i="2"/>
  <c r="D905" i="2"/>
  <c r="E904" i="2"/>
  <c r="D904" i="2"/>
  <c r="F903" i="2"/>
  <c r="E132" i="9" s="1"/>
  <c r="E132" i="18" s="1"/>
  <c r="E903" i="2"/>
  <c r="H902" i="2"/>
  <c r="G902" i="2"/>
  <c r="D132" i="10" s="1"/>
  <c r="F902" i="2"/>
  <c r="D132" i="9" s="1"/>
  <c r="D132" i="18" s="1"/>
  <c r="H901" i="2"/>
  <c r="G901" i="2"/>
  <c r="C132" i="10" s="1"/>
  <c r="H900" i="2"/>
  <c r="C900" i="2"/>
  <c r="A900" i="2"/>
  <c r="C899" i="2"/>
  <c r="A899" i="2"/>
  <c r="D897" i="2"/>
  <c r="E896" i="2"/>
  <c r="D896" i="2"/>
  <c r="F895" i="2"/>
  <c r="D131" i="3" s="1"/>
  <c r="E895" i="2"/>
  <c r="H894" i="2"/>
  <c r="C131" i="5" s="1"/>
  <c r="G894" i="2"/>
  <c r="C131" i="4" s="1"/>
  <c r="F894" i="2"/>
  <c r="C131" i="3" s="1"/>
  <c r="H893" i="2"/>
  <c r="G893" i="2"/>
  <c r="B131" i="10" s="1"/>
  <c r="A893" i="2"/>
  <c r="H892" i="2"/>
  <c r="H130" i="5" s="1"/>
  <c r="C892" i="2"/>
  <c r="A892" i="2"/>
  <c r="C891" i="2"/>
  <c r="A891" i="2"/>
  <c r="E890" i="2"/>
  <c r="D890" i="2"/>
  <c r="D889" i="2"/>
  <c r="E888" i="2"/>
  <c r="D888" i="2"/>
  <c r="F887" i="2"/>
  <c r="C130" i="3" s="1"/>
  <c r="E887" i="2"/>
  <c r="G886" i="2"/>
  <c r="B130" i="10" s="1"/>
  <c r="F886" i="2"/>
  <c r="B130" i="9" s="1"/>
  <c r="H885" i="2"/>
  <c r="H129" i="5" s="1"/>
  <c r="G885" i="2"/>
  <c r="H129" i="4" s="1"/>
  <c r="H884" i="2"/>
  <c r="G129" i="5" s="1"/>
  <c r="D884" i="2"/>
  <c r="C884" i="2"/>
  <c r="A884" i="2"/>
  <c r="C883" i="2"/>
  <c r="A883" i="2"/>
  <c r="F881" i="2"/>
  <c r="D129" i="3" s="1"/>
  <c r="D881" i="2"/>
  <c r="F880" i="2"/>
  <c r="C129" i="3" s="1"/>
  <c r="E880" i="2"/>
  <c r="D880" i="2"/>
  <c r="F879" i="2"/>
  <c r="B129" i="9" s="1"/>
  <c r="E879" i="2"/>
  <c r="G878" i="2"/>
  <c r="H128" i="4" s="1"/>
  <c r="F878" i="2"/>
  <c r="H128" i="3" s="1"/>
  <c r="C878" i="2"/>
  <c r="H877" i="2"/>
  <c r="G128" i="5" s="1"/>
  <c r="G877" i="2"/>
  <c r="G128" i="4" s="1"/>
  <c r="H876" i="2"/>
  <c r="F128" i="5" s="1"/>
  <c r="C876" i="2"/>
  <c r="A876" i="2"/>
  <c r="C875" i="2"/>
  <c r="A875" i="2"/>
  <c r="D874" i="2"/>
  <c r="E873" i="2"/>
  <c r="D873" i="2"/>
  <c r="E872" i="2"/>
  <c r="D872" i="2"/>
  <c r="F871" i="2"/>
  <c r="H127" i="3" s="1"/>
  <c r="E871" i="2"/>
  <c r="G870" i="2"/>
  <c r="G127" i="4" s="1"/>
  <c r="F870" i="2"/>
  <c r="G127" i="3" s="1"/>
  <c r="H869" i="2"/>
  <c r="F127" i="5" s="1"/>
  <c r="G869" i="2"/>
  <c r="F127" i="4" s="1"/>
  <c r="H868" i="2"/>
  <c r="E127" i="5" s="1"/>
  <c r="C868" i="2"/>
  <c r="A868" i="2"/>
  <c r="C867" i="2"/>
  <c r="A867" i="2"/>
  <c r="D865" i="2"/>
  <c r="H864" i="2"/>
  <c r="H126" i="5" s="1"/>
  <c r="F864" i="2"/>
  <c r="H126" i="3" s="1"/>
  <c r="E864" i="2"/>
  <c r="D864" i="2"/>
  <c r="F863" i="2"/>
  <c r="G126" i="3" s="1"/>
  <c r="E863" i="2"/>
  <c r="C863" i="2"/>
  <c r="A863" i="2"/>
  <c r="H862" i="2"/>
  <c r="F126" i="5" s="1"/>
  <c r="G862" i="2"/>
  <c r="F126" i="4" s="1"/>
  <c r="F862" i="2"/>
  <c r="F126" i="3" s="1"/>
  <c r="H861" i="2"/>
  <c r="E126" i="5" s="1"/>
  <c r="G861" i="2"/>
  <c r="E126" i="4" s="1"/>
  <c r="H860" i="2"/>
  <c r="D126" i="5" s="1"/>
  <c r="C860" i="2"/>
  <c r="A860" i="2"/>
  <c r="C859" i="2"/>
  <c r="A859" i="2"/>
  <c r="E857" i="2"/>
  <c r="D857" i="2"/>
  <c r="H856" i="2"/>
  <c r="F856" i="2"/>
  <c r="E856" i="2"/>
  <c r="D856" i="2"/>
  <c r="F855" i="2"/>
  <c r="E855" i="2"/>
  <c r="G854" i="2"/>
  <c r="F854" i="2"/>
  <c r="H853" i="2"/>
  <c r="G853" i="2"/>
  <c r="C853" i="2"/>
  <c r="H852" i="2"/>
  <c r="C852" i="2"/>
  <c r="A852" i="2"/>
  <c r="C851" i="2"/>
  <c r="A851" i="2"/>
  <c r="D849" i="2"/>
  <c r="G848" i="2"/>
  <c r="E848" i="2"/>
  <c r="D848" i="2"/>
  <c r="F847" i="2"/>
  <c r="E847" i="2"/>
  <c r="G846" i="2"/>
  <c r="F846" i="2"/>
  <c r="H845" i="2"/>
  <c r="G845" i="2"/>
  <c r="C845" i="2"/>
  <c r="H844" i="2"/>
  <c r="C844" i="2"/>
  <c r="A844" i="2"/>
  <c r="C843" i="2"/>
  <c r="A843" i="2"/>
  <c r="E841" i="2"/>
  <c r="D841" i="2"/>
  <c r="E840" i="2"/>
  <c r="D840" i="2"/>
  <c r="G839" i="2"/>
  <c r="D124" i="4" s="1"/>
  <c r="F839" i="2"/>
  <c r="D124" i="3" s="1"/>
  <c r="E839" i="2"/>
  <c r="H838" i="2"/>
  <c r="C124" i="5" s="1"/>
  <c r="G838" i="2"/>
  <c r="C124" i="4" s="1"/>
  <c r="F838" i="2"/>
  <c r="C124" i="3" s="1"/>
  <c r="H837" i="2"/>
  <c r="G837" i="2"/>
  <c r="B124" i="10" s="1"/>
  <c r="A837" i="2"/>
  <c r="H836" i="2"/>
  <c r="H122" i="5" s="1"/>
  <c r="C836" i="2"/>
  <c r="A836" i="2"/>
  <c r="C835" i="2"/>
  <c r="A835" i="2"/>
  <c r="D833" i="2"/>
  <c r="F832" i="2"/>
  <c r="D122" i="3" s="1"/>
  <c r="E832" i="2"/>
  <c r="D832" i="2"/>
  <c r="F831" i="2"/>
  <c r="C122" i="3" s="1"/>
  <c r="E831" i="2"/>
  <c r="H830" i="2"/>
  <c r="G830" i="2"/>
  <c r="B122" i="10" s="1"/>
  <c r="F830" i="2"/>
  <c r="B122" i="9" s="1"/>
  <c r="H829" i="2"/>
  <c r="H120" i="5" s="1"/>
  <c r="G829" i="2"/>
  <c r="H120" i="4" s="1"/>
  <c r="H828" i="2"/>
  <c r="G120" i="5" s="1"/>
  <c r="C828" i="2"/>
  <c r="A828" i="2"/>
  <c r="C827" i="2"/>
  <c r="A827" i="2"/>
  <c r="D825" i="2"/>
  <c r="F824" i="2"/>
  <c r="C120" i="3" s="1"/>
  <c r="E824" i="2"/>
  <c r="D824" i="2"/>
  <c r="F823" i="2"/>
  <c r="B120" i="9" s="1"/>
  <c r="E823" i="2"/>
  <c r="H822" i="2"/>
  <c r="H119" i="5" s="1"/>
  <c r="G822" i="2"/>
  <c r="H119" i="4" s="1"/>
  <c r="F822" i="2"/>
  <c r="H119" i="3" s="1"/>
  <c r="H821" i="2"/>
  <c r="G119" i="5" s="1"/>
  <c r="G821" i="2"/>
  <c r="G119" i="4" s="1"/>
  <c r="C821" i="2"/>
  <c r="H820" i="2"/>
  <c r="F119" i="5" s="1"/>
  <c r="C820" i="2"/>
  <c r="A820" i="2"/>
  <c r="C819" i="2"/>
  <c r="A819" i="2"/>
  <c r="D818" i="2"/>
  <c r="D817" i="2"/>
  <c r="E816" i="2"/>
  <c r="D816" i="2"/>
  <c r="F815" i="2"/>
  <c r="H118" i="3" s="1"/>
  <c r="E815" i="2"/>
  <c r="G814" i="2"/>
  <c r="G118" i="4" s="1"/>
  <c r="F814" i="2"/>
  <c r="G118" i="3" s="1"/>
  <c r="H813" i="2"/>
  <c r="F118" i="5" s="1"/>
  <c r="G813" i="2"/>
  <c r="F118" i="4" s="1"/>
  <c r="C813" i="2"/>
  <c r="H812" i="2"/>
  <c r="E118" i="5" s="1"/>
  <c r="C812" i="2"/>
  <c r="A812" i="2"/>
  <c r="C811" i="2"/>
  <c r="A811" i="2"/>
  <c r="D810" i="2"/>
  <c r="D809" i="2"/>
  <c r="G808" i="2"/>
  <c r="H117" i="4" s="1"/>
  <c r="F808" i="2"/>
  <c r="H117" i="3" s="1"/>
  <c r="E808" i="2"/>
  <c r="D808" i="2"/>
  <c r="F807" i="2"/>
  <c r="G117" i="3" s="1"/>
  <c r="E807" i="2"/>
  <c r="G806" i="2"/>
  <c r="F117" i="4" s="1"/>
  <c r="F806" i="2"/>
  <c r="F117" i="3" s="1"/>
  <c r="H805" i="2"/>
  <c r="E117" i="5" s="1"/>
  <c r="G805" i="2"/>
  <c r="E117" i="4" s="1"/>
  <c r="A805" i="2"/>
  <c r="H804" i="2"/>
  <c r="D117" i="5" s="1"/>
  <c r="C804" i="2"/>
  <c r="A804" i="2"/>
  <c r="C803" i="2"/>
  <c r="A803" i="2"/>
  <c r="D802" i="2"/>
  <c r="D801" i="2"/>
  <c r="E800" i="2"/>
  <c r="D800" i="2"/>
  <c r="H799" i="2"/>
  <c r="F116" i="5" s="1"/>
  <c r="F799" i="2"/>
  <c r="F116" i="3" s="1"/>
  <c r="E799" i="2"/>
  <c r="G798" i="2"/>
  <c r="E116" i="4" s="1"/>
  <c r="F798" i="2"/>
  <c r="E116" i="3" s="1"/>
  <c r="H797" i="2"/>
  <c r="D116" i="5" s="1"/>
  <c r="G797" i="2"/>
  <c r="D116" i="4" s="1"/>
  <c r="H796" i="2"/>
  <c r="C116" i="5" s="1"/>
  <c r="C796" i="2"/>
  <c r="A796" i="2"/>
  <c r="C795" i="2"/>
  <c r="A116" i="20" s="1"/>
  <c r="A795" i="2"/>
  <c r="D793" i="2"/>
  <c r="F792" i="2"/>
  <c r="F115" i="3" s="1"/>
  <c r="E792" i="2"/>
  <c r="D792" i="2"/>
  <c r="F791" i="2"/>
  <c r="E115" i="3" s="1"/>
  <c r="E791" i="2"/>
  <c r="G790" i="2"/>
  <c r="D115" i="4" s="1"/>
  <c r="F790" i="2"/>
  <c r="D115" i="3" s="1"/>
  <c r="H789" i="2"/>
  <c r="C115" i="5" s="1"/>
  <c r="G789" i="2"/>
  <c r="C115" i="4" s="1"/>
  <c r="A789" i="2"/>
  <c r="H788" i="2"/>
  <c r="C788" i="2"/>
  <c r="A115" i="20" s="1"/>
  <c r="A788" i="2"/>
  <c r="A114" i="20" s="1"/>
  <c r="C787" i="2"/>
  <c r="A787" i="2"/>
  <c r="F785" i="2"/>
  <c r="E785" i="2"/>
  <c r="D785" i="2"/>
  <c r="E784" i="2"/>
  <c r="D784" i="2"/>
  <c r="H783" i="2"/>
  <c r="G783" i="2"/>
  <c r="F783" i="2"/>
  <c r="E783" i="2"/>
  <c r="G782" i="2"/>
  <c r="F782" i="2"/>
  <c r="H781" i="2"/>
  <c r="G781" i="2"/>
  <c r="C781" i="2"/>
  <c r="A781" i="2"/>
  <c r="H780" i="2"/>
  <c r="C780" i="2"/>
  <c r="A780" i="2"/>
  <c r="C779" i="2"/>
  <c r="A779" i="2"/>
  <c r="D777" i="2"/>
  <c r="E776" i="2"/>
  <c r="D776" i="2"/>
  <c r="G775" i="2"/>
  <c r="F775" i="2"/>
  <c r="E775" i="2"/>
  <c r="G774" i="2"/>
  <c r="F774" i="2"/>
  <c r="H773" i="2"/>
  <c r="H113" i="5" s="1"/>
  <c r="G773" i="2"/>
  <c r="H113" i="4" s="1"/>
  <c r="H772" i="2"/>
  <c r="G113" i="5" s="1"/>
  <c r="C772" i="2"/>
  <c r="A772" i="2"/>
  <c r="C771" i="2"/>
  <c r="A771" i="2"/>
  <c r="D770" i="2"/>
  <c r="F769" i="2"/>
  <c r="D113" i="3" s="1"/>
  <c r="D769" i="2"/>
  <c r="E768" i="2"/>
  <c r="D768" i="2"/>
  <c r="G767" i="2"/>
  <c r="B113" i="10" s="1"/>
  <c r="F767" i="2"/>
  <c r="B113" i="9" s="1"/>
  <c r="E767" i="2"/>
  <c r="C767" i="2"/>
  <c r="A113" i="20" s="1"/>
  <c r="H766" i="2"/>
  <c r="H111" i="5" s="1"/>
  <c r="G766" i="2"/>
  <c r="H111" i="4" s="1"/>
  <c r="F766" i="2"/>
  <c r="H111" i="3" s="1"/>
  <c r="H765" i="2"/>
  <c r="G111" i="5" s="1"/>
  <c r="G765" i="2"/>
  <c r="G111" i="4" s="1"/>
  <c r="C765" i="2"/>
  <c r="H764" i="2"/>
  <c r="F111" i="5" s="1"/>
  <c r="C764" i="2"/>
  <c r="A764" i="2"/>
  <c r="C763" i="2"/>
  <c r="A763" i="2"/>
  <c r="D761" i="2"/>
  <c r="F760" i="2"/>
  <c r="B111" i="9" s="1"/>
  <c r="E760" i="2"/>
  <c r="D760" i="2"/>
  <c r="G759" i="2"/>
  <c r="H110" i="4" s="1"/>
  <c r="F759" i="2"/>
  <c r="H110" i="3" s="1"/>
  <c r="E759" i="2"/>
  <c r="G758" i="2"/>
  <c r="G110" i="4" s="1"/>
  <c r="F758" i="2"/>
  <c r="G110" i="3" s="1"/>
  <c r="H757" i="2"/>
  <c r="F110" i="5" s="1"/>
  <c r="G757" i="2"/>
  <c r="F110" i="4" s="1"/>
  <c r="C757" i="2"/>
  <c r="H756" i="2"/>
  <c r="E110" i="5" s="1"/>
  <c r="C756" i="2"/>
  <c r="A756" i="2"/>
  <c r="C755" i="2"/>
  <c r="A755" i="2"/>
  <c r="D753" i="2"/>
  <c r="F752" i="2"/>
  <c r="H109" i="3" s="1"/>
  <c r="E752" i="2"/>
  <c r="D752" i="2"/>
  <c r="H751" i="2"/>
  <c r="G109" i="5" s="1"/>
  <c r="F751" i="2"/>
  <c r="G109" i="3" s="1"/>
  <c r="E751" i="2"/>
  <c r="H750" i="2"/>
  <c r="F109" i="5" s="1"/>
  <c r="G750" i="2"/>
  <c r="F109" i="4" s="1"/>
  <c r="F750" i="2"/>
  <c r="F109" i="3" s="1"/>
  <c r="H749" i="2"/>
  <c r="E109" i="5" s="1"/>
  <c r="G749" i="2"/>
  <c r="E109" i="4" s="1"/>
  <c r="H748" i="2"/>
  <c r="D109" i="5" s="1"/>
  <c r="C748" i="2"/>
  <c r="A748" i="2"/>
  <c r="C747" i="2"/>
  <c r="A747" i="2"/>
  <c r="D746" i="2"/>
  <c r="D745" i="2"/>
  <c r="F744" i="2"/>
  <c r="G108" i="3" s="1"/>
  <c r="E744" i="2"/>
  <c r="D744" i="2"/>
  <c r="F743" i="2"/>
  <c r="F108" i="3" s="1"/>
  <c r="E743" i="2"/>
  <c r="H742" i="2"/>
  <c r="E108" i="5" s="1"/>
  <c r="G742" i="2"/>
  <c r="E108" i="4" s="1"/>
  <c r="F742" i="2"/>
  <c r="E108" i="3" s="1"/>
  <c r="H741" i="2"/>
  <c r="D108" i="5" s="1"/>
  <c r="G741" i="2"/>
  <c r="D108" i="4" s="1"/>
  <c r="H740" i="2"/>
  <c r="C108" i="5" s="1"/>
  <c r="C740" i="2"/>
  <c r="A740" i="2"/>
  <c r="C739" i="2"/>
  <c r="A108" i="20" s="1"/>
  <c r="A739" i="2"/>
  <c r="D738" i="2"/>
  <c r="D737" i="2"/>
  <c r="E736" i="2"/>
  <c r="D736" i="2"/>
  <c r="G735" i="2"/>
  <c r="E107" i="4" s="1"/>
  <c r="F735" i="2"/>
  <c r="E107" i="3" s="1"/>
  <c r="E735" i="2"/>
  <c r="G734" i="2"/>
  <c r="D107" i="4" s="1"/>
  <c r="F734" i="2"/>
  <c r="D107" i="3" s="1"/>
  <c r="H733" i="2"/>
  <c r="C107" i="5" s="1"/>
  <c r="G733" i="2"/>
  <c r="C107" i="4" s="1"/>
  <c r="H732" i="2"/>
  <c r="C732" i="2"/>
  <c r="A107" i="20" s="1"/>
  <c r="A732" i="2"/>
  <c r="C731" i="2"/>
  <c r="A731" i="2"/>
  <c r="D730" i="2"/>
  <c r="G729" i="2"/>
  <c r="F106" i="4" s="1"/>
  <c r="D729" i="2"/>
  <c r="F728" i="2"/>
  <c r="E106" i="3" s="1"/>
  <c r="E728" i="2"/>
  <c r="D728" i="2"/>
  <c r="G727" i="2"/>
  <c r="D106" i="4" s="1"/>
  <c r="F727" i="2"/>
  <c r="D106" i="3" s="1"/>
  <c r="E727" i="2"/>
  <c r="G726" i="2"/>
  <c r="C106" i="4" s="1"/>
  <c r="F726" i="2"/>
  <c r="C106" i="3" s="1"/>
  <c r="H725" i="2"/>
  <c r="G725" i="2"/>
  <c r="B106" i="10" s="1"/>
  <c r="C725" i="2"/>
  <c r="A106" i="20" s="1"/>
  <c r="H724" i="2"/>
  <c r="H105" i="5" s="1"/>
  <c r="C724" i="2"/>
  <c r="A724" i="2"/>
  <c r="C723" i="2"/>
  <c r="A723" i="2"/>
  <c r="D721" i="2"/>
  <c r="E720" i="2"/>
  <c r="D720" i="2"/>
  <c r="H719" i="2"/>
  <c r="C105" i="5" s="1"/>
  <c r="G719" i="2"/>
  <c r="C105" i="4" s="1"/>
  <c r="F719" i="2"/>
  <c r="C105" i="3" s="1"/>
  <c r="E719" i="2"/>
  <c r="H718" i="2"/>
  <c r="G718" i="2"/>
  <c r="B105" i="10" s="1"/>
  <c r="F718" i="2"/>
  <c r="B105" i="9" s="1"/>
  <c r="C718" i="2"/>
  <c r="A105" i="20" s="1"/>
  <c r="H717" i="2"/>
  <c r="H104" i="5" s="1"/>
  <c r="G717" i="2"/>
  <c r="H104" i="4" s="1"/>
  <c r="C717" i="2"/>
  <c r="H716" i="2"/>
  <c r="G104" i="5" s="1"/>
  <c r="C716" i="2"/>
  <c r="A716" i="2"/>
  <c r="D715" i="2"/>
  <c r="C715" i="2"/>
  <c r="A715" i="2"/>
  <c r="D714" i="2"/>
  <c r="D713" i="2"/>
  <c r="G712" i="2"/>
  <c r="C104" i="4" s="1"/>
  <c r="E712" i="2"/>
  <c r="D712" i="2"/>
  <c r="F711" i="2"/>
  <c r="B104" i="9" s="1"/>
  <c r="E711" i="2"/>
  <c r="H710" i="2"/>
  <c r="G710" i="2"/>
  <c r="F710" i="2"/>
  <c r="H709" i="2"/>
  <c r="G709" i="2"/>
  <c r="H708" i="2"/>
  <c r="C708" i="2"/>
  <c r="A708" i="2"/>
  <c r="C707" i="2"/>
  <c r="A707" i="2"/>
  <c r="D706" i="2"/>
  <c r="D705" i="2"/>
  <c r="E704" i="2"/>
  <c r="D704" i="2"/>
  <c r="G703" i="2"/>
  <c r="F703" i="2"/>
  <c r="E703" i="2"/>
  <c r="H702" i="2"/>
  <c r="G702" i="2"/>
  <c r="F702" i="2"/>
  <c r="H701" i="2"/>
  <c r="G701" i="2"/>
  <c r="C701" i="2"/>
  <c r="H700" i="2"/>
  <c r="C700" i="2"/>
  <c r="A700" i="2"/>
  <c r="C699" i="2"/>
  <c r="A699" i="2"/>
  <c r="D697" i="2"/>
  <c r="E696" i="2"/>
  <c r="D696" i="2"/>
  <c r="F695" i="2"/>
  <c r="G102" i="3" s="1"/>
  <c r="E695" i="2"/>
  <c r="G694" i="2"/>
  <c r="F102" i="4" s="1"/>
  <c r="F694" i="2"/>
  <c r="F102" i="3" s="1"/>
  <c r="H693" i="2"/>
  <c r="E102" i="5" s="1"/>
  <c r="G693" i="2"/>
  <c r="E102" i="4" s="1"/>
  <c r="C693" i="2"/>
  <c r="H692" i="2"/>
  <c r="D102" i="5" s="1"/>
  <c r="C692" i="2"/>
  <c r="A692" i="2"/>
  <c r="C691" i="2"/>
  <c r="A691" i="2"/>
  <c r="D690" i="2"/>
  <c r="D689" i="2"/>
  <c r="E688" i="2"/>
  <c r="D688" i="2"/>
  <c r="G687" i="2"/>
  <c r="F101" i="4" s="1"/>
  <c r="F687" i="2"/>
  <c r="F101" i="3" s="1"/>
  <c r="E687" i="2"/>
  <c r="H686" i="2"/>
  <c r="E101" i="5" s="1"/>
  <c r="G686" i="2"/>
  <c r="E101" i="4" s="1"/>
  <c r="F686" i="2"/>
  <c r="E101" i="3" s="1"/>
  <c r="H685" i="2"/>
  <c r="D101" i="5" s="1"/>
  <c r="G685" i="2"/>
  <c r="D101" i="4" s="1"/>
  <c r="H684" i="2"/>
  <c r="C101" i="5" s="1"/>
  <c r="C684" i="2"/>
  <c r="A684" i="2"/>
  <c r="C683" i="2"/>
  <c r="A683" i="2"/>
  <c r="D682" i="2"/>
  <c r="D681" i="2"/>
  <c r="G680" i="2"/>
  <c r="F100" i="10" s="1"/>
  <c r="F680" i="2"/>
  <c r="F100" i="9" s="1"/>
  <c r="E680" i="2"/>
  <c r="D680" i="2"/>
  <c r="F679" i="2"/>
  <c r="E100" i="9" s="1"/>
  <c r="E679" i="2"/>
  <c r="H678" i="2"/>
  <c r="G678" i="2"/>
  <c r="D100" i="10" s="1"/>
  <c r="F678" i="2"/>
  <c r="D100" i="9" s="1"/>
  <c r="H677" i="2"/>
  <c r="G677" i="2"/>
  <c r="C100" i="10" s="1"/>
  <c r="C677" i="2"/>
  <c r="H676" i="2"/>
  <c r="C676" i="2"/>
  <c r="A100" i="20" s="1"/>
  <c r="A676" i="2"/>
  <c r="D675" i="2"/>
  <c r="C675" i="2"/>
  <c r="A675" i="2"/>
  <c r="C674" i="2"/>
  <c r="D673" i="2"/>
  <c r="E672" i="2"/>
  <c r="D672" i="2"/>
  <c r="H671" i="2"/>
  <c r="G671" i="2"/>
  <c r="D99" i="10" s="1"/>
  <c r="F671" i="2"/>
  <c r="D99" i="9" s="1"/>
  <c r="E671" i="2"/>
  <c r="H670" i="2"/>
  <c r="G670" i="2"/>
  <c r="C99" i="10" s="1"/>
  <c r="F670" i="2"/>
  <c r="C99" i="9" s="1"/>
  <c r="C670" i="2"/>
  <c r="H669" i="2"/>
  <c r="G669" i="2"/>
  <c r="C669" i="2"/>
  <c r="A99" i="20" s="1"/>
  <c r="H668" i="2"/>
  <c r="H98" i="5" s="1"/>
  <c r="C668" i="2"/>
  <c r="A668" i="2"/>
  <c r="E667" i="2"/>
  <c r="C667" i="2"/>
  <c r="A667" i="2"/>
  <c r="D665" i="2"/>
  <c r="F664" i="2"/>
  <c r="D98" i="3" s="1"/>
  <c r="E664" i="2"/>
  <c r="D664" i="2"/>
  <c r="F663" i="2"/>
  <c r="C98" i="3" s="1"/>
  <c r="E663" i="2"/>
  <c r="G662" i="2"/>
  <c r="B98" i="10" s="1"/>
  <c r="F662" i="2"/>
  <c r="B98" i="9" s="1"/>
  <c r="H661" i="2"/>
  <c r="H97" i="5" s="1"/>
  <c r="G661" i="2"/>
  <c r="H97" i="4" s="1"/>
  <c r="C661" i="2"/>
  <c r="H660" i="2"/>
  <c r="G97" i="5" s="1"/>
  <c r="C660" i="2"/>
  <c r="A660" i="2"/>
  <c r="C659" i="2"/>
  <c r="A659" i="2"/>
  <c r="D658" i="2"/>
  <c r="D657" i="2"/>
  <c r="E656" i="2"/>
  <c r="D656" i="2"/>
  <c r="F655" i="2"/>
  <c r="B97" i="9" s="1"/>
  <c r="E655" i="2"/>
  <c r="G654" i="2"/>
  <c r="H96" i="4" s="1"/>
  <c r="F654" i="2"/>
  <c r="H96" i="3" s="1"/>
  <c r="C654" i="2"/>
  <c r="H653" i="2"/>
  <c r="G96" i="5" s="1"/>
  <c r="G653" i="2"/>
  <c r="G96" i="4" s="1"/>
  <c r="H652" i="2"/>
  <c r="F96" i="5" s="1"/>
  <c r="C652" i="2"/>
  <c r="A652" i="2"/>
  <c r="C651" i="2"/>
  <c r="A651" i="2"/>
  <c r="D649" i="2"/>
  <c r="E648" i="2"/>
  <c r="D648" i="2"/>
  <c r="H647" i="2"/>
  <c r="H95" i="5" s="1"/>
  <c r="F647" i="2"/>
  <c r="H95" i="3" s="1"/>
  <c r="E647" i="2"/>
  <c r="H646" i="2"/>
  <c r="G95" i="5" s="1"/>
  <c r="G646" i="2"/>
  <c r="G95" i="4" s="1"/>
  <c r="F646" i="2"/>
  <c r="G95" i="3" s="1"/>
  <c r="H645" i="2"/>
  <c r="F95" i="5" s="1"/>
  <c r="G645" i="2"/>
  <c r="F95" i="4" s="1"/>
  <c r="C645" i="2"/>
  <c r="H644" i="2"/>
  <c r="E95" i="5" s="1"/>
  <c r="C644" i="2"/>
  <c r="A644" i="2"/>
  <c r="C643" i="2"/>
  <c r="A643" i="2"/>
  <c r="D642" i="2"/>
  <c r="D641" i="2"/>
  <c r="E640" i="2"/>
  <c r="D640" i="2"/>
  <c r="H639" i="2"/>
  <c r="G94" i="5" s="1"/>
  <c r="F639" i="2"/>
  <c r="G94" i="3" s="1"/>
  <c r="E639" i="2"/>
  <c r="H638" i="2"/>
  <c r="F94" i="5" s="1"/>
  <c r="G638" i="2"/>
  <c r="F94" i="4" s="1"/>
  <c r="F638" i="2"/>
  <c r="F94" i="3" s="1"/>
  <c r="H637" i="2"/>
  <c r="E94" i="5" s="1"/>
  <c r="G637" i="2"/>
  <c r="E94" i="4" s="1"/>
  <c r="C637" i="2"/>
  <c r="H636" i="2"/>
  <c r="D94" i="5" s="1"/>
  <c r="C636" i="2"/>
  <c r="A636" i="2"/>
  <c r="C635" i="2"/>
  <c r="A635" i="2"/>
  <c r="D634" i="2"/>
  <c r="D633" i="2"/>
  <c r="E632" i="2"/>
  <c r="D632" i="2"/>
  <c r="G631" i="2"/>
  <c r="F93" i="4" s="1"/>
  <c r="F631" i="2"/>
  <c r="F93" i="3" s="1"/>
  <c r="E631" i="2"/>
  <c r="H630" i="2"/>
  <c r="E93" i="5" s="1"/>
  <c r="G630" i="2"/>
  <c r="E93" i="4" s="1"/>
  <c r="F630" i="2"/>
  <c r="E93" i="3" s="1"/>
  <c r="H629" i="2"/>
  <c r="D93" i="5" s="1"/>
  <c r="G629" i="2"/>
  <c r="D93" i="4" s="1"/>
  <c r="H628" i="2"/>
  <c r="C93" i="5" s="1"/>
  <c r="C628" i="2"/>
  <c r="A628" i="2"/>
  <c r="C627" i="2"/>
  <c r="A93" i="20" s="1"/>
  <c r="A627" i="2"/>
  <c r="A92" i="20" s="1"/>
  <c r="D625" i="2"/>
  <c r="G624" i="2"/>
  <c r="F624" i="2"/>
  <c r="E624" i="2"/>
  <c r="D624" i="2"/>
  <c r="F623" i="2"/>
  <c r="E623" i="2"/>
  <c r="G622" i="2"/>
  <c r="F622" i="2"/>
  <c r="A622" i="2"/>
  <c r="H621" i="2"/>
  <c r="G621" i="2"/>
  <c r="C621" i="2"/>
  <c r="H620" i="2"/>
  <c r="C620" i="2"/>
  <c r="A620" i="2"/>
  <c r="E619" i="2"/>
  <c r="C619" i="2"/>
  <c r="A619" i="2"/>
  <c r="D617" i="2"/>
  <c r="E616" i="2"/>
  <c r="D616" i="2"/>
  <c r="H615" i="2"/>
  <c r="F615" i="2"/>
  <c r="E615" i="2"/>
  <c r="H614" i="2"/>
  <c r="G614" i="2"/>
  <c r="F614" i="2"/>
  <c r="H613" i="2"/>
  <c r="G613" i="2"/>
  <c r="C613" i="2"/>
  <c r="H612" i="2"/>
  <c r="H91" i="5" s="1"/>
  <c r="C612" i="2"/>
  <c r="A612" i="2"/>
  <c r="C611" i="2"/>
  <c r="A611" i="2"/>
  <c r="D610" i="2"/>
  <c r="D609" i="2"/>
  <c r="E608" i="2"/>
  <c r="D608" i="2"/>
  <c r="F607" i="2"/>
  <c r="C91" i="3" s="1"/>
  <c r="E607" i="2"/>
  <c r="G606" i="2"/>
  <c r="B91" i="10" s="1"/>
  <c r="F606" i="2"/>
  <c r="B91" i="9" s="1"/>
  <c r="H605" i="2"/>
  <c r="H90" i="5" s="1"/>
  <c r="G605" i="2"/>
  <c r="H90" i="4" s="1"/>
  <c r="A605" i="2"/>
  <c r="H604" i="2"/>
  <c r="G90" i="5" s="1"/>
  <c r="C604" i="2"/>
  <c r="A604" i="2"/>
  <c r="C603" i="2"/>
  <c r="A603" i="2"/>
  <c r="D602" i="2"/>
  <c r="D601" i="2"/>
  <c r="F600" i="2"/>
  <c r="C90" i="3" s="1"/>
  <c r="E600" i="2"/>
  <c r="D600" i="2"/>
  <c r="H599" i="2"/>
  <c r="F599" i="2"/>
  <c r="B90" i="9" s="1"/>
  <c r="E599" i="2"/>
  <c r="H598" i="2"/>
  <c r="H89" i="5" s="1"/>
  <c r="G598" i="2"/>
  <c r="H89" i="4" s="1"/>
  <c r="F598" i="2"/>
  <c r="H89" i="3" s="1"/>
  <c r="H597" i="2"/>
  <c r="G89" i="5" s="1"/>
  <c r="G597" i="2"/>
  <c r="G89" i="4" s="1"/>
  <c r="H596" i="2"/>
  <c r="F89" i="5" s="1"/>
  <c r="C596" i="2"/>
  <c r="A596" i="2"/>
  <c r="C595" i="2"/>
  <c r="A595" i="2"/>
  <c r="D594" i="2"/>
  <c r="D593" i="2"/>
  <c r="E592" i="2"/>
  <c r="D592" i="2"/>
  <c r="G591" i="2"/>
  <c r="H87" i="4" s="1"/>
  <c r="F591" i="2"/>
  <c r="H87" i="3" s="1"/>
  <c r="E591" i="2"/>
  <c r="C591" i="2"/>
  <c r="G590" i="2"/>
  <c r="G87" i="4" s="1"/>
  <c r="F590" i="2"/>
  <c r="G87" i="3" s="1"/>
  <c r="H589" i="2"/>
  <c r="F87" i="5" s="1"/>
  <c r="G589" i="2"/>
  <c r="F87" i="4" s="1"/>
  <c r="A589" i="2"/>
  <c r="H588" i="2"/>
  <c r="E87" i="5" s="1"/>
  <c r="C588" i="2"/>
  <c r="A588" i="2"/>
  <c r="D587" i="2"/>
  <c r="C587" i="2"/>
  <c r="A587" i="2"/>
  <c r="D585" i="2"/>
  <c r="F584" i="2"/>
  <c r="H86" i="3" s="1"/>
  <c r="E584" i="2"/>
  <c r="D584" i="2"/>
  <c r="F583" i="2"/>
  <c r="G86" i="3" s="1"/>
  <c r="E583" i="2"/>
  <c r="G582" i="2"/>
  <c r="F86" i="4" s="1"/>
  <c r="F582" i="2"/>
  <c r="F86" i="3" s="1"/>
  <c r="C582" i="2"/>
  <c r="A582" i="2"/>
  <c r="H581" i="2"/>
  <c r="E86" i="5" s="1"/>
  <c r="G581" i="2"/>
  <c r="E86" i="4" s="1"/>
  <c r="C581" i="2"/>
  <c r="H580" i="2"/>
  <c r="D86" i="5" s="1"/>
  <c r="C580" i="2"/>
  <c r="A580" i="2"/>
  <c r="C579" i="2"/>
  <c r="A579" i="2"/>
  <c r="D577" i="2"/>
  <c r="E576" i="2"/>
  <c r="D576" i="2"/>
  <c r="H575" i="2"/>
  <c r="F85" i="5" s="1"/>
  <c r="G575" i="2"/>
  <c r="F85" i="4" s="1"/>
  <c r="F575" i="2"/>
  <c r="F85" i="3" s="1"/>
  <c r="E575" i="2"/>
  <c r="H574" i="2"/>
  <c r="E85" i="5" s="1"/>
  <c r="G574" i="2"/>
  <c r="E85" i="4" s="1"/>
  <c r="F574" i="2"/>
  <c r="E85" i="3" s="1"/>
  <c r="H573" i="2"/>
  <c r="D85" i="5" s="1"/>
  <c r="G573" i="2"/>
  <c r="D85" i="4" s="1"/>
  <c r="C573" i="2"/>
  <c r="H572" i="2"/>
  <c r="C85" i="5" s="1"/>
  <c r="C572" i="2"/>
  <c r="A572" i="2"/>
  <c r="C571" i="2"/>
  <c r="A85" i="20" s="1"/>
  <c r="A571" i="2"/>
  <c r="D570" i="2"/>
  <c r="D569" i="2"/>
  <c r="E568" i="2"/>
  <c r="D568" i="2"/>
  <c r="G567" i="2"/>
  <c r="E84" i="4" s="1"/>
  <c r="F567" i="2"/>
  <c r="E84" i="3" s="1"/>
  <c r="E567" i="2"/>
  <c r="C567" i="2"/>
  <c r="H566" i="2"/>
  <c r="D84" i="5" s="1"/>
  <c r="G566" i="2"/>
  <c r="D84" i="4" s="1"/>
  <c r="F566" i="2"/>
  <c r="D84" i="3" s="1"/>
  <c r="H565" i="2"/>
  <c r="C84" i="5" s="1"/>
  <c r="G565" i="2"/>
  <c r="C84" i="4" s="1"/>
  <c r="A565" i="2"/>
  <c r="H564" i="2"/>
  <c r="C564" i="2"/>
  <c r="A84" i="20" s="1"/>
  <c r="A564" i="2"/>
  <c r="C563" i="2"/>
  <c r="A563" i="2"/>
  <c r="D562" i="2"/>
  <c r="F561" i="2"/>
  <c r="F83" i="3" s="1"/>
  <c r="D561" i="2"/>
  <c r="F560" i="2"/>
  <c r="E83" i="3" s="1"/>
  <c r="E560" i="2"/>
  <c r="D560" i="2"/>
  <c r="G559" i="2"/>
  <c r="D83" i="4" s="1"/>
  <c r="F559" i="2"/>
  <c r="D83" i="3" s="1"/>
  <c r="E559" i="2"/>
  <c r="G558" i="2"/>
  <c r="C83" i="4" s="1"/>
  <c r="F558" i="2"/>
  <c r="C83" i="3" s="1"/>
  <c r="H557" i="2"/>
  <c r="G557" i="2"/>
  <c r="B83" i="10" s="1"/>
  <c r="C557" i="2"/>
  <c r="A83" i="20" s="1"/>
  <c r="A557" i="2"/>
  <c r="H556" i="2"/>
  <c r="H82" i="5" s="1"/>
  <c r="C556" i="2"/>
  <c r="A556" i="2"/>
  <c r="C555" i="2"/>
  <c r="A555" i="2"/>
  <c r="G554" i="2"/>
  <c r="F82" i="4" s="1"/>
  <c r="G553" i="2"/>
  <c r="E82" i="4" s="1"/>
  <c r="F553" i="2"/>
  <c r="E82" i="3" s="1"/>
  <c r="D553" i="2"/>
  <c r="E552" i="2"/>
  <c r="D552" i="2"/>
  <c r="H551" i="2"/>
  <c r="C82" i="5" s="1"/>
  <c r="F551" i="2"/>
  <c r="C82" i="3" s="1"/>
  <c r="E551" i="2"/>
  <c r="C551" i="2"/>
  <c r="H550" i="2"/>
  <c r="G550" i="2"/>
  <c r="B82" i="10" s="1"/>
  <c r="F550" i="2"/>
  <c r="B82" i="9" s="1"/>
  <c r="H549" i="2"/>
  <c r="G549" i="2"/>
  <c r="C549" i="2"/>
  <c r="H548" i="2"/>
  <c r="C548" i="2"/>
  <c r="A548" i="2"/>
  <c r="C547" i="2"/>
  <c r="A547" i="2"/>
  <c r="D546" i="2"/>
  <c r="D545" i="2"/>
  <c r="E544" i="2"/>
  <c r="D544" i="2"/>
  <c r="F543" i="2"/>
  <c r="E543" i="2"/>
  <c r="H542" i="2"/>
  <c r="G542" i="2"/>
  <c r="F542" i="2"/>
  <c r="C542" i="2"/>
  <c r="H541" i="2"/>
  <c r="G541" i="2"/>
  <c r="C541" i="2"/>
  <c r="H540" i="2"/>
  <c r="C540" i="2"/>
  <c r="A540" i="2"/>
  <c r="C539" i="2"/>
  <c r="A539" i="2"/>
  <c r="D537" i="2"/>
  <c r="F536" i="2"/>
  <c r="E536" i="2"/>
  <c r="D536" i="2"/>
  <c r="H535" i="2"/>
  <c r="H80" i="5" s="1"/>
  <c r="G535" i="2"/>
  <c r="H80" i="4" s="1"/>
  <c r="F535" i="2"/>
  <c r="H80" i="3" s="1"/>
  <c r="E535" i="2"/>
  <c r="H534" i="2"/>
  <c r="G80" i="5" s="1"/>
  <c r="G534" i="2"/>
  <c r="G80" i="4" s="1"/>
  <c r="F534" i="2"/>
  <c r="G80" i="3" s="1"/>
  <c r="H533" i="2"/>
  <c r="F80" i="5" s="1"/>
  <c r="G533" i="2"/>
  <c r="F80" i="4" s="1"/>
  <c r="A533" i="2"/>
  <c r="H532" i="2"/>
  <c r="E80" i="5" s="1"/>
  <c r="C532" i="2"/>
  <c r="A532" i="2"/>
  <c r="D531" i="2"/>
  <c r="C531" i="2"/>
  <c r="A531" i="2"/>
  <c r="D530" i="2"/>
  <c r="D529" i="2"/>
  <c r="G528" i="2"/>
  <c r="H78" i="4" s="1"/>
  <c r="E528" i="2"/>
  <c r="D528" i="2"/>
  <c r="G527" i="2"/>
  <c r="G78" i="4" s="1"/>
  <c r="F527" i="2"/>
  <c r="G78" i="3" s="1"/>
  <c r="E527" i="2"/>
  <c r="G526" i="2"/>
  <c r="F78" i="4" s="1"/>
  <c r="F526" i="2"/>
  <c r="F78" i="3" s="1"/>
  <c r="A526" i="2"/>
  <c r="H525" i="2"/>
  <c r="E78" i="5" s="1"/>
  <c r="G525" i="2"/>
  <c r="E78" i="4" s="1"/>
  <c r="A525" i="2"/>
  <c r="H524" i="2"/>
  <c r="D78" i="5" s="1"/>
  <c r="C524" i="2"/>
  <c r="A524" i="2"/>
  <c r="C523" i="2"/>
  <c r="A523" i="2"/>
  <c r="D521" i="2"/>
  <c r="F520" i="2"/>
  <c r="G77" i="3" s="1"/>
  <c r="E520" i="2"/>
  <c r="D520" i="2"/>
  <c r="F519" i="2"/>
  <c r="F77" i="3" s="1"/>
  <c r="E519" i="2"/>
  <c r="G518" i="2"/>
  <c r="E77" i="4" s="1"/>
  <c r="F518" i="2"/>
  <c r="E77" i="3" s="1"/>
  <c r="H517" i="2"/>
  <c r="D77" i="5" s="1"/>
  <c r="G517" i="2"/>
  <c r="D77" i="4" s="1"/>
  <c r="H516" i="2"/>
  <c r="C77" i="5" s="1"/>
  <c r="C516" i="2"/>
  <c r="A516" i="2"/>
  <c r="C515" i="2"/>
  <c r="A515" i="2"/>
  <c r="F513" i="2"/>
  <c r="G76" i="3" s="1"/>
  <c r="D513" i="2"/>
  <c r="H512" i="2"/>
  <c r="F76" i="5" s="1"/>
  <c r="E512" i="2"/>
  <c r="D512" i="2"/>
  <c r="G511" i="2"/>
  <c r="E76" i="4" s="1"/>
  <c r="F511" i="2"/>
  <c r="E76" i="3" s="1"/>
  <c r="E511" i="2"/>
  <c r="C511" i="2"/>
  <c r="A511" i="2"/>
  <c r="H510" i="2"/>
  <c r="D76" i="5" s="1"/>
  <c r="G510" i="2"/>
  <c r="D76" i="4" s="1"/>
  <c r="F510" i="2"/>
  <c r="D76" i="3" s="1"/>
  <c r="H509" i="2"/>
  <c r="C76" i="5" s="1"/>
  <c r="G509" i="2"/>
  <c r="C76" i="4" s="1"/>
  <c r="C509" i="2"/>
  <c r="H508" i="2"/>
  <c r="C508" i="2"/>
  <c r="A76" i="20" s="1"/>
  <c r="A508" i="2"/>
  <c r="C507" i="2"/>
  <c r="A507" i="2"/>
  <c r="F506" i="2"/>
  <c r="G75" i="3" s="1"/>
  <c r="D506" i="2"/>
  <c r="D505" i="2"/>
  <c r="E504" i="2"/>
  <c r="D504" i="2"/>
  <c r="G503" i="2"/>
  <c r="D75" i="4" s="1"/>
  <c r="F503" i="2"/>
  <c r="D75" i="3" s="1"/>
  <c r="E503" i="2"/>
  <c r="H502" i="2"/>
  <c r="C75" i="5" s="1"/>
  <c r="G502" i="2"/>
  <c r="C75" i="4" s="1"/>
  <c r="F502" i="2"/>
  <c r="C75" i="3" s="1"/>
  <c r="H501" i="2"/>
  <c r="G501" i="2"/>
  <c r="B75" i="10" s="1"/>
  <c r="A501" i="2"/>
  <c r="H500" i="2"/>
  <c r="H74" i="5" s="1"/>
  <c r="C500" i="2"/>
  <c r="A500" i="2"/>
  <c r="C499" i="2"/>
  <c r="A499" i="2"/>
  <c r="D498" i="2"/>
  <c r="D497" i="2"/>
  <c r="E496" i="2"/>
  <c r="D496" i="2"/>
  <c r="G495" i="2"/>
  <c r="C74" i="4" s="1"/>
  <c r="F495" i="2"/>
  <c r="C74" i="3" s="1"/>
  <c r="E495" i="2"/>
  <c r="G494" i="2"/>
  <c r="B74" i="10" s="1"/>
  <c r="F494" i="2"/>
  <c r="B74" i="9" s="1"/>
  <c r="H493" i="2"/>
  <c r="H73" i="5" s="1"/>
  <c r="G493" i="2"/>
  <c r="H73" i="4" s="1"/>
  <c r="C493" i="2"/>
  <c r="A493" i="2"/>
  <c r="H492" i="2"/>
  <c r="G73" i="5" s="1"/>
  <c r="C492" i="2"/>
  <c r="A492" i="2"/>
  <c r="C491" i="2"/>
  <c r="A491" i="2"/>
  <c r="F490" i="2"/>
  <c r="E73" i="3" s="1"/>
  <c r="D489" i="2"/>
  <c r="F488" i="2"/>
  <c r="C73" i="3" s="1"/>
  <c r="E488" i="2"/>
  <c r="D488" i="2"/>
  <c r="H487" i="2"/>
  <c r="F487" i="2"/>
  <c r="B73" i="9" s="1"/>
  <c r="E487" i="2"/>
  <c r="H486" i="2"/>
  <c r="H72" i="5" s="1"/>
  <c r="G486" i="2"/>
  <c r="H72" i="4" s="1"/>
  <c r="F486" i="2"/>
  <c r="H72" i="3" s="1"/>
  <c r="H485" i="2"/>
  <c r="G72" i="5" s="1"/>
  <c r="G485" i="2"/>
  <c r="G72" i="4" s="1"/>
  <c r="C485" i="2"/>
  <c r="H484" i="2"/>
  <c r="F72" i="5" s="1"/>
  <c r="C484" i="2"/>
  <c r="A484" i="2"/>
  <c r="C483" i="2"/>
  <c r="A483" i="2"/>
  <c r="D482" i="2"/>
  <c r="D481" i="2"/>
  <c r="E480" i="2"/>
  <c r="D480" i="2"/>
  <c r="F479" i="2"/>
  <c r="H71" i="3" s="1"/>
  <c r="E479" i="2"/>
  <c r="H478" i="2"/>
  <c r="G71" i="5" s="1"/>
  <c r="G478" i="2"/>
  <c r="G71" i="4" s="1"/>
  <c r="F478" i="2"/>
  <c r="G71" i="3" s="1"/>
  <c r="C478" i="2"/>
  <c r="A478" i="2"/>
  <c r="H477" i="2"/>
  <c r="F71" i="5" s="1"/>
  <c r="G477" i="2"/>
  <c r="F71" i="4" s="1"/>
  <c r="C477" i="2"/>
  <c r="A477" i="2"/>
  <c r="H476" i="2"/>
  <c r="E71" i="5" s="1"/>
  <c r="C476" i="2"/>
  <c r="A476" i="2"/>
  <c r="C475" i="2"/>
  <c r="A475" i="2"/>
  <c r="D474" i="2"/>
  <c r="G473" i="2"/>
  <c r="B71" i="10" s="1"/>
  <c r="F473" i="2"/>
  <c r="B71" i="9" s="1"/>
  <c r="E473" i="2"/>
  <c r="D473" i="2"/>
  <c r="F472" i="2"/>
  <c r="E472" i="2"/>
  <c r="D472" i="2"/>
  <c r="F471" i="2"/>
  <c r="E471" i="2"/>
  <c r="H470" i="2"/>
  <c r="G470" i="2"/>
  <c r="F470" i="2"/>
  <c r="H469" i="2"/>
  <c r="G469" i="2"/>
  <c r="C469" i="2"/>
  <c r="A469" i="2"/>
  <c r="H468" i="2"/>
  <c r="C468" i="2"/>
  <c r="A468" i="2"/>
  <c r="C467" i="2"/>
  <c r="A467" i="2"/>
  <c r="F466" i="2"/>
  <c r="D465" i="2"/>
  <c r="F464" i="2"/>
  <c r="E464" i="2"/>
  <c r="D464" i="2"/>
  <c r="G463" i="2"/>
  <c r="F463" i="2"/>
  <c r="E463" i="2"/>
  <c r="H462" i="2"/>
  <c r="G462" i="2"/>
  <c r="F462" i="2"/>
  <c r="H461" i="2"/>
  <c r="G461" i="2"/>
  <c r="C461" i="2"/>
  <c r="H460" i="2"/>
  <c r="C460" i="2"/>
  <c r="A460" i="2"/>
  <c r="C459" i="2"/>
  <c r="A459" i="2"/>
  <c r="E458" i="2"/>
  <c r="D458" i="2"/>
  <c r="E457" i="2"/>
  <c r="D457" i="2"/>
  <c r="E456" i="2"/>
  <c r="D456" i="2"/>
  <c r="G455" i="2"/>
  <c r="E69" i="4" s="1"/>
  <c r="F455" i="2"/>
  <c r="E69" i="3" s="1"/>
  <c r="E455" i="2"/>
  <c r="H454" i="2"/>
  <c r="D69" i="5" s="1"/>
  <c r="G454" i="2"/>
  <c r="D69" i="4" s="1"/>
  <c r="F454" i="2"/>
  <c r="D69" i="3" s="1"/>
  <c r="C454" i="2"/>
  <c r="H453" i="2"/>
  <c r="C69" i="5" s="1"/>
  <c r="G453" i="2"/>
  <c r="C69" i="4" s="1"/>
  <c r="C453" i="2"/>
  <c r="A453" i="2"/>
  <c r="H452" i="2"/>
  <c r="D452" i="2"/>
  <c r="C452" i="2"/>
  <c r="A69" i="20" s="1"/>
  <c r="A452" i="2"/>
  <c r="C451" i="2"/>
  <c r="A451" i="2"/>
  <c r="E450" i="2"/>
  <c r="D450" i="2"/>
  <c r="E449" i="2"/>
  <c r="D449" i="2"/>
  <c r="F448" i="2"/>
  <c r="E67" i="3" s="1"/>
  <c r="E448" i="2"/>
  <c r="D448" i="2"/>
  <c r="G447" i="2"/>
  <c r="D67" i="4" s="1"/>
  <c r="F447" i="2"/>
  <c r="D67" i="3" s="1"/>
  <c r="E447" i="2"/>
  <c r="G446" i="2"/>
  <c r="C67" i="4" s="1"/>
  <c r="F446" i="2"/>
  <c r="C67" i="3" s="1"/>
  <c r="C446" i="2"/>
  <c r="A446" i="2"/>
  <c r="H445" i="2"/>
  <c r="G445" i="2"/>
  <c r="B67" i="10" s="1"/>
  <c r="C445" i="2"/>
  <c r="A67" i="20" s="1"/>
  <c r="A445" i="2"/>
  <c r="H444" i="2"/>
  <c r="H65" i="5" s="1"/>
  <c r="D444" i="2"/>
  <c r="C444" i="2"/>
  <c r="A444" i="2"/>
  <c r="C443" i="2"/>
  <c r="A443" i="2"/>
  <c r="D442" i="2"/>
  <c r="D441" i="2"/>
  <c r="F440" i="2"/>
  <c r="D65" i="3" s="1"/>
  <c r="E440" i="2"/>
  <c r="D440" i="2"/>
  <c r="G439" i="2"/>
  <c r="C65" i="4" s="1"/>
  <c r="F439" i="2"/>
  <c r="C65" i="3" s="1"/>
  <c r="E439" i="2"/>
  <c r="H438" i="2"/>
  <c r="G438" i="2"/>
  <c r="B65" i="10" s="1"/>
  <c r="F438" i="2"/>
  <c r="B65" i="9" s="1"/>
  <c r="H437" i="2"/>
  <c r="H64" i="5" s="1"/>
  <c r="G437" i="2"/>
  <c r="H64" i="4" s="1"/>
  <c r="H436" i="2"/>
  <c r="G64" i="5" s="1"/>
  <c r="C436" i="2"/>
  <c r="A436" i="2"/>
  <c r="C435" i="2"/>
  <c r="A435" i="2"/>
  <c r="D434" i="2"/>
  <c r="E433" i="2"/>
  <c r="D433" i="2"/>
  <c r="F432" i="2"/>
  <c r="C64" i="3" s="1"/>
  <c r="E432" i="2"/>
  <c r="D432" i="2"/>
  <c r="F431" i="2"/>
  <c r="B64" i="9" s="1"/>
  <c r="E431" i="2"/>
  <c r="H430" i="2"/>
  <c r="H63" i="5" s="1"/>
  <c r="G430" i="2"/>
  <c r="H63" i="4" s="1"/>
  <c r="F430" i="2"/>
  <c r="H63" i="3" s="1"/>
  <c r="C430" i="2"/>
  <c r="H429" i="2"/>
  <c r="G63" i="5" s="1"/>
  <c r="G429" i="2"/>
  <c r="G63" i="4" s="1"/>
  <c r="C429" i="2"/>
  <c r="A429" i="2"/>
  <c r="H428" i="2"/>
  <c r="F63" i="5" s="1"/>
  <c r="C428" i="2"/>
  <c r="A428" i="2"/>
  <c r="C427" i="2"/>
  <c r="A427" i="2"/>
  <c r="F425" i="2"/>
  <c r="C63" i="3" s="1"/>
  <c r="E425" i="2"/>
  <c r="D425" i="2"/>
  <c r="F424" i="2"/>
  <c r="B63" i="9" s="1"/>
  <c r="E424" i="2"/>
  <c r="D424" i="2"/>
  <c r="G423" i="2"/>
  <c r="H62" i="4" s="1"/>
  <c r="F423" i="2"/>
  <c r="H62" i="3" s="1"/>
  <c r="E423" i="2"/>
  <c r="G422" i="2"/>
  <c r="G62" i="4" s="1"/>
  <c r="F422" i="2"/>
  <c r="G62" i="3" s="1"/>
  <c r="C422" i="2"/>
  <c r="H421" i="2"/>
  <c r="F62" i="5" s="1"/>
  <c r="G421" i="2"/>
  <c r="F62" i="4" s="1"/>
  <c r="C421" i="2"/>
  <c r="A421" i="2"/>
  <c r="H420" i="2"/>
  <c r="E62" i="5" s="1"/>
  <c r="C420" i="2"/>
  <c r="A420" i="2"/>
  <c r="C419" i="2"/>
  <c r="A419" i="2"/>
  <c r="D418" i="2"/>
  <c r="E417" i="2"/>
  <c r="D417" i="2"/>
  <c r="E416" i="2"/>
  <c r="D416" i="2"/>
  <c r="G415" i="2"/>
  <c r="G61" i="4" s="1"/>
  <c r="F415" i="2"/>
  <c r="G61" i="3" s="1"/>
  <c r="E415" i="2"/>
  <c r="H414" i="2"/>
  <c r="F61" i="5" s="1"/>
  <c r="G414" i="2"/>
  <c r="F61" i="4" s="1"/>
  <c r="F414" i="2"/>
  <c r="F61" i="3" s="1"/>
  <c r="H413" i="2"/>
  <c r="E61" i="5" s="1"/>
  <c r="G413" i="2"/>
  <c r="E61" i="4" s="1"/>
  <c r="A413" i="2"/>
  <c r="H412" i="2"/>
  <c r="D61" i="5" s="1"/>
  <c r="C412" i="2"/>
  <c r="A412" i="2"/>
  <c r="C411" i="2"/>
  <c r="A411" i="2"/>
  <c r="D410" i="2"/>
  <c r="E409" i="2"/>
  <c r="D409" i="2"/>
  <c r="F408" i="2"/>
  <c r="G60" i="3" s="1"/>
  <c r="E408" i="2"/>
  <c r="D408" i="2"/>
  <c r="F407" i="2"/>
  <c r="F60" i="3" s="1"/>
  <c r="E407" i="2"/>
  <c r="H406" i="2"/>
  <c r="E60" i="5" s="1"/>
  <c r="G406" i="2"/>
  <c r="E60" i="4" s="1"/>
  <c r="F406" i="2"/>
  <c r="E60" i="3" s="1"/>
  <c r="H405" i="2"/>
  <c r="D60" i="5" s="1"/>
  <c r="G405" i="2"/>
  <c r="D60" i="4" s="1"/>
  <c r="C405" i="2"/>
  <c r="A405" i="2"/>
  <c r="H404" i="2"/>
  <c r="C60" i="5" s="1"/>
  <c r="C404" i="2"/>
  <c r="A404" i="2"/>
  <c r="C403" i="2"/>
  <c r="A60" i="20" s="1"/>
  <c r="A403" i="2"/>
  <c r="A59" i="20" s="1"/>
  <c r="F401" i="2"/>
  <c r="D401" i="2"/>
  <c r="F400" i="2"/>
  <c r="E400" i="2"/>
  <c r="D400" i="2"/>
  <c r="H399" i="2"/>
  <c r="G399" i="2"/>
  <c r="F399" i="2"/>
  <c r="E399" i="2"/>
  <c r="H398" i="2"/>
  <c r="G398" i="2"/>
  <c r="F398" i="2"/>
  <c r="H397" i="2"/>
  <c r="G397" i="2"/>
  <c r="C397" i="2"/>
  <c r="H396" i="2"/>
  <c r="C396" i="2"/>
  <c r="A396" i="2"/>
  <c r="C395" i="2"/>
  <c r="A395" i="2"/>
  <c r="E394" i="2"/>
  <c r="D394" i="2"/>
  <c r="E393" i="2"/>
  <c r="D393" i="2"/>
  <c r="E392" i="2"/>
  <c r="D392" i="2"/>
  <c r="H391" i="2"/>
  <c r="G391" i="2"/>
  <c r="F391" i="2"/>
  <c r="E391" i="2"/>
  <c r="H390" i="2"/>
  <c r="G390" i="2"/>
  <c r="F390" i="2"/>
  <c r="C390" i="2"/>
  <c r="A390" i="2"/>
  <c r="H389" i="2"/>
  <c r="G389" i="2"/>
  <c r="C389" i="2"/>
  <c r="A389" i="2"/>
  <c r="H388" i="2"/>
  <c r="H58" i="5" s="1"/>
  <c r="C388" i="2"/>
  <c r="A388" i="2"/>
  <c r="D387" i="2"/>
  <c r="C387" i="2"/>
  <c r="A387" i="2"/>
  <c r="D386" i="2"/>
  <c r="G385" i="2"/>
  <c r="E58" i="4" s="1"/>
  <c r="F385" i="2"/>
  <c r="E58" i="3" s="1"/>
  <c r="E385" i="2"/>
  <c r="D385" i="2"/>
  <c r="F384" i="2"/>
  <c r="D58" i="3" s="1"/>
  <c r="E384" i="2"/>
  <c r="D384" i="2"/>
  <c r="G383" i="2"/>
  <c r="C58" i="4" s="1"/>
  <c r="F383" i="2"/>
  <c r="C58" i="3" s="1"/>
  <c r="E383" i="2"/>
  <c r="G382" i="2"/>
  <c r="B58" i="10" s="1"/>
  <c r="F382" i="2"/>
  <c r="B58" i="9" s="1"/>
  <c r="H381" i="2"/>
  <c r="H57" i="5" s="1"/>
  <c r="G381" i="2"/>
  <c r="H57" i="4" s="1"/>
  <c r="C381" i="2"/>
  <c r="A381" i="2"/>
  <c r="H380" i="2"/>
  <c r="G57" i="5" s="1"/>
  <c r="C380" i="2"/>
  <c r="A380" i="2"/>
  <c r="C379" i="2"/>
  <c r="A379" i="2"/>
  <c r="D378" i="2"/>
  <c r="D377" i="2"/>
  <c r="F376" i="2"/>
  <c r="C57" i="3" s="1"/>
  <c r="E376" i="2"/>
  <c r="D376" i="2"/>
  <c r="G375" i="2"/>
  <c r="B57" i="10" s="1"/>
  <c r="F375" i="2"/>
  <c r="B57" i="9" s="1"/>
  <c r="E375" i="2"/>
  <c r="H374" i="2"/>
  <c r="H56" i="5" s="1"/>
  <c r="G374" i="2"/>
  <c r="H56" i="4" s="1"/>
  <c r="F374" i="2"/>
  <c r="H56" i="3" s="1"/>
  <c r="H373" i="2"/>
  <c r="G56" i="5" s="1"/>
  <c r="G373" i="2"/>
  <c r="G56" i="4" s="1"/>
  <c r="H372" i="2"/>
  <c r="F56" i="5" s="1"/>
  <c r="C372" i="2"/>
  <c r="A372" i="2"/>
  <c r="C371" i="2"/>
  <c r="A371" i="2"/>
  <c r="G370" i="2"/>
  <c r="D56" i="4" s="1"/>
  <c r="F370" i="2"/>
  <c r="D56" i="3" s="1"/>
  <c r="E370" i="2"/>
  <c r="D370" i="2"/>
  <c r="E369" i="2"/>
  <c r="D369" i="2"/>
  <c r="F368" i="2"/>
  <c r="B56" i="9" s="1"/>
  <c r="E368" i="2"/>
  <c r="D368" i="2"/>
  <c r="F367" i="2"/>
  <c r="H55" i="3" s="1"/>
  <c r="E367" i="2"/>
  <c r="H366" i="2"/>
  <c r="G55" i="5" s="1"/>
  <c r="G366" i="2"/>
  <c r="G55" i="4" s="1"/>
  <c r="F366" i="2"/>
  <c r="G55" i="3" s="1"/>
  <c r="A366" i="2"/>
  <c r="H365" i="2"/>
  <c r="F55" i="5" s="1"/>
  <c r="G365" i="2"/>
  <c r="F55" i="4" s="1"/>
  <c r="C365" i="2"/>
  <c r="A365" i="2"/>
  <c r="H364" i="2"/>
  <c r="E55" i="5" s="1"/>
  <c r="C364" i="2"/>
  <c r="A364" i="2"/>
  <c r="E363" i="2"/>
  <c r="C363" i="2"/>
  <c r="A363" i="2"/>
  <c r="F361" i="2"/>
  <c r="B55" i="3" s="1"/>
  <c r="E361" i="2"/>
  <c r="D361" i="2"/>
  <c r="G360" i="2"/>
  <c r="H54" i="4" s="1"/>
  <c r="F360" i="2"/>
  <c r="H54" i="3" s="1"/>
  <c r="E360" i="2"/>
  <c r="D360" i="2"/>
  <c r="G359" i="2"/>
  <c r="G54" i="4" s="1"/>
  <c r="F359" i="2"/>
  <c r="G54" i="3" s="1"/>
  <c r="E359" i="2"/>
  <c r="A359" i="2"/>
  <c r="G358" i="2"/>
  <c r="F54" i="4" s="1"/>
  <c r="F358" i="2"/>
  <c r="F54" i="3" s="1"/>
  <c r="H357" i="2"/>
  <c r="E54" i="5" s="1"/>
  <c r="G357" i="2"/>
  <c r="E54" i="4" s="1"/>
  <c r="C357" i="2"/>
  <c r="A357" i="2"/>
  <c r="H356" i="2"/>
  <c r="D54" i="5" s="1"/>
  <c r="C356" i="2"/>
  <c r="A356" i="2"/>
  <c r="C355" i="2"/>
  <c r="A355" i="2"/>
  <c r="D354" i="2"/>
  <c r="E353" i="2"/>
  <c r="D353" i="2"/>
  <c r="G352" i="2"/>
  <c r="G53" i="4" s="1"/>
  <c r="E352" i="2"/>
  <c r="D352" i="2"/>
  <c r="G351" i="2"/>
  <c r="F53" i="4" s="1"/>
  <c r="F351" i="2"/>
  <c r="F53" i="3" s="1"/>
  <c r="E351" i="2"/>
  <c r="H350" i="2"/>
  <c r="E53" i="5" s="1"/>
  <c r="G350" i="2"/>
  <c r="E53" i="4" s="1"/>
  <c r="F350" i="2"/>
  <c r="E53" i="3" s="1"/>
  <c r="H349" i="2"/>
  <c r="D53" i="5" s="1"/>
  <c r="G349" i="2"/>
  <c r="D53" i="4" s="1"/>
  <c r="A349" i="2"/>
  <c r="H348" i="2"/>
  <c r="C53" i="5" s="1"/>
  <c r="C348" i="2"/>
  <c r="A348" i="2"/>
  <c r="C347" i="2"/>
  <c r="A53" i="20" s="1"/>
  <c r="A347" i="2"/>
  <c r="D346" i="2"/>
  <c r="G345" i="2"/>
  <c r="G52" i="4" s="1"/>
  <c r="F345" i="2"/>
  <c r="G52" i="3" s="1"/>
  <c r="E345" i="2"/>
  <c r="D345" i="2"/>
  <c r="F344" i="2"/>
  <c r="F52" i="3" s="1"/>
  <c r="E344" i="2"/>
  <c r="D344" i="2"/>
  <c r="F343" i="2"/>
  <c r="E52" i="3" s="1"/>
  <c r="E343" i="2"/>
  <c r="H342" i="2"/>
  <c r="D52" i="5" s="1"/>
  <c r="G342" i="2"/>
  <c r="D52" i="4" s="1"/>
  <c r="F342" i="2"/>
  <c r="D52" i="3" s="1"/>
  <c r="A342" i="2"/>
  <c r="H341" i="2"/>
  <c r="C52" i="5" s="1"/>
  <c r="G341" i="2"/>
  <c r="C52" i="4" s="1"/>
  <c r="C341" i="2"/>
  <c r="A341" i="2"/>
  <c r="H340" i="2"/>
  <c r="C340" i="2"/>
  <c r="A52" i="20" s="1"/>
  <c r="A340" i="2"/>
  <c r="C339" i="2"/>
  <c r="A339" i="2"/>
  <c r="D337" i="2"/>
  <c r="F336" i="2"/>
  <c r="E51" i="3" s="1"/>
  <c r="E336" i="2"/>
  <c r="D336" i="2"/>
  <c r="G335" i="2"/>
  <c r="D51" i="4" s="1"/>
  <c r="F335" i="2"/>
  <c r="D51" i="3" s="1"/>
  <c r="E335" i="2"/>
  <c r="H334" i="2"/>
  <c r="C51" i="5" s="1"/>
  <c r="G334" i="2"/>
  <c r="C51" i="4" s="1"/>
  <c r="F334" i="2"/>
  <c r="C51" i="3" s="1"/>
  <c r="H333" i="2"/>
  <c r="G333" i="2"/>
  <c r="B51" i="10" s="1"/>
  <c r="C333" i="2"/>
  <c r="A51" i="20" s="1"/>
  <c r="H332" i="2"/>
  <c r="H50" i="5" s="1"/>
  <c r="C332" i="2"/>
  <c r="A332" i="2"/>
  <c r="D331" i="2"/>
  <c r="C331" i="2"/>
  <c r="A331" i="2"/>
  <c r="E330" i="2"/>
  <c r="D330" i="2"/>
  <c r="E329" i="2"/>
  <c r="D329" i="2"/>
  <c r="E328" i="2"/>
  <c r="D328" i="2"/>
  <c r="G327" i="2"/>
  <c r="C50" i="4" s="1"/>
  <c r="F327" i="2"/>
  <c r="C50" i="3" s="1"/>
  <c r="E327" i="2"/>
  <c r="H326" i="2"/>
  <c r="G326" i="2"/>
  <c r="B50" i="10" s="1"/>
  <c r="F326" i="2"/>
  <c r="B50" i="9" s="1"/>
  <c r="H325" i="2"/>
  <c r="H49" i="5" s="1"/>
  <c r="G325" i="2"/>
  <c r="H49" i="4" s="1"/>
  <c r="C325" i="2"/>
  <c r="A325" i="2"/>
  <c r="H324" i="2"/>
  <c r="G49" i="5" s="1"/>
  <c r="C324" i="2"/>
  <c r="A324" i="2"/>
  <c r="C323" i="2"/>
  <c r="A323" i="2"/>
  <c r="E322" i="2"/>
  <c r="D322" i="2"/>
  <c r="E321" i="2"/>
  <c r="D321" i="2"/>
  <c r="G320" i="2"/>
  <c r="C49" i="4" s="1"/>
  <c r="F320" i="2"/>
  <c r="C49" i="3" s="1"/>
  <c r="E320" i="2"/>
  <c r="D320" i="2"/>
  <c r="G319" i="2"/>
  <c r="B49" i="10" s="1"/>
  <c r="F319" i="2"/>
  <c r="B49" i="9" s="1"/>
  <c r="E319" i="2"/>
  <c r="A48" i="5"/>
  <c r="G318" i="2"/>
  <c r="F318" i="2"/>
  <c r="C318" i="2"/>
  <c r="H317" i="2"/>
  <c r="G317" i="2"/>
  <c r="C317" i="2"/>
  <c r="A317" i="2"/>
  <c r="H316" i="2"/>
  <c r="D316" i="2"/>
  <c r="C316" i="2"/>
  <c r="A316" i="2"/>
  <c r="C315" i="2"/>
  <c r="A315" i="2"/>
  <c r="D314" i="2"/>
  <c r="D313" i="2"/>
  <c r="F312" i="2"/>
  <c r="E312" i="2"/>
  <c r="D312" i="2"/>
  <c r="G311" i="2"/>
  <c r="F311" i="2"/>
  <c r="E311" i="2"/>
  <c r="H310" i="2"/>
  <c r="G310" i="2"/>
  <c r="F310" i="2"/>
  <c r="H309" i="2"/>
  <c r="G309" i="2"/>
  <c r="H308" i="2"/>
  <c r="C308" i="2"/>
  <c r="A308" i="2"/>
  <c r="E307" i="2"/>
  <c r="D307" i="2"/>
  <c r="C307" i="2"/>
  <c r="A307" i="2"/>
  <c r="D306" i="2"/>
  <c r="G305" i="2"/>
  <c r="F305" i="2"/>
  <c r="E305" i="2"/>
  <c r="D305" i="2"/>
  <c r="F304" i="2"/>
  <c r="H47" i="3" s="1"/>
  <c r="E304" i="2"/>
  <c r="D304" i="2"/>
  <c r="H303" i="2"/>
  <c r="G47" i="5" s="1"/>
  <c r="F303" i="2"/>
  <c r="G47" i="3" s="1"/>
  <c r="E303" i="2"/>
  <c r="H302" i="2"/>
  <c r="F47" i="5" s="1"/>
  <c r="G302" i="2"/>
  <c r="F47" i="4" s="1"/>
  <c r="F302" i="2"/>
  <c r="F47" i="3" s="1"/>
  <c r="A302" i="2"/>
  <c r="H301" i="2"/>
  <c r="E47" i="5" s="1"/>
  <c r="G301" i="2"/>
  <c r="E47" i="4" s="1"/>
  <c r="C301" i="2"/>
  <c r="A301" i="2"/>
  <c r="H300" i="2"/>
  <c r="D47" i="5" s="1"/>
  <c r="C300" i="2"/>
  <c r="A300" i="2"/>
  <c r="C299" i="2"/>
  <c r="A299" i="2"/>
  <c r="E297" i="2"/>
  <c r="D297" i="2"/>
  <c r="F296" i="2"/>
  <c r="G45" i="3" s="1"/>
  <c r="E296" i="2"/>
  <c r="D296" i="2"/>
  <c r="G295" i="2"/>
  <c r="F45" i="4" s="1"/>
  <c r="F295" i="2"/>
  <c r="F45" i="3" s="1"/>
  <c r="E295" i="2"/>
  <c r="G294" i="2"/>
  <c r="E45" i="4" s="1"/>
  <c r="F294" i="2"/>
  <c r="E45" i="3" s="1"/>
  <c r="C294" i="2"/>
  <c r="H293" i="2"/>
  <c r="D45" i="5" s="1"/>
  <c r="G293" i="2"/>
  <c r="D45" i="4" s="1"/>
  <c r="C293" i="2"/>
  <c r="A293" i="2"/>
  <c r="H292" i="2"/>
  <c r="C45" i="5" s="1"/>
  <c r="C292" i="2"/>
  <c r="A292" i="2"/>
  <c r="C291" i="2"/>
  <c r="A45" i="20" s="1"/>
  <c r="A291" i="2"/>
  <c r="E290" i="2"/>
  <c r="D290" i="2"/>
  <c r="E289" i="2"/>
  <c r="D289" i="2"/>
  <c r="E288" i="2"/>
  <c r="D288" i="2"/>
  <c r="H287" i="2"/>
  <c r="E43" i="5" s="1"/>
  <c r="G287" i="2"/>
  <c r="E43" i="4" s="1"/>
  <c r="F287" i="2"/>
  <c r="E43" i="3" s="1"/>
  <c r="E287" i="2"/>
  <c r="H286" i="2"/>
  <c r="D43" i="5" s="1"/>
  <c r="G286" i="2"/>
  <c r="D43" i="4" s="1"/>
  <c r="F286" i="2"/>
  <c r="D43" i="3" s="1"/>
  <c r="A286" i="2"/>
  <c r="H285" i="2"/>
  <c r="C43" i="5" s="1"/>
  <c r="G285" i="2"/>
  <c r="C43" i="4" s="1"/>
  <c r="A285" i="2"/>
  <c r="H284" i="2"/>
  <c r="C284" i="2"/>
  <c r="A43" i="20" s="1"/>
  <c r="A284" i="2"/>
  <c r="E283" i="2"/>
  <c r="D283" i="2"/>
  <c r="C283" i="2"/>
  <c r="A283" i="2"/>
  <c r="D282" i="2"/>
  <c r="F281" i="2"/>
  <c r="F42" i="3" s="1"/>
  <c r="E281" i="2"/>
  <c r="D281" i="2"/>
  <c r="F280" i="2"/>
  <c r="E42" i="3" s="1"/>
  <c r="E280" i="2"/>
  <c r="D280" i="2"/>
  <c r="F279" i="2"/>
  <c r="D42" i="3" s="1"/>
  <c r="E279" i="2"/>
  <c r="H278" i="2"/>
  <c r="C42" i="5" s="1"/>
  <c r="G278" i="2"/>
  <c r="C42" i="4" s="1"/>
  <c r="F278" i="2"/>
  <c r="C42" i="3" s="1"/>
  <c r="C278" i="2"/>
  <c r="H277" i="2"/>
  <c r="G277" i="2"/>
  <c r="B42" i="10" s="1"/>
  <c r="C277" i="2"/>
  <c r="A42" i="20" s="1"/>
  <c r="A277" i="2"/>
  <c r="H276" i="2"/>
  <c r="H41" i="5" s="1"/>
  <c r="C276" i="2"/>
  <c r="A276" i="2"/>
  <c r="C275" i="2"/>
  <c r="A275" i="2"/>
  <c r="G273" i="2"/>
  <c r="E41" i="4" s="1"/>
  <c r="F273" i="2"/>
  <c r="E41" i="3" s="1"/>
  <c r="D273" i="2"/>
  <c r="F272" i="2"/>
  <c r="D41" i="3" s="1"/>
  <c r="E272" i="2"/>
  <c r="D272" i="2"/>
  <c r="A272" i="2"/>
  <c r="H271" i="2"/>
  <c r="C41" i="5" s="1"/>
  <c r="G271" i="2"/>
  <c r="C41" i="4" s="1"/>
  <c r="F271" i="2"/>
  <c r="C41" i="3" s="1"/>
  <c r="E271" i="2"/>
  <c r="H270" i="2"/>
  <c r="G270" i="2"/>
  <c r="B41" i="10" s="1"/>
  <c r="F270" i="2"/>
  <c r="B41" i="9" s="1"/>
  <c r="A270" i="2"/>
  <c r="H269" i="2"/>
  <c r="H40" i="5" s="1"/>
  <c r="G269" i="2"/>
  <c r="H40" i="4" s="1"/>
  <c r="A269" i="2"/>
  <c r="H268" i="2"/>
  <c r="G40" i="5" s="1"/>
  <c r="C268" i="2"/>
  <c r="A268" i="2"/>
  <c r="D267" i="2"/>
  <c r="C267" i="2"/>
  <c r="A267" i="2"/>
  <c r="D266" i="2"/>
  <c r="E265" i="2"/>
  <c r="D265" i="2"/>
  <c r="F264" i="2"/>
  <c r="C40" i="3" s="1"/>
  <c r="E264" i="2"/>
  <c r="D264" i="2"/>
  <c r="G263" i="2"/>
  <c r="B40" i="10" s="1"/>
  <c r="F263" i="2"/>
  <c r="B40" i="9" s="1"/>
  <c r="E263" i="2"/>
  <c r="H262" i="2"/>
  <c r="H39" i="5" s="1"/>
  <c r="G262" i="2"/>
  <c r="H39" i="4" s="1"/>
  <c r="F262" i="2"/>
  <c r="H39" i="3" s="1"/>
  <c r="H261" i="2"/>
  <c r="G39" i="5" s="1"/>
  <c r="G261" i="2"/>
  <c r="G39" i="4" s="1"/>
  <c r="A261" i="2"/>
  <c r="H260" i="2"/>
  <c r="F39" i="5" s="1"/>
  <c r="C260" i="2"/>
  <c r="A260" i="2"/>
  <c r="C259" i="2"/>
  <c r="A259" i="2"/>
  <c r="E258" i="2"/>
  <c r="D258" i="2"/>
  <c r="F257" i="2"/>
  <c r="C39" i="3" s="1"/>
  <c r="E257" i="2"/>
  <c r="D257" i="2"/>
  <c r="F256" i="2"/>
  <c r="B39" i="9" s="1"/>
  <c r="E256" i="2"/>
  <c r="D256" i="2"/>
  <c r="H255" i="2"/>
  <c r="H38" i="5" s="1"/>
  <c r="G255" i="2"/>
  <c r="H38" i="4" s="1"/>
  <c r="F255" i="2"/>
  <c r="H38" i="3" s="1"/>
  <c r="E255" i="2"/>
  <c r="H254" i="2"/>
  <c r="G38" i="5" s="1"/>
  <c r="G254" i="2"/>
  <c r="G38" i="4" s="1"/>
  <c r="F254" i="2"/>
  <c r="G38" i="3" s="1"/>
  <c r="A254" i="2"/>
  <c r="H253" i="2"/>
  <c r="F38" i="5" s="1"/>
  <c r="G253" i="2"/>
  <c r="F38" i="4" s="1"/>
  <c r="A253" i="2"/>
  <c r="H252" i="2"/>
  <c r="E38" i="5" s="1"/>
  <c r="C252" i="2"/>
  <c r="A252" i="2"/>
  <c r="D251" i="2"/>
  <c r="C251" i="2"/>
  <c r="A251" i="2"/>
  <c r="D250" i="2"/>
  <c r="F249" i="2"/>
  <c r="B38" i="9" s="1"/>
  <c r="E249" i="2"/>
  <c r="D249" i="2"/>
  <c r="G248" i="2"/>
  <c r="F248" i="2"/>
  <c r="E248" i="2"/>
  <c r="D248" i="2"/>
  <c r="G247" i="2"/>
  <c r="F247" i="2"/>
  <c r="E247" i="2"/>
  <c r="H246" i="2"/>
  <c r="G246" i="2"/>
  <c r="F246" i="2"/>
  <c r="H245" i="2"/>
  <c r="G245" i="2"/>
  <c r="A245" i="2"/>
  <c r="H244" i="2"/>
  <c r="C244" i="2"/>
  <c r="A244" i="2"/>
  <c r="C243" i="2"/>
  <c r="A243" i="2"/>
  <c r="F242" i="2"/>
  <c r="E242" i="2"/>
  <c r="D242" i="2"/>
  <c r="E241" i="2"/>
  <c r="D241" i="2"/>
  <c r="G240" i="2"/>
  <c r="F240" i="2"/>
  <c r="E240" i="2"/>
  <c r="D240" i="2"/>
  <c r="G239" i="2"/>
  <c r="F239" i="2"/>
  <c r="E239" i="2"/>
  <c r="H238" i="2"/>
  <c r="G238" i="2"/>
  <c r="F238" i="2"/>
  <c r="H237" i="2"/>
  <c r="G237" i="2"/>
  <c r="A237" i="2"/>
  <c r="H236" i="2"/>
  <c r="C236" i="2"/>
  <c r="A236" i="2"/>
  <c r="C235" i="2"/>
  <c r="A235" i="2"/>
  <c r="D234" i="2"/>
  <c r="E233" i="2"/>
  <c r="D233" i="2"/>
  <c r="H232" i="2"/>
  <c r="F36" i="5" s="1"/>
  <c r="G232" i="2"/>
  <c r="F36" i="4" s="1"/>
  <c r="F232" i="2"/>
  <c r="F36" i="3" s="1"/>
  <c r="E232" i="2"/>
  <c r="D232" i="2"/>
  <c r="G231" i="2"/>
  <c r="E36" i="4" s="1"/>
  <c r="F231" i="2"/>
  <c r="E36" i="3" s="1"/>
  <c r="E231" i="2"/>
  <c r="C231" i="2"/>
  <c r="H230" i="2"/>
  <c r="D36" i="5" s="1"/>
  <c r="G230" i="2"/>
  <c r="D36" i="4" s="1"/>
  <c r="F230" i="2"/>
  <c r="D36" i="3" s="1"/>
  <c r="H229" i="2"/>
  <c r="C36" i="5" s="1"/>
  <c r="G229" i="2"/>
  <c r="C36" i="4" s="1"/>
  <c r="A229" i="2"/>
  <c r="H228" i="2"/>
  <c r="C228" i="2"/>
  <c r="A36" i="20" s="1"/>
  <c r="A228" i="2"/>
  <c r="C227" i="2"/>
  <c r="A227" i="2"/>
  <c r="E226" i="2"/>
  <c r="D226" i="2"/>
  <c r="E225" i="2"/>
  <c r="D225" i="2"/>
  <c r="G224" i="2"/>
  <c r="E35" i="4" s="1"/>
  <c r="F224" i="2"/>
  <c r="E35" i="3" s="1"/>
  <c r="E224" i="2"/>
  <c r="D224" i="2"/>
  <c r="G223" i="2"/>
  <c r="D35" i="4" s="1"/>
  <c r="F223" i="2"/>
  <c r="D35" i="3" s="1"/>
  <c r="E223" i="2"/>
  <c r="H222" i="2"/>
  <c r="C35" i="5" s="1"/>
  <c r="G222" i="2"/>
  <c r="C35" i="4" s="1"/>
  <c r="F222" i="2"/>
  <c r="C35" i="3" s="1"/>
  <c r="A222" i="2"/>
  <c r="H221" i="2"/>
  <c r="G221" i="2"/>
  <c r="B35" i="10" s="1"/>
  <c r="A221" i="2"/>
  <c r="H220" i="2"/>
  <c r="H34" i="5" s="1"/>
  <c r="C220" i="2"/>
  <c r="A220" i="2"/>
  <c r="D219" i="2"/>
  <c r="C219" i="2"/>
  <c r="A219" i="2"/>
  <c r="D218" i="2"/>
  <c r="F217" i="2"/>
  <c r="E34" i="3" s="1"/>
  <c r="E217" i="2"/>
  <c r="D217" i="2"/>
  <c r="F216" i="2"/>
  <c r="D34" i="3" s="1"/>
  <c r="E216" i="2"/>
  <c r="D216" i="2"/>
  <c r="G215" i="2"/>
  <c r="C34" i="4" s="1"/>
  <c r="F215" i="2"/>
  <c r="C34" i="3" s="1"/>
  <c r="E215" i="2"/>
  <c r="H214" i="2"/>
  <c r="G214" i="2"/>
  <c r="B34" i="10" s="1"/>
  <c r="F214" i="2"/>
  <c r="B34" i="9" s="1"/>
  <c r="H213" i="2"/>
  <c r="H33" i="5" s="1"/>
  <c r="G213" i="2"/>
  <c r="H33" i="4" s="1"/>
  <c r="A213" i="2"/>
  <c r="H212" i="2"/>
  <c r="G33" i="5" s="1"/>
  <c r="C212" i="2"/>
  <c r="A212" i="2"/>
  <c r="C211" i="2"/>
  <c r="A211" i="2"/>
  <c r="D210" i="2"/>
  <c r="F209" i="2"/>
  <c r="D33" i="3" s="1"/>
  <c r="E209" i="2"/>
  <c r="D209" i="2"/>
  <c r="F208" i="2"/>
  <c r="C33" i="3" s="1"/>
  <c r="E208" i="2"/>
  <c r="D208" i="2"/>
  <c r="H207" i="2"/>
  <c r="B33" i="5" s="1"/>
  <c r="G207" i="2"/>
  <c r="B33" i="4" s="1"/>
  <c r="F207" i="2"/>
  <c r="B33" i="3" s="1"/>
  <c r="E207" i="2"/>
  <c r="H206" i="2"/>
  <c r="H32" i="5" s="1"/>
  <c r="G206" i="2"/>
  <c r="H32" i="4" s="1"/>
  <c r="F206" i="2"/>
  <c r="H32" i="3" s="1"/>
  <c r="A206" i="2"/>
  <c r="H205" i="2"/>
  <c r="G32" i="5" s="1"/>
  <c r="G205" i="2"/>
  <c r="G32" i="4" s="1"/>
  <c r="A205" i="2"/>
  <c r="H204" i="2"/>
  <c r="F32" i="5" s="1"/>
  <c r="C204" i="2"/>
  <c r="A204" i="2"/>
  <c r="E203" i="2"/>
  <c r="D203" i="2"/>
  <c r="C203" i="2"/>
  <c r="A203" i="2"/>
  <c r="D202" i="2"/>
  <c r="F201" i="2"/>
  <c r="C32" i="3" s="1"/>
  <c r="E201" i="2"/>
  <c r="D201" i="2"/>
  <c r="F200" i="2"/>
  <c r="B32" i="9" s="1"/>
  <c r="E200" i="2"/>
  <c r="D200" i="2"/>
  <c r="G199" i="2"/>
  <c r="H31" i="4" s="1"/>
  <c r="F199" i="2"/>
  <c r="H31" i="3" s="1"/>
  <c r="E199" i="2"/>
  <c r="H198" i="2"/>
  <c r="G31" i="5" s="1"/>
  <c r="G198" i="2"/>
  <c r="G31" i="4" s="1"/>
  <c r="F198" i="2"/>
  <c r="G31" i="3" s="1"/>
  <c r="H197" i="2"/>
  <c r="F31" i="5" s="1"/>
  <c r="G197" i="2"/>
  <c r="F31" i="4" s="1"/>
  <c r="A197" i="2"/>
  <c r="H196" i="2"/>
  <c r="E31" i="5" s="1"/>
  <c r="C196" i="2"/>
  <c r="A196" i="2"/>
  <c r="C195" i="2"/>
  <c r="A195" i="2"/>
  <c r="E194" i="2"/>
  <c r="D194" i="2"/>
  <c r="E193" i="2"/>
  <c r="D193" i="2"/>
  <c r="F192" i="2"/>
  <c r="H30" i="3" s="1"/>
  <c r="E192" i="2"/>
  <c r="D192" i="2"/>
  <c r="G191" i="2"/>
  <c r="G30" i="4" s="1"/>
  <c r="F191" i="2"/>
  <c r="G30" i="3" s="1"/>
  <c r="E191" i="2"/>
  <c r="A191" i="2"/>
  <c r="H190" i="2"/>
  <c r="F30" i="5" s="1"/>
  <c r="G190" i="2"/>
  <c r="F30" i="4" s="1"/>
  <c r="F190" i="2"/>
  <c r="F30" i="3" s="1"/>
  <c r="H189" i="2"/>
  <c r="E30" i="5" s="1"/>
  <c r="G189" i="2"/>
  <c r="E30" i="4" s="1"/>
  <c r="A189" i="2"/>
  <c r="H188" i="2"/>
  <c r="D30" i="5" s="1"/>
  <c r="C188" i="2"/>
  <c r="A188" i="2"/>
  <c r="C187" i="2"/>
  <c r="A187" i="2"/>
  <c r="D186" i="2"/>
  <c r="E185" i="2"/>
  <c r="D185" i="2"/>
  <c r="G184" i="2"/>
  <c r="G29" i="4" s="1"/>
  <c r="F184" i="2"/>
  <c r="G29" i="3" s="1"/>
  <c r="E184" i="2"/>
  <c r="D184" i="2"/>
  <c r="G183" i="2"/>
  <c r="F29" i="4" s="1"/>
  <c r="F183" i="2"/>
  <c r="F29" i="3" s="1"/>
  <c r="E183" i="2"/>
  <c r="C183" i="2"/>
  <c r="A183" i="2"/>
  <c r="H182" i="2"/>
  <c r="E29" i="5" s="1"/>
  <c r="G182" i="2"/>
  <c r="E29" i="4" s="1"/>
  <c r="F182" i="2"/>
  <c r="E29" i="3" s="1"/>
  <c r="H181" i="2"/>
  <c r="D29" i="5" s="1"/>
  <c r="G181" i="2"/>
  <c r="D29" i="4" s="1"/>
  <c r="A181" i="2"/>
  <c r="H180" i="2"/>
  <c r="C29" i="5" s="1"/>
  <c r="C180" i="2"/>
  <c r="A180" i="2"/>
  <c r="C179" i="2"/>
  <c r="A29" i="20" s="1"/>
  <c r="A179" i="2"/>
  <c r="E178" i="2"/>
  <c r="D178" i="2"/>
  <c r="E177" i="2"/>
  <c r="D177" i="2"/>
  <c r="F176" i="2"/>
  <c r="F28" i="3" s="1"/>
  <c r="E176" i="2"/>
  <c r="D176" i="2"/>
  <c r="G175" i="2"/>
  <c r="E28" i="4" s="1"/>
  <c r="F175" i="2"/>
  <c r="E28" i="3" s="1"/>
  <c r="E175" i="2"/>
  <c r="H174" i="2"/>
  <c r="D28" i="5" s="1"/>
  <c r="G174" i="2"/>
  <c r="D28" i="4" s="1"/>
  <c r="F174" i="2"/>
  <c r="D28" i="3" s="1"/>
  <c r="H173" i="2"/>
  <c r="C28" i="5" s="1"/>
  <c r="G173" i="2"/>
  <c r="C28" i="4" s="1"/>
  <c r="A173" i="2"/>
  <c r="H172" i="2"/>
  <c r="C172" i="2"/>
  <c r="A28" i="20" s="1"/>
  <c r="A172" i="2"/>
  <c r="C171" i="2"/>
  <c r="A171" i="2"/>
  <c r="E170" i="2"/>
  <c r="D170" i="2"/>
  <c r="E169" i="2"/>
  <c r="D169" i="2"/>
  <c r="F168" i="2"/>
  <c r="E27" i="3" s="1"/>
  <c r="E168" i="2"/>
  <c r="D168" i="2"/>
  <c r="G167" i="2"/>
  <c r="D27" i="4" s="1"/>
  <c r="F167" i="2"/>
  <c r="D27" i="3" s="1"/>
  <c r="E167" i="2"/>
  <c r="H166" i="2"/>
  <c r="C27" i="5" s="1"/>
  <c r="G166" i="2"/>
  <c r="C27" i="4" s="1"/>
  <c r="F166" i="2"/>
  <c r="C27" i="3" s="1"/>
  <c r="H165" i="2"/>
  <c r="G165" i="2"/>
  <c r="B27" i="10" s="1"/>
  <c r="A165" i="2"/>
  <c r="A26" i="20" s="1"/>
  <c r="H164" i="2"/>
  <c r="C164" i="2"/>
  <c r="A164" i="2"/>
  <c r="C163" i="2"/>
  <c r="A163" i="2"/>
  <c r="E162" i="2"/>
  <c r="D162" i="2"/>
  <c r="E161" i="2"/>
  <c r="D161" i="2"/>
  <c r="G160" i="2"/>
  <c r="F160" i="2"/>
  <c r="E160" i="2"/>
  <c r="D160" i="2"/>
  <c r="G159" i="2"/>
  <c r="F159" i="2"/>
  <c r="E159" i="2"/>
  <c r="A159" i="2"/>
  <c r="H158" i="2"/>
  <c r="G158" i="2"/>
  <c r="F158" i="2"/>
  <c r="H157" i="2"/>
  <c r="G157" i="2"/>
  <c r="A157" i="2"/>
  <c r="H156" i="2"/>
  <c r="C156" i="2"/>
  <c r="A156" i="2"/>
  <c r="C155" i="2"/>
  <c r="A155" i="2"/>
  <c r="D154" i="2"/>
  <c r="E153" i="2"/>
  <c r="D153" i="2"/>
  <c r="G152" i="2"/>
  <c r="F152" i="2"/>
  <c r="E152" i="2"/>
  <c r="D152" i="2"/>
  <c r="G151" i="2"/>
  <c r="F151" i="2"/>
  <c r="E151" i="2"/>
  <c r="A151" i="2"/>
  <c r="H150" i="2"/>
  <c r="H25" i="5" s="1"/>
  <c r="G150" i="2"/>
  <c r="H25" i="4" s="1"/>
  <c r="F150" i="2"/>
  <c r="H25" i="3" s="1"/>
  <c r="H149" i="2"/>
  <c r="G25" i="5" s="1"/>
  <c r="G149" i="2"/>
  <c r="G25" i="4" s="1"/>
  <c r="A149" i="2"/>
  <c r="H148" i="2"/>
  <c r="F25" i="5" s="1"/>
  <c r="D148" i="2"/>
  <c r="C148" i="2"/>
  <c r="A148" i="2"/>
  <c r="C147" i="2"/>
  <c r="A147" i="2"/>
  <c r="E146" i="2"/>
  <c r="D146" i="2"/>
  <c r="E145" i="2"/>
  <c r="D145" i="2"/>
  <c r="F144" i="2"/>
  <c r="B25" i="9" s="1"/>
  <c r="E144" i="2"/>
  <c r="D144" i="2"/>
  <c r="G143" i="2"/>
  <c r="H24" i="4" s="1"/>
  <c r="F143" i="2"/>
  <c r="H24" i="3" s="1"/>
  <c r="E143" i="2"/>
  <c r="H142" i="2"/>
  <c r="G24" i="5" s="1"/>
  <c r="G142" i="2"/>
  <c r="G24" i="4" s="1"/>
  <c r="F142" i="2"/>
  <c r="G24" i="3" s="1"/>
  <c r="A142" i="2"/>
  <c r="H141" i="2"/>
  <c r="F24" i="5" s="1"/>
  <c r="G141" i="2"/>
  <c r="F24" i="4" s="1"/>
  <c r="A141" i="2"/>
  <c r="H140" i="2"/>
  <c r="E24" i="5" s="1"/>
  <c r="C140" i="2"/>
  <c r="A140" i="2"/>
  <c r="D139" i="2"/>
  <c r="C139" i="2"/>
  <c r="A139" i="2"/>
  <c r="D138" i="2"/>
  <c r="F137" i="2"/>
  <c r="B24" i="9" s="1"/>
  <c r="E137" i="2"/>
  <c r="D137" i="2"/>
  <c r="G136" i="2"/>
  <c r="F136" i="2"/>
  <c r="E136" i="2"/>
  <c r="D136" i="2"/>
  <c r="G135" i="2"/>
  <c r="G23" i="10" s="1"/>
  <c r="F135" i="2"/>
  <c r="G23" i="9" s="1"/>
  <c r="E135" i="2"/>
  <c r="A135" i="2"/>
  <c r="H134" i="2"/>
  <c r="G134" i="2"/>
  <c r="F23" i="10" s="1"/>
  <c r="F134" i="2"/>
  <c r="F23" i="9" s="1"/>
  <c r="H133" i="2"/>
  <c r="G133" i="2"/>
  <c r="E23" i="10" s="1"/>
  <c r="A133" i="2"/>
  <c r="H132" i="2"/>
  <c r="C132" i="2"/>
  <c r="A132" i="2"/>
  <c r="C131" i="2"/>
  <c r="A131" i="2"/>
  <c r="D130" i="2"/>
  <c r="E129" i="2"/>
  <c r="D129" i="2"/>
  <c r="G128" i="2"/>
  <c r="G22" i="10" s="1"/>
  <c r="F128" i="2"/>
  <c r="G22" i="9" s="1"/>
  <c r="E128" i="2"/>
  <c r="D128" i="2"/>
  <c r="G127" i="2"/>
  <c r="F22" i="10" s="1"/>
  <c r="F127" i="2"/>
  <c r="F22" i="9" s="1"/>
  <c r="E127" i="2"/>
  <c r="H126" i="2"/>
  <c r="G126" i="2"/>
  <c r="E22" i="10" s="1"/>
  <c r="F126" i="2"/>
  <c r="E22" i="9" s="1"/>
  <c r="H125" i="2"/>
  <c r="G125" i="2"/>
  <c r="D22" i="10" s="1"/>
  <c r="A125" i="2"/>
  <c r="H124" i="2"/>
  <c r="D124" i="2"/>
  <c r="C124" i="2"/>
  <c r="A124" i="2"/>
  <c r="C123" i="2"/>
  <c r="A123" i="2"/>
  <c r="E122" i="2"/>
  <c r="D122" i="2"/>
  <c r="E121" i="2"/>
  <c r="D121" i="2"/>
  <c r="F120" i="2"/>
  <c r="F21" i="3" s="1"/>
  <c r="E120" i="2"/>
  <c r="D120" i="2"/>
  <c r="G119" i="2"/>
  <c r="E21" i="4" s="1"/>
  <c r="F119" i="2"/>
  <c r="E21" i="3" s="1"/>
  <c r="E119" i="2"/>
  <c r="H118" i="2"/>
  <c r="D21" i="5" s="1"/>
  <c r="G118" i="2"/>
  <c r="D21" i="4" s="1"/>
  <c r="F118" i="2"/>
  <c r="D21" i="3" s="1"/>
  <c r="H117" i="2"/>
  <c r="C21" i="5" s="1"/>
  <c r="G117" i="2"/>
  <c r="C21" i="4" s="1"/>
  <c r="A117" i="2"/>
  <c r="H116" i="2"/>
  <c r="C116" i="2"/>
  <c r="A21" i="20" s="1"/>
  <c r="A116" i="2"/>
  <c r="C115" i="2"/>
  <c r="A115" i="2"/>
  <c r="E114" i="2"/>
  <c r="D114" i="2"/>
  <c r="E113" i="2"/>
  <c r="D113" i="2"/>
  <c r="F112" i="2"/>
  <c r="E20" i="3" s="1"/>
  <c r="E112" i="2"/>
  <c r="D112" i="2"/>
  <c r="G111" i="2"/>
  <c r="D20" i="4" s="1"/>
  <c r="F111" i="2"/>
  <c r="D20" i="3" s="1"/>
  <c r="E111" i="2"/>
  <c r="H110" i="2"/>
  <c r="C20" i="5" s="1"/>
  <c r="G110" i="2"/>
  <c r="C20" i="4" s="1"/>
  <c r="F110" i="2"/>
  <c r="C20" i="3" s="1"/>
  <c r="H109" i="2"/>
  <c r="G109" i="2"/>
  <c r="B20" i="10" s="1"/>
  <c r="A109" i="2"/>
  <c r="H108" i="2"/>
  <c r="H19" i="5" s="1"/>
  <c r="C108" i="2"/>
  <c r="A108" i="2"/>
  <c r="C107" i="2"/>
  <c r="A107" i="2"/>
  <c r="E106" i="2"/>
  <c r="D106" i="2"/>
  <c r="E105" i="2"/>
  <c r="D105" i="2"/>
  <c r="G104" i="2"/>
  <c r="D19" i="4" s="1"/>
  <c r="F104" i="2"/>
  <c r="D19" i="3" s="1"/>
  <c r="E104" i="2"/>
  <c r="D104" i="2"/>
  <c r="G103" i="2"/>
  <c r="C19" i="4" s="1"/>
  <c r="F103" i="2"/>
  <c r="C19" i="3" s="1"/>
  <c r="E103" i="2"/>
  <c r="H102" i="2"/>
  <c r="G102" i="2"/>
  <c r="B19" i="10" s="1"/>
  <c r="F102" i="2"/>
  <c r="B19" i="9" s="1"/>
  <c r="H101" i="2"/>
  <c r="H18" i="5" s="1"/>
  <c r="G101" i="2"/>
  <c r="H18" i="4" s="1"/>
  <c r="A101" i="2"/>
  <c r="H100" i="2"/>
  <c r="G18" i="5" s="1"/>
  <c r="C100" i="2"/>
  <c r="A100" i="2"/>
  <c r="C99" i="2"/>
  <c r="A99" i="2"/>
  <c r="D98" i="2"/>
  <c r="E97" i="2"/>
  <c r="D97" i="2"/>
  <c r="G96" i="2"/>
  <c r="C18" i="4" s="1"/>
  <c r="F96" i="2"/>
  <c r="C18" i="3" s="1"/>
  <c r="E96" i="2"/>
  <c r="D96" i="2"/>
  <c r="G95" i="2"/>
  <c r="B18" i="10" s="1"/>
  <c r="F95" i="2"/>
  <c r="B18" i="9" s="1"/>
  <c r="E95" i="2"/>
  <c r="H94" i="2"/>
  <c r="H17" i="5" s="1"/>
  <c r="G94" i="2"/>
  <c r="H17" i="4" s="1"/>
  <c r="F94" i="2"/>
  <c r="H17" i="3" s="1"/>
  <c r="H93" i="2"/>
  <c r="G17" i="5" s="1"/>
  <c r="G93" i="2"/>
  <c r="G17" i="4" s="1"/>
  <c r="A93" i="2"/>
  <c r="H92" i="2"/>
  <c r="F17" i="5" s="1"/>
  <c r="D92" i="2"/>
  <c r="C92" i="2"/>
  <c r="A92" i="2"/>
  <c r="C91" i="2"/>
  <c r="A91" i="2"/>
  <c r="E90" i="2"/>
  <c r="D90" i="2"/>
  <c r="E89" i="2"/>
  <c r="D89" i="2"/>
  <c r="F88" i="2"/>
  <c r="B17" i="9" s="1"/>
  <c r="E88" i="2"/>
  <c r="D88" i="2"/>
  <c r="G87" i="2"/>
  <c r="H16" i="4" s="1"/>
  <c r="F87" i="2"/>
  <c r="H16" i="3" s="1"/>
  <c r="E87" i="2"/>
  <c r="H86" i="2"/>
  <c r="G16" i="5" s="1"/>
  <c r="G86" i="2"/>
  <c r="G16" i="4" s="1"/>
  <c r="F86" i="2"/>
  <c r="G16" i="3" s="1"/>
  <c r="H85" i="2"/>
  <c r="F16" i="5" s="1"/>
  <c r="G85" i="2"/>
  <c r="F16" i="4" s="1"/>
  <c r="A85" i="2"/>
  <c r="H84" i="2"/>
  <c r="E16" i="5" s="1"/>
  <c r="C84" i="2"/>
  <c r="A84" i="2"/>
  <c r="C83" i="2"/>
  <c r="A83" i="2"/>
  <c r="E82" i="2"/>
  <c r="D82" i="2"/>
  <c r="E81" i="2"/>
  <c r="D81" i="2"/>
  <c r="F80" i="2"/>
  <c r="E80" i="2"/>
  <c r="D80" i="2"/>
  <c r="G79" i="2"/>
  <c r="F79" i="2"/>
  <c r="E79" i="2"/>
  <c r="H78" i="2"/>
  <c r="G78" i="2"/>
  <c r="F78" i="2"/>
  <c r="H77" i="2"/>
  <c r="G77" i="2"/>
  <c r="A77" i="2"/>
  <c r="H76" i="2"/>
  <c r="C76" i="2"/>
  <c r="A76" i="2"/>
  <c r="C75" i="2"/>
  <c r="A75" i="2"/>
  <c r="D74" i="2"/>
  <c r="E73" i="2"/>
  <c r="D73" i="2"/>
  <c r="G72" i="2"/>
  <c r="F72" i="2"/>
  <c r="E72" i="2"/>
  <c r="D72" i="2"/>
  <c r="G71" i="2"/>
  <c r="F71" i="2"/>
  <c r="E71" i="2"/>
  <c r="H70" i="2"/>
  <c r="G70" i="2"/>
  <c r="F70" i="2"/>
  <c r="H69" i="2"/>
  <c r="G69" i="2"/>
  <c r="A69" i="2"/>
  <c r="H68" i="2"/>
  <c r="D68" i="2"/>
  <c r="C68" i="2"/>
  <c r="A68" i="2"/>
  <c r="C67" i="2"/>
  <c r="A67" i="2"/>
  <c r="E66" i="2"/>
  <c r="D66" i="2"/>
  <c r="E65" i="2"/>
  <c r="D65" i="2"/>
  <c r="F64" i="2"/>
  <c r="F14" i="3" s="1"/>
  <c r="E64" i="2"/>
  <c r="D64" i="2"/>
  <c r="G63" i="2"/>
  <c r="E14" i="4" s="1"/>
  <c r="F63" i="2"/>
  <c r="E14" i="3" s="1"/>
  <c r="E63" i="2"/>
  <c r="H62" i="2"/>
  <c r="D14" i="5" s="1"/>
  <c r="G62" i="2"/>
  <c r="D14" i="4" s="1"/>
  <c r="F62" i="2"/>
  <c r="D14" i="3" s="1"/>
  <c r="H61" i="2"/>
  <c r="C14" i="5" s="1"/>
  <c r="G61" i="2"/>
  <c r="C14" i="4" s="1"/>
  <c r="A61" i="2"/>
  <c r="H60" i="2"/>
  <c r="C60" i="2"/>
  <c r="A14" i="20" s="1"/>
  <c r="A168" i="20" s="1"/>
  <c r="A60" i="2"/>
  <c r="C59" i="2"/>
  <c r="A59" i="2"/>
  <c r="F58" i="2"/>
  <c r="G13" i="3" s="1"/>
  <c r="E58" i="2"/>
  <c r="D58" i="2"/>
  <c r="E57" i="2"/>
  <c r="D57" i="2"/>
  <c r="G56" i="2"/>
  <c r="E13" i="4" s="1"/>
  <c r="F56" i="2"/>
  <c r="E13" i="3" s="1"/>
  <c r="E56" i="2"/>
  <c r="D56" i="2"/>
  <c r="G55" i="2"/>
  <c r="D13" i="4" s="1"/>
  <c r="F55" i="2"/>
  <c r="D13" i="3" s="1"/>
  <c r="E55" i="2"/>
  <c r="H54" i="2"/>
  <c r="C13" i="5" s="1"/>
  <c r="G54" i="2"/>
  <c r="C13" i="4" s="1"/>
  <c r="F54" i="2"/>
  <c r="C13" i="3" s="1"/>
  <c r="H53" i="2"/>
  <c r="G53" i="2"/>
  <c r="B13" i="10" s="1"/>
  <c r="A53" i="2"/>
  <c r="H52" i="2"/>
  <c r="H12" i="5" s="1"/>
  <c r="C52" i="2"/>
  <c r="A52" i="2"/>
  <c r="C51" i="2"/>
  <c r="A51" i="2"/>
  <c r="D50" i="2"/>
  <c r="E49" i="2"/>
  <c r="D49" i="2"/>
  <c r="H48" i="2"/>
  <c r="D12" i="5" s="1"/>
  <c r="G48" i="2"/>
  <c r="D12" i="4" s="1"/>
  <c r="F48" i="2"/>
  <c r="D12" i="3" s="1"/>
  <c r="E48" i="2"/>
  <c r="D48" i="2"/>
  <c r="G47" i="2"/>
  <c r="C12" i="4" s="1"/>
  <c r="F47" i="2"/>
  <c r="C12" i="3" s="1"/>
  <c r="E47" i="2"/>
  <c r="H46" i="2"/>
  <c r="G46" i="2"/>
  <c r="B12" i="10" s="1"/>
  <c r="F46" i="2"/>
  <c r="B12" i="9" s="1"/>
  <c r="H45" i="2"/>
  <c r="H10" i="5" s="1"/>
  <c r="G45" i="2"/>
  <c r="H10" i="4" s="1"/>
  <c r="A45" i="2"/>
  <c r="H44" i="2"/>
  <c r="G10" i="5" s="1"/>
  <c r="D44" i="2"/>
  <c r="C44" i="2"/>
  <c r="A44" i="2"/>
  <c r="C43" i="2"/>
  <c r="A43" i="2"/>
  <c r="E42" i="2"/>
  <c r="D42" i="2"/>
  <c r="E41" i="2"/>
  <c r="D41" i="2"/>
  <c r="F40" i="2"/>
  <c r="C10" i="3" s="1"/>
  <c r="E40" i="2"/>
  <c r="D40" i="2"/>
  <c r="G39" i="2"/>
  <c r="B10" i="10" s="1"/>
  <c r="F39" i="2"/>
  <c r="B10" i="9" s="1"/>
  <c r="E39" i="2"/>
  <c r="H38" i="2"/>
  <c r="H9" i="5" s="1"/>
  <c r="G38" i="2"/>
  <c r="H9" i="4" s="1"/>
  <c r="F38" i="2"/>
  <c r="H9" i="3" s="1"/>
  <c r="H37" i="2"/>
  <c r="G9" i="5" s="1"/>
  <c r="G37" i="2"/>
  <c r="G9" i="4" s="1"/>
  <c r="A37" i="2"/>
  <c r="H36" i="2"/>
  <c r="F9" i="5" s="1"/>
  <c r="C36" i="2"/>
  <c r="A36" i="2"/>
  <c r="C35" i="2"/>
  <c r="A35" i="2"/>
  <c r="F34" i="2"/>
  <c r="D9" i="3" s="1"/>
  <c r="E34" i="2"/>
  <c r="D34" i="2"/>
  <c r="E33" i="2"/>
  <c r="D33" i="2"/>
  <c r="G32" i="2"/>
  <c r="B9" i="10" s="1"/>
  <c r="F32" i="2"/>
  <c r="B9" i="9" s="1"/>
  <c r="E32" i="2"/>
  <c r="D32" i="2"/>
  <c r="G31" i="2"/>
  <c r="H8" i="4" s="1"/>
  <c r="F31" i="2"/>
  <c r="H8" i="3" s="1"/>
  <c r="E31" i="2"/>
  <c r="H30" i="2"/>
  <c r="G8" i="5" s="1"/>
  <c r="G30" i="2"/>
  <c r="G8" i="4" s="1"/>
  <c r="F30" i="2"/>
  <c r="G8" i="3" s="1"/>
  <c r="H29" i="2"/>
  <c r="F8" i="5" s="1"/>
  <c r="G29" i="2"/>
  <c r="F8" i="4" s="1"/>
  <c r="A29" i="2"/>
  <c r="H28" i="2"/>
  <c r="E8" i="5" s="1"/>
  <c r="C28" i="2"/>
  <c r="A28" i="2"/>
  <c r="C27" i="2"/>
  <c r="A27" i="2"/>
  <c r="D26" i="2"/>
  <c r="E25" i="2"/>
  <c r="D25" i="2"/>
  <c r="H24" i="2"/>
  <c r="H7" i="5" s="1"/>
  <c r="G24" i="2"/>
  <c r="H7" i="4" s="1"/>
  <c r="F24" i="2"/>
  <c r="H7" i="3" s="1"/>
  <c r="E24" i="2"/>
  <c r="D24" i="2"/>
  <c r="G23" i="2"/>
  <c r="G7" i="4" s="1"/>
  <c r="F23" i="2"/>
  <c r="G7" i="3" s="1"/>
  <c r="E23" i="2"/>
  <c r="H22" i="2"/>
  <c r="F7" i="5" s="1"/>
  <c r="G22" i="2"/>
  <c r="F7" i="4" s="1"/>
  <c r="F22" i="2"/>
  <c r="F7" i="3" s="1"/>
  <c r="H21" i="2"/>
  <c r="E7" i="5" s="1"/>
  <c r="G21" i="2"/>
  <c r="E7" i="4" s="1"/>
  <c r="A21" i="2"/>
  <c r="H20" i="2"/>
  <c r="D7" i="5" s="1"/>
  <c r="C20" i="2"/>
  <c r="A20" i="2"/>
  <c r="C19" i="2"/>
  <c r="A19" i="2"/>
  <c r="D18" i="2"/>
  <c r="F17" i="2"/>
  <c r="H6" i="3" s="1"/>
  <c r="E17" i="2"/>
  <c r="D17" i="2"/>
  <c r="F16" i="2"/>
  <c r="G6" i="3" s="1"/>
  <c r="E16" i="2"/>
  <c r="D16" i="2"/>
  <c r="H15" i="2"/>
  <c r="F6" i="5" s="1"/>
  <c r="G15" i="2"/>
  <c r="F6" i="4" s="1"/>
  <c r="F15" i="2"/>
  <c r="F6" i="3" s="1"/>
  <c r="E15" i="2"/>
  <c r="H14" i="2"/>
  <c r="E6" i="5" s="1"/>
  <c r="G14" i="2"/>
  <c r="E6" i="4" s="1"/>
  <c r="F14" i="2"/>
  <c r="E6" i="3" s="1"/>
  <c r="A14" i="2"/>
  <c r="H13" i="2"/>
  <c r="D6" i="5" s="1"/>
  <c r="G13" i="2"/>
  <c r="D6" i="4" s="1"/>
  <c r="A13" i="2"/>
  <c r="H12" i="2"/>
  <c r="C6" i="5" s="1"/>
  <c r="C12" i="2"/>
  <c r="A12" i="2"/>
  <c r="D11" i="2"/>
  <c r="C11" i="2"/>
  <c r="A6" i="20" s="1"/>
  <c r="A160" i="20" s="1"/>
  <c r="A11" i="2"/>
  <c r="D10" i="2"/>
  <c r="H3" i="3"/>
  <c r="F9" i="2"/>
  <c r="G5" i="3" s="1"/>
  <c r="E9" i="2"/>
  <c r="D9" i="2"/>
  <c r="F8" i="2"/>
  <c r="F5" i="3" s="1"/>
  <c r="E8" i="2"/>
  <c r="D8" i="2"/>
  <c r="G7" i="2"/>
  <c r="E5" i="4" s="1"/>
  <c r="F7" i="2"/>
  <c r="E5" i="3" s="1"/>
  <c r="E7" i="2"/>
  <c r="H6" i="2"/>
  <c r="D5" i="5" s="1"/>
  <c r="G6" i="2"/>
  <c r="D5" i="4" s="1"/>
  <c r="F6" i="2"/>
  <c r="D5" i="3" s="1"/>
  <c r="H5" i="2"/>
  <c r="C5" i="5" s="1"/>
  <c r="G5" i="2"/>
  <c r="C5" i="4" s="1"/>
  <c r="A5" i="2"/>
  <c r="H4" i="2"/>
  <c r="C4" i="2"/>
  <c r="A5" i="20" s="1"/>
  <c r="A159" i="20" s="1"/>
  <c r="K132" i="10" l="1"/>
  <c r="J132" i="10"/>
  <c r="I132" i="10"/>
  <c r="J132" i="11"/>
  <c r="K132" i="11"/>
  <c r="I132" i="11"/>
  <c r="I133" i="10"/>
  <c r="I133" i="16" s="1"/>
  <c r="J133" i="10"/>
  <c r="J133" i="16" s="1"/>
  <c r="K133" i="10"/>
  <c r="K133" i="16" s="1"/>
  <c r="K133" i="11"/>
  <c r="K133" i="17" s="1"/>
  <c r="J133" i="11"/>
  <c r="J133" i="17" s="1"/>
  <c r="I133" i="11"/>
  <c r="I133" i="17" s="1"/>
  <c r="J133" i="9"/>
  <c r="J133" i="18" s="1"/>
  <c r="K133" i="9"/>
  <c r="K133" i="18" s="1"/>
  <c r="K132" i="9"/>
  <c r="K132" i="18" s="1"/>
  <c r="J132" i="9"/>
  <c r="J132" i="18" s="1"/>
  <c r="H132" i="10"/>
  <c r="H22" i="9"/>
  <c r="H99" i="10"/>
  <c r="H133" i="10"/>
  <c r="H133" i="16" s="1"/>
  <c r="H23" i="9"/>
  <c r="H22" i="10"/>
  <c r="H100" i="9"/>
  <c r="H99" i="9"/>
  <c r="H23" i="10"/>
  <c r="H133" i="9"/>
  <c r="H133" i="18" s="1"/>
  <c r="I133" i="9"/>
  <c r="I133" i="18" s="1"/>
  <c r="H100" i="10"/>
  <c r="H132" i="9"/>
  <c r="H132" i="18" s="1"/>
  <c r="I132" i="9"/>
  <c r="I132" i="18" s="1"/>
  <c r="A156" i="20"/>
  <c r="A112" i="20"/>
  <c r="A145" i="20"/>
  <c r="A101" i="20"/>
  <c r="A134" i="20"/>
  <c r="A123" i="20"/>
  <c r="A88" i="20"/>
  <c r="A77" i="20"/>
  <c r="A132" i="20"/>
  <c r="A154" i="20"/>
  <c r="A143" i="20"/>
  <c r="A68" i="20"/>
  <c r="A46" i="20"/>
  <c r="A79" i="20"/>
  <c r="A35" i="20"/>
  <c r="A121" i="20"/>
  <c r="A110" i="20"/>
  <c r="A44" i="20"/>
  <c r="A66" i="20"/>
  <c r="A22" i="20"/>
  <c r="A11" i="20"/>
  <c r="A165" i="20" s="1"/>
  <c r="H188" i="10"/>
  <c r="H177" i="10" s="1"/>
  <c r="I177" i="10" s="1"/>
  <c r="A53" i="18"/>
  <c r="A53" i="17"/>
  <c r="A60" i="18"/>
  <c r="A60" i="17"/>
  <c r="A85" i="18"/>
  <c r="A85" i="17"/>
  <c r="A108" i="17"/>
  <c r="A108" i="18"/>
  <c r="A141" i="17"/>
  <c r="A141" i="18"/>
  <c r="A147" i="18"/>
  <c r="A147" i="17"/>
  <c r="A13" i="17"/>
  <c r="A13" i="18"/>
  <c r="A30" i="17"/>
  <c r="A30" i="18"/>
  <c r="A32" i="18"/>
  <c r="A32" i="17"/>
  <c r="A38" i="17"/>
  <c r="A38" i="18"/>
  <c r="A55" i="18"/>
  <c r="A55" i="17"/>
  <c r="A56" i="18"/>
  <c r="A56" i="17"/>
  <c r="A57" i="18"/>
  <c r="A57" i="17"/>
  <c r="A81" i="18"/>
  <c r="A81" i="17"/>
  <c r="A89" i="17"/>
  <c r="A89" i="18"/>
  <c r="A91" i="18"/>
  <c r="A91" i="17"/>
  <c r="A138" i="18"/>
  <c r="A138" i="17"/>
  <c r="A146" i="18"/>
  <c r="A146" i="17"/>
  <c r="A153" i="18"/>
  <c r="A153" i="17"/>
  <c r="A36" i="17"/>
  <c r="A36" i="18"/>
  <c r="A52" i="17"/>
  <c r="A52" i="18"/>
  <c r="A59" i="18"/>
  <c r="A59" i="17"/>
  <c r="A84" i="18"/>
  <c r="A84" i="17"/>
  <c r="A114" i="18"/>
  <c r="A114" i="17"/>
  <c r="A139" i="18"/>
  <c r="A139" i="17"/>
  <c r="A148" i="18"/>
  <c r="A148" i="17"/>
  <c r="A23" i="18"/>
  <c r="A23" i="17"/>
  <c r="A24" i="18"/>
  <c r="A24" i="17"/>
  <c r="A25" i="18"/>
  <c r="A25" i="17"/>
  <c r="A31" i="18"/>
  <c r="A31" i="17"/>
  <c r="A41" i="17"/>
  <c r="A41" i="18"/>
  <c r="A54" i="18"/>
  <c r="A54" i="17"/>
  <c r="A72" i="17"/>
  <c r="A72" i="18"/>
  <c r="A82" i="18"/>
  <c r="A82" i="17"/>
  <c r="A86" i="18"/>
  <c r="A86" i="17"/>
  <c r="A104" i="17"/>
  <c r="A104" i="18"/>
  <c r="A121" i="18"/>
  <c r="A110" i="18"/>
  <c r="A121" i="17"/>
  <c r="A110" i="17"/>
  <c r="A128" i="17"/>
  <c r="A128" i="18"/>
  <c r="A142" i="18"/>
  <c r="A142" i="17"/>
  <c r="A157" i="17"/>
  <c r="A157" i="18"/>
  <c r="A6" i="17"/>
  <c r="A6" i="18"/>
  <c r="A21" i="17"/>
  <c r="A21" i="18"/>
  <c r="A28" i="18"/>
  <c r="A28" i="17"/>
  <c r="A83" i="18"/>
  <c r="A83" i="17"/>
  <c r="A99" i="18"/>
  <c r="A99" i="17"/>
  <c r="A145" i="18"/>
  <c r="A156" i="17"/>
  <c r="A112" i="17"/>
  <c r="A156" i="18"/>
  <c r="A145" i="17"/>
  <c r="A101" i="18"/>
  <c r="A134" i="18"/>
  <c r="A123" i="18"/>
  <c r="A123" i="17"/>
  <c r="A101" i="17"/>
  <c r="A112" i="18"/>
  <c r="A134" i="17"/>
  <c r="A107" i="18"/>
  <c r="A107" i="17"/>
  <c r="A116" i="17"/>
  <c r="A116" i="18"/>
  <c r="A149" i="18"/>
  <c r="A149" i="17"/>
  <c r="A4" i="17"/>
  <c r="A4" i="18"/>
  <c r="A27" i="18"/>
  <c r="A27" i="17"/>
  <c r="A65" i="18"/>
  <c r="A65" i="17"/>
  <c r="A131" i="18"/>
  <c r="A131" i="17"/>
  <c r="A7" i="17"/>
  <c r="A7" i="18"/>
  <c r="A9" i="18"/>
  <c r="A9" i="17"/>
  <c r="A10" i="18"/>
  <c r="A10" i="17"/>
  <c r="A12" i="18"/>
  <c r="A12" i="17"/>
  <c r="A17" i="18"/>
  <c r="A17" i="17"/>
  <c r="A39" i="18"/>
  <c r="A39" i="17"/>
  <c r="A40" i="17"/>
  <c r="A40" i="18"/>
  <c r="A49" i="18"/>
  <c r="A49" i="17"/>
  <c r="A58" i="18"/>
  <c r="A58" i="17"/>
  <c r="A63" i="18"/>
  <c r="A63" i="17"/>
  <c r="A64" i="18"/>
  <c r="A64" i="17"/>
  <c r="A78" i="17"/>
  <c r="A78" i="18"/>
  <c r="A90" i="18"/>
  <c r="A90" i="17"/>
  <c r="A94" i="17"/>
  <c r="A94" i="18"/>
  <c r="A98" i="18"/>
  <c r="A98" i="17"/>
  <c r="A111" i="17"/>
  <c r="A111" i="18"/>
  <c r="A120" i="17"/>
  <c r="A120" i="18"/>
  <c r="A125" i="17"/>
  <c r="A125" i="18"/>
  <c r="A126" i="18"/>
  <c r="A126" i="17"/>
  <c r="A127" i="18"/>
  <c r="A127" i="17"/>
  <c r="A151" i="18"/>
  <c r="A151" i="17"/>
  <c r="A14" i="17"/>
  <c r="A14" i="18"/>
  <c r="A43" i="18"/>
  <c r="A43" i="17"/>
  <c r="A45" i="17"/>
  <c r="A45" i="18"/>
  <c r="A88" i="18"/>
  <c r="A88" i="17"/>
  <c r="A77" i="17"/>
  <c r="A77" i="18"/>
  <c r="A92" i="17"/>
  <c r="A92" i="18"/>
  <c r="A115" i="18"/>
  <c r="A115" i="17"/>
  <c r="A132" i="17"/>
  <c r="A132" i="18"/>
  <c r="A154" i="18"/>
  <c r="A154" i="17"/>
  <c r="A143" i="17"/>
  <c r="A143" i="18"/>
  <c r="A46" i="18"/>
  <c r="A35" i="18"/>
  <c r="A68" i="17"/>
  <c r="A68" i="18"/>
  <c r="A79" i="18"/>
  <c r="A46" i="17"/>
  <c r="A79" i="17"/>
  <c r="A35" i="17"/>
  <c r="A96" i="17"/>
  <c r="A96" i="18"/>
  <c r="A102" i="18"/>
  <c r="A102" i="17"/>
  <c r="A103" i="18"/>
  <c r="A103" i="17"/>
  <c r="A136" i="17"/>
  <c r="A136" i="18"/>
  <c r="A155" i="18"/>
  <c r="A155" i="17"/>
  <c r="A26" i="18"/>
  <c r="A26" i="17"/>
  <c r="A42" i="18"/>
  <c r="A42" i="17"/>
  <c r="A51" i="17"/>
  <c r="A51" i="18"/>
  <c r="A140" i="17"/>
  <c r="A140" i="18"/>
  <c r="A150" i="18"/>
  <c r="A150" i="17"/>
  <c r="A18" i="18"/>
  <c r="A18" i="17"/>
  <c r="A34" i="18"/>
  <c r="A34" i="17"/>
  <c r="A47" i="18"/>
  <c r="A47" i="17"/>
  <c r="A50" i="18"/>
  <c r="A50" i="17"/>
  <c r="A70" i="18"/>
  <c r="A70" i="17"/>
  <c r="A73" i="18"/>
  <c r="A73" i="17"/>
  <c r="A87" i="18"/>
  <c r="A87" i="17"/>
  <c r="A109" i="18"/>
  <c r="A109" i="17"/>
  <c r="A118" i="18"/>
  <c r="A118" i="17"/>
  <c r="A119" i="18"/>
  <c r="A119" i="17"/>
  <c r="A122" i="17"/>
  <c r="A122" i="18"/>
  <c r="A137" i="18"/>
  <c r="A137" i="17"/>
  <c r="A5" i="18"/>
  <c r="A5" i="17"/>
  <c r="A44" i="17"/>
  <c r="A44" i="18"/>
  <c r="A11" i="18"/>
  <c r="A22" i="17"/>
  <c r="A11" i="17"/>
  <c r="A66" i="18"/>
  <c r="A22" i="18"/>
  <c r="A66" i="17"/>
  <c r="A29" i="17"/>
  <c r="A29" i="18"/>
  <c r="A67" i="18"/>
  <c r="A67" i="17"/>
  <c r="A69" i="17"/>
  <c r="A69" i="18"/>
  <c r="A76" i="17"/>
  <c r="A76" i="18"/>
  <c r="A93" i="18"/>
  <c r="A93" i="17"/>
  <c r="A100" i="17"/>
  <c r="A100" i="18"/>
  <c r="A105" i="17"/>
  <c r="A105" i="18"/>
  <c r="A106" i="17"/>
  <c r="A106" i="18"/>
  <c r="A113" i="18"/>
  <c r="A113" i="17"/>
  <c r="A133" i="17"/>
  <c r="A133" i="18"/>
  <c r="A20" i="18"/>
  <c r="A20" i="17"/>
  <c r="A74" i="18"/>
  <c r="A74" i="17"/>
  <c r="A75" i="18"/>
  <c r="A75" i="17"/>
  <c r="A124" i="17"/>
  <c r="A124" i="18"/>
  <c r="A8" i="17"/>
  <c r="A8" i="18"/>
  <c r="A15" i="18"/>
  <c r="A15" i="17"/>
  <c r="A16" i="18"/>
  <c r="A16" i="17"/>
  <c r="A19" i="18"/>
  <c r="A19" i="17"/>
  <c r="A33" i="18"/>
  <c r="A33" i="17"/>
  <c r="A37" i="17"/>
  <c r="A37" i="18"/>
  <c r="A61" i="18"/>
  <c r="A61" i="17"/>
  <c r="A62" i="18"/>
  <c r="A62" i="17"/>
  <c r="A71" i="17"/>
  <c r="A71" i="18"/>
  <c r="A80" i="18"/>
  <c r="A80" i="17"/>
  <c r="A95" i="18"/>
  <c r="A95" i="17"/>
  <c r="A97" i="17"/>
  <c r="A97" i="18"/>
  <c r="A117" i="18"/>
  <c r="A117" i="17"/>
  <c r="A129" i="18"/>
  <c r="A129" i="17"/>
  <c r="A130" i="17"/>
  <c r="A130" i="18"/>
  <c r="A135" i="17"/>
  <c r="A135" i="18"/>
  <c r="A144" i="17"/>
  <c r="A144" i="18"/>
  <c r="A152" i="18"/>
  <c r="A152" i="17"/>
  <c r="G165" i="10"/>
  <c r="D165" i="10"/>
  <c r="B163" i="10"/>
  <c r="B167" i="10"/>
  <c r="F165" i="10"/>
  <c r="D188" i="10"/>
  <c r="D177" i="10" s="1"/>
  <c r="A14" i="16"/>
  <c r="A14" i="10"/>
  <c r="A168" i="10" s="1"/>
  <c r="A43" i="16"/>
  <c r="A43" i="10"/>
  <c r="A53" i="16"/>
  <c r="A53" i="10"/>
  <c r="A60" i="16"/>
  <c r="A60" i="10"/>
  <c r="A88" i="10"/>
  <c r="A77" i="10"/>
  <c r="A85" i="16"/>
  <c r="A85" i="10"/>
  <c r="A92" i="16"/>
  <c r="A92" i="10"/>
  <c r="A154" i="10"/>
  <c r="A143" i="10"/>
  <c r="A132" i="10"/>
  <c r="A13" i="16"/>
  <c r="A13" i="10"/>
  <c r="A167" i="10" s="1"/>
  <c r="A32" i="16"/>
  <c r="A32" i="10"/>
  <c r="A186" i="10" s="1"/>
  <c r="A56" i="16"/>
  <c r="A56" i="10"/>
  <c r="A57" i="16"/>
  <c r="A57" i="10"/>
  <c r="A81" i="16"/>
  <c r="A81" i="10"/>
  <c r="A89" i="16"/>
  <c r="A89" i="10"/>
  <c r="A91" i="16"/>
  <c r="A91" i="10"/>
  <c r="A96" i="16"/>
  <c r="A96" i="10"/>
  <c r="A102" i="16"/>
  <c r="A102" i="10"/>
  <c r="A103" i="16"/>
  <c r="A103" i="10"/>
  <c r="A136" i="16"/>
  <c r="A136" i="10"/>
  <c r="A138" i="16"/>
  <c r="A138" i="10"/>
  <c r="A146" i="16"/>
  <c r="A146" i="10"/>
  <c r="A153" i="16"/>
  <c r="A153" i="10"/>
  <c r="A155" i="16"/>
  <c r="A155" i="10"/>
  <c r="A26" i="16"/>
  <c r="A26" i="10"/>
  <c r="A36" i="16"/>
  <c r="A36" i="10"/>
  <c r="A190" i="10" s="1"/>
  <c r="A42" i="16"/>
  <c r="A42" i="10"/>
  <c r="A51" i="16"/>
  <c r="A51" i="10"/>
  <c r="A52" i="16"/>
  <c r="A52" i="10"/>
  <c r="A59" i="16"/>
  <c r="A59" i="10"/>
  <c r="A84" i="16"/>
  <c r="A84" i="10"/>
  <c r="B99" i="10"/>
  <c r="A114" i="16"/>
  <c r="A114" i="10"/>
  <c r="A139" i="16"/>
  <c r="A139" i="10"/>
  <c r="A140" i="16"/>
  <c r="A140" i="10"/>
  <c r="A150" i="16"/>
  <c r="A150" i="10"/>
  <c r="A148" i="16"/>
  <c r="A148" i="10"/>
  <c r="A18" i="16"/>
  <c r="A18" i="10"/>
  <c r="A172" i="10" s="1"/>
  <c r="A23" i="16"/>
  <c r="A23" i="10"/>
  <c r="A24" i="16"/>
  <c r="A24" i="10"/>
  <c r="A178" i="10" s="1"/>
  <c r="A25" i="16"/>
  <c r="A25" i="10"/>
  <c r="A179" i="10" s="1"/>
  <c r="A31" i="16"/>
  <c r="A31" i="10"/>
  <c r="A185" i="10" s="1"/>
  <c r="A34" i="16"/>
  <c r="A34" i="10"/>
  <c r="A41" i="16"/>
  <c r="A41" i="10"/>
  <c r="A47" i="16"/>
  <c r="A47" i="10"/>
  <c r="A50" i="16"/>
  <c r="A50" i="10"/>
  <c r="A54" i="16"/>
  <c r="A54" i="10"/>
  <c r="A70" i="16"/>
  <c r="A70" i="10"/>
  <c r="A72" i="16"/>
  <c r="A72" i="10"/>
  <c r="A73" i="16"/>
  <c r="A73" i="10"/>
  <c r="A82" i="16"/>
  <c r="A82" i="10"/>
  <c r="A86" i="16"/>
  <c r="A86" i="10"/>
  <c r="A87" i="16"/>
  <c r="A87" i="10"/>
  <c r="B100" i="10"/>
  <c r="A104" i="16"/>
  <c r="A104" i="10"/>
  <c r="A109" i="16"/>
  <c r="A109" i="10"/>
  <c r="A121" i="10"/>
  <c r="A110" i="10"/>
  <c r="A118" i="16"/>
  <c r="A118" i="10"/>
  <c r="A119" i="16"/>
  <c r="A119" i="10"/>
  <c r="A122" i="16"/>
  <c r="A122" i="10"/>
  <c r="A128" i="16"/>
  <c r="A128" i="10"/>
  <c r="A137" i="16"/>
  <c r="A137" i="10"/>
  <c r="A142" i="16"/>
  <c r="A142" i="10"/>
  <c r="A157" i="16"/>
  <c r="A157" i="10"/>
  <c r="B161" i="10"/>
  <c r="B164" i="10"/>
  <c r="B162" i="10"/>
  <c r="B168" i="10"/>
  <c r="A115" i="16"/>
  <c r="A115" i="10"/>
  <c r="A141" i="16"/>
  <c r="A141" i="10"/>
  <c r="A147" i="16"/>
  <c r="A147" i="10"/>
  <c r="A55" i="16"/>
  <c r="A55" i="10"/>
  <c r="A5" i="16"/>
  <c r="A5" i="10"/>
  <c r="A159" i="10" s="1"/>
  <c r="A6" i="16"/>
  <c r="A6" i="10"/>
  <c r="A160" i="10" s="1"/>
  <c r="A21" i="16"/>
  <c r="A21" i="10"/>
  <c r="A175" i="10" s="1"/>
  <c r="A28" i="16"/>
  <c r="A28" i="10"/>
  <c r="A182" i="10" s="1"/>
  <c r="A83" i="16"/>
  <c r="A83" i="10"/>
  <c r="A99" i="16"/>
  <c r="A99" i="10"/>
  <c r="A112" i="10"/>
  <c r="A101" i="10"/>
  <c r="A156" i="10"/>
  <c r="A145" i="10"/>
  <c r="A134" i="10"/>
  <c r="A123" i="10"/>
  <c r="A107" i="16"/>
  <c r="A107" i="10"/>
  <c r="A116" i="16"/>
  <c r="A116" i="10"/>
  <c r="A149" i="16"/>
  <c r="A149" i="10"/>
  <c r="A4" i="16"/>
  <c r="A4" i="10"/>
  <c r="A27" i="16"/>
  <c r="A27" i="10"/>
  <c r="A181" i="10" s="1"/>
  <c r="A65" i="16"/>
  <c r="A65" i="10"/>
  <c r="A131" i="16"/>
  <c r="A131" i="10"/>
  <c r="A7" i="16"/>
  <c r="A7" i="10"/>
  <c r="A161" i="10" s="1"/>
  <c r="A9" i="16"/>
  <c r="A9" i="10"/>
  <c r="A163" i="10" s="1"/>
  <c r="A10" i="16"/>
  <c r="A10" i="10"/>
  <c r="A164" i="10" s="1"/>
  <c r="A12" i="16"/>
  <c r="A12" i="10"/>
  <c r="A17" i="16"/>
  <c r="A17" i="10"/>
  <c r="A171" i="10" s="1"/>
  <c r="B22" i="10"/>
  <c r="A39" i="16"/>
  <c r="A39" i="10"/>
  <c r="A40" i="16"/>
  <c r="A40" i="10"/>
  <c r="A49" i="16"/>
  <c r="A49" i="10"/>
  <c r="A58" i="16"/>
  <c r="A58" i="10"/>
  <c r="A63" i="16"/>
  <c r="A63" i="10"/>
  <c r="A64" i="16"/>
  <c r="A64" i="10"/>
  <c r="A78" i="16"/>
  <c r="A78" i="10"/>
  <c r="A90" i="16"/>
  <c r="A90" i="10"/>
  <c r="A94" i="16"/>
  <c r="A94" i="10"/>
  <c r="A98" i="16"/>
  <c r="A98" i="10"/>
  <c r="A111" i="16"/>
  <c r="A111" i="10"/>
  <c r="A120" i="16"/>
  <c r="A120" i="10"/>
  <c r="A125" i="16"/>
  <c r="A125" i="10"/>
  <c r="A126" i="16"/>
  <c r="A126" i="10"/>
  <c r="A127" i="16"/>
  <c r="A127" i="10"/>
  <c r="B133" i="10"/>
  <c r="A151" i="16"/>
  <c r="A151" i="10"/>
  <c r="B159" i="10"/>
  <c r="B160" i="10"/>
  <c r="C165" i="10"/>
  <c r="A45" i="16"/>
  <c r="A45" i="10"/>
  <c r="A108" i="16"/>
  <c r="A108" i="10"/>
  <c r="A79" i="10"/>
  <c r="A68" i="10"/>
  <c r="A46" i="10"/>
  <c r="A35" i="10"/>
  <c r="A189" i="10" s="1"/>
  <c r="A30" i="16"/>
  <c r="A30" i="10"/>
  <c r="A184" i="10" s="1"/>
  <c r="A38" i="16"/>
  <c r="A38" i="10"/>
  <c r="A66" i="10"/>
  <c r="A22" i="10"/>
  <c r="A176" i="10" s="1"/>
  <c r="A11" i="10"/>
  <c r="A165" i="10" s="1"/>
  <c r="A44" i="10"/>
  <c r="A29" i="16"/>
  <c r="A29" i="10"/>
  <c r="A183" i="10" s="1"/>
  <c r="A67" i="16"/>
  <c r="A67" i="10"/>
  <c r="A69" i="16"/>
  <c r="A69" i="10"/>
  <c r="A76" i="16"/>
  <c r="A76" i="10"/>
  <c r="A93" i="16"/>
  <c r="A93" i="10"/>
  <c r="A100" i="16"/>
  <c r="A100" i="10"/>
  <c r="A105" i="16"/>
  <c r="A105" i="10"/>
  <c r="A106" i="16"/>
  <c r="A106" i="10"/>
  <c r="A113" i="16"/>
  <c r="A113" i="10"/>
  <c r="A133" i="16"/>
  <c r="A133" i="10"/>
  <c r="A20" i="16"/>
  <c r="A20" i="10"/>
  <c r="A174" i="10" s="1"/>
  <c r="A74" i="16"/>
  <c r="A74" i="10"/>
  <c r="A75" i="16"/>
  <c r="A75" i="10"/>
  <c r="A124" i="16"/>
  <c r="A124" i="10"/>
  <c r="A8" i="16"/>
  <c r="A8" i="10"/>
  <c r="A162" i="10" s="1"/>
  <c r="A15" i="16"/>
  <c r="A15" i="10"/>
  <c r="A16" i="16"/>
  <c r="A16" i="10"/>
  <c r="A170" i="10" s="1"/>
  <c r="A19" i="16"/>
  <c r="A19" i="10"/>
  <c r="A173" i="10" s="1"/>
  <c r="B23" i="10"/>
  <c r="A33" i="16"/>
  <c r="A33" i="10"/>
  <c r="A187" i="10" s="1"/>
  <c r="A37" i="16"/>
  <c r="A37" i="10"/>
  <c r="A61" i="16"/>
  <c r="A61" i="10"/>
  <c r="A62" i="16"/>
  <c r="A62" i="10"/>
  <c r="A71" i="16"/>
  <c r="A71" i="10"/>
  <c r="A80" i="16"/>
  <c r="A80" i="10"/>
  <c r="A95" i="16"/>
  <c r="A95" i="10"/>
  <c r="A97" i="16"/>
  <c r="A97" i="10"/>
  <c r="A117" i="16"/>
  <c r="A117" i="10"/>
  <c r="A129" i="16"/>
  <c r="A129" i="10"/>
  <c r="A130" i="16"/>
  <c r="A130" i="10"/>
  <c r="A135" i="16"/>
  <c r="A135" i="10"/>
  <c r="A144" i="16"/>
  <c r="A144" i="10"/>
  <c r="A152" i="16"/>
  <c r="A152" i="10"/>
  <c r="B166" i="10"/>
  <c r="E165" i="10"/>
  <c r="E188" i="10"/>
  <c r="E177" i="10" s="1"/>
  <c r="G188" i="10"/>
  <c r="G177" i="10" s="1"/>
  <c r="C188" i="10"/>
  <c r="C177" i="10" s="1"/>
  <c r="F188" i="10"/>
  <c r="F177" i="10" s="1"/>
  <c r="A88" i="16"/>
  <c r="A77" i="16"/>
  <c r="A154" i="16"/>
  <c r="A143" i="16"/>
  <c r="A132" i="16"/>
  <c r="A46" i="16"/>
  <c r="A79" i="16"/>
  <c r="A35" i="16"/>
  <c r="A68" i="16"/>
  <c r="A110" i="16"/>
  <c r="A121" i="16"/>
  <c r="A134" i="16"/>
  <c r="A123" i="16"/>
  <c r="A156" i="16"/>
  <c r="A112" i="16"/>
  <c r="A145" i="16"/>
  <c r="A101" i="16"/>
  <c r="A66" i="16"/>
  <c r="A22" i="16"/>
  <c r="A11" i="16"/>
  <c r="A44" i="16"/>
  <c r="G165" i="9"/>
  <c r="B13" i="4"/>
  <c r="B18" i="4"/>
  <c r="E23" i="4"/>
  <c r="H23" i="4"/>
  <c r="A43" i="9"/>
  <c r="A43" i="13"/>
  <c r="A43" i="11"/>
  <c r="A43" i="12"/>
  <c r="B51" i="4"/>
  <c r="A53" i="9"/>
  <c r="A53" i="13"/>
  <c r="A53" i="12"/>
  <c r="A53" i="11"/>
  <c r="A60" i="9"/>
  <c r="A60" i="12"/>
  <c r="A60" i="11"/>
  <c r="A60" i="13"/>
  <c r="B71" i="4"/>
  <c r="A77" i="13"/>
  <c r="A88" i="12"/>
  <c r="A88" i="11"/>
  <c r="A77" i="12"/>
  <c r="A77" i="11"/>
  <c r="A88" i="13"/>
  <c r="A85" i="9"/>
  <c r="A85" i="13"/>
  <c r="A85" i="12"/>
  <c r="A85" i="11"/>
  <c r="A92" i="9"/>
  <c r="A92" i="12"/>
  <c r="A92" i="11"/>
  <c r="A92" i="13"/>
  <c r="C99" i="5"/>
  <c r="C99" i="11"/>
  <c r="D99" i="5"/>
  <c r="D99" i="11"/>
  <c r="C100" i="4"/>
  <c r="B113" i="4"/>
  <c r="C133" i="5"/>
  <c r="C133" i="11"/>
  <c r="C133" i="17" s="1"/>
  <c r="B98" i="5"/>
  <c r="B98" i="11"/>
  <c r="E132" i="4"/>
  <c r="E133" i="5"/>
  <c r="E133" i="11"/>
  <c r="E133" i="17" s="1"/>
  <c r="B8" i="5"/>
  <c r="B8" i="11"/>
  <c r="B17" i="4"/>
  <c r="F22" i="5"/>
  <c r="F22" i="11"/>
  <c r="H22" i="5"/>
  <c r="H22" i="11"/>
  <c r="D23" i="4"/>
  <c r="A30" i="9"/>
  <c r="A184" i="9" s="1"/>
  <c r="A30" i="13"/>
  <c r="A30" i="11"/>
  <c r="A184" i="11" s="1"/>
  <c r="A30" i="12"/>
  <c r="A56" i="9"/>
  <c r="A56" i="12"/>
  <c r="A56" i="11"/>
  <c r="A56" i="13"/>
  <c r="A57" i="9"/>
  <c r="A57" i="13"/>
  <c r="A57" i="12"/>
  <c r="A57" i="11"/>
  <c r="B60" i="5"/>
  <c r="B60" i="11"/>
  <c r="B61" i="5"/>
  <c r="B61" i="11"/>
  <c r="B62" i="5"/>
  <c r="B62" i="11"/>
  <c r="B63" i="4"/>
  <c r="B71" i="5"/>
  <c r="B71" i="11"/>
  <c r="B78" i="4"/>
  <c r="B80" i="5"/>
  <c r="B80" i="11"/>
  <c r="A81" i="9"/>
  <c r="A81" i="13"/>
  <c r="A81" i="12"/>
  <c r="A81" i="11"/>
  <c r="B84" i="4"/>
  <c r="A89" i="9"/>
  <c r="A89" i="13"/>
  <c r="A89" i="12"/>
  <c r="A89" i="11"/>
  <c r="A91" i="9"/>
  <c r="A91" i="13"/>
  <c r="A91" i="11"/>
  <c r="A91" i="12"/>
  <c r="B93" i="5"/>
  <c r="B93" i="11"/>
  <c r="B94" i="4"/>
  <c r="B95" i="5"/>
  <c r="B95" i="11"/>
  <c r="A96" i="9"/>
  <c r="A96" i="12"/>
  <c r="A96" i="11"/>
  <c r="A96" i="13"/>
  <c r="B97" i="5"/>
  <c r="B97" i="11"/>
  <c r="F100" i="5"/>
  <c r="F100" i="11"/>
  <c r="G100" i="5"/>
  <c r="G100" i="11"/>
  <c r="H100" i="4"/>
  <c r="A102" i="9"/>
  <c r="A102" i="12"/>
  <c r="A102" i="11"/>
  <c r="A102" i="13"/>
  <c r="A103" i="9"/>
  <c r="A103" i="13"/>
  <c r="A103" i="12"/>
  <c r="A103" i="11"/>
  <c r="B107" i="4"/>
  <c r="B108" i="4"/>
  <c r="B116" i="4"/>
  <c r="B117" i="5"/>
  <c r="B117" i="11"/>
  <c r="B126" i="4"/>
  <c r="B127" i="4"/>
  <c r="B129" i="5"/>
  <c r="B129" i="11"/>
  <c r="B132" i="4"/>
  <c r="G132" i="5"/>
  <c r="G132" i="11"/>
  <c r="F133" i="5"/>
  <c r="F133" i="11"/>
  <c r="F133" i="17" s="1"/>
  <c r="B135" i="5"/>
  <c r="B135" i="11"/>
  <c r="A136" i="9"/>
  <c r="A136" i="12"/>
  <c r="A136" i="11"/>
  <c r="A136" i="13"/>
  <c r="A138" i="9"/>
  <c r="A138" i="13"/>
  <c r="A138" i="12"/>
  <c r="A138" i="11"/>
  <c r="B144" i="5"/>
  <c r="B144" i="11"/>
  <c r="A146" i="9"/>
  <c r="A146" i="13"/>
  <c r="A146" i="12"/>
  <c r="A146" i="11"/>
  <c r="B151" i="4"/>
  <c r="B152" i="5"/>
  <c r="B152" i="11"/>
  <c r="A153" i="9"/>
  <c r="A153" i="13"/>
  <c r="A153" i="12"/>
  <c r="A153" i="11"/>
  <c r="A155" i="9"/>
  <c r="A155" i="11"/>
  <c r="A155" i="13"/>
  <c r="A155" i="12"/>
  <c r="B5" i="5"/>
  <c r="B5" i="11"/>
  <c r="B10" i="4"/>
  <c r="B21" i="5"/>
  <c r="B21" i="11"/>
  <c r="D22" i="4"/>
  <c r="E22" i="5"/>
  <c r="E22" i="11"/>
  <c r="F23" i="4"/>
  <c r="A26" i="9"/>
  <c r="A26" i="13"/>
  <c r="A26" i="12"/>
  <c r="A26" i="11"/>
  <c r="B28" i="5"/>
  <c r="B28" i="11"/>
  <c r="B35" i="4"/>
  <c r="A36" i="9"/>
  <c r="A190" i="9" s="1"/>
  <c r="A36" i="12"/>
  <c r="A36" i="11"/>
  <c r="A190" i="11" s="1"/>
  <c r="A36" i="13"/>
  <c r="A42" i="9"/>
  <c r="A42" i="13"/>
  <c r="A42" i="12"/>
  <c r="A42" i="11"/>
  <c r="B49" i="4"/>
  <c r="B50" i="5"/>
  <c r="B50" i="11"/>
  <c r="A51" i="9"/>
  <c r="A51" i="13"/>
  <c r="A51" i="12"/>
  <c r="A51" i="11"/>
  <c r="A52" i="9"/>
  <c r="A52" i="12"/>
  <c r="A52" i="11"/>
  <c r="A52" i="13"/>
  <c r="A59" i="9"/>
  <c r="A59" i="13"/>
  <c r="A59" i="12"/>
  <c r="A59" i="11"/>
  <c r="B67" i="5"/>
  <c r="B67" i="11"/>
  <c r="B69" i="5"/>
  <c r="B69" i="11"/>
  <c r="B73" i="5"/>
  <c r="B73" i="11"/>
  <c r="B74" i="4"/>
  <c r="B83" i="4"/>
  <c r="A84" i="9"/>
  <c r="A84" i="12"/>
  <c r="A84" i="11"/>
  <c r="A84" i="13"/>
  <c r="B99" i="4"/>
  <c r="C99" i="4"/>
  <c r="D99" i="4"/>
  <c r="D100" i="4"/>
  <c r="B105" i="4"/>
  <c r="B106" i="5"/>
  <c r="B106" i="11"/>
  <c r="B107" i="5"/>
  <c r="B107" i="11"/>
  <c r="A114" i="9"/>
  <c r="A114" i="12"/>
  <c r="A114" i="13"/>
  <c r="A114" i="11"/>
  <c r="B124" i="5"/>
  <c r="B124" i="11"/>
  <c r="B131" i="4"/>
  <c r="C132" i="5"/>
  <c r="C132" i="11"/>
  <c r="D133" i="5"/>
  <c r="D133" i="11"/>
  <c r="D133" i="17" s="1"/>
  <c r="A139" i="9"/>
  <c r="A139" i="12"/>
  <c r="A139" i="13"/>
  <c r="A139" i="11"/>
  <c r="A140" i="9"/>
  <c r="A140" i="12"/>
  <c r="A140" i="11"/>
  <c r="A140" i="13"/>
  <c r="B149" i="5"/>
  <c r="B149" i="11"/>
  <c r="A150" i="9"/>
  <c r="A150" i="13"/>
  <c r="A150" i="12"/>
  <c r="A150" i="11"/>
  <c r="B58" i="5"/>
  <c r="B58" i="11"/>
  <c r="B64" i="4"/>
  <c r="B72" i="4"/>
  <c r="B111" i="4"/>
  <c r="B129" i="4"/>
  <c r="F132" i="4"/>
  <c r="G133" i="4"/>
  <c r="A148" i="9"/>
  <c r="A148" i="12"/>
  <c r="A148" i="11"/>
  <c r="A148" i="13"/>
  <c r="B6" i="5"/>
  <c r="B6" i="11"/>
  <c r="B8" i="4"/>
  <c r="B14" i="4"/>
  <c r="B16" i="4"/>
  <c r="A18" i="9"/>
  <c r="A172" i="9" s="1"/>
  <c r="A18" i="12"/>
  <c r="A161" i="16" s="1"/>
  <c r="A18" i="11"/>
  <c r="A172" i="11" s="1"/>
  <c r="A18" i="13"/>
  <c r="A161" i="17" s="1"/>
  <c r="B22" i="5"/>
  <c r="B22" i="11"/>
  <c r="G22" i="5"/>
  <c r="G22" i="11"/>
  <c r="H22" i="4"/>
  <c r="A23" i="9"/>
  <c r="A23" i="13"/>
  <c r="A166" i="17" s="1"/>
  <c r="A23" i="11"/>
  <c r="A23" i="12"/>
  <c r="A166" i="16" s="1"/>
  <c r="C23" i="4"/>
  <c r="G23" i="5"/>
  <c r="G23" i="11"/>
  <c r="A24" i="9"/>
  <c r="A178" i="9" s="1"/>
  <c r="A24" i="12"/>
  <c r="A167" i="16" s="1"/>
  <c r="A24" i="11"/>
  <c r="A178" i="11" s="1"/>
  <c r="A24" i="13"/>
  <c r="A167" i="17" s="1"/>
  <c r="A25" i="9"/>
  <c r="A179" i="9" s="1"/>
  <c r="A25" i="13"/>
  <c r="A168" i="17" s="1"/>
  <c r="A25" i="12"/>
  <c r="A168" i="16" s="1"/>
  <c r="A25" i="11"/>
  <c r="A179" i="11" s="1"/>
  <c r="B28" i="4"/>
  <c r="B30" i="5"/>
  <c r="B30" i="11"/>
  <c r="A31" i="9"/>
  <c r="A185" i="9" s="1"/>
  <c r="A31" i="12"/>
  <c r="A31" i="11"/>
  <c r="A185" i="11" s="1"/>
  <c r="A31" i="13"/>
  <c r="B32" i="5"/>
  <c r="B32" i="11"/>
  <c r="A34" i="9"/>
  <c r="A34" i="13"/>
  <c r="A34" i="12"/>
  <c r="A34" i="11"/>
  <c r="B36" i="4"/>
  <c r="B38" i="5"/>
  <c r="B38" i="11"/>
  <c r="A41" i="9"/>
  <c r="A41" i="13"/>
  <c r="A41" i="12"/>
  <c r="A41" i="11"/>
  <c r="A47" i="9"/>
  <c r="A47" i="11"/>
  <c r="A47" i="12"/>
  <c r="A47" i="13"/>
  <c r="A50" i="9"/>
  <c r="A50" i="13"/>
  <c r="A50" i="12"/>
  <c r="A50" i="11"/>
  <c r="B52" i="4"/>
  <c r="B53" i="5"/>
  <c r="B53" i="11"/>
  <c r="A54" i="9"/>
  <c r="A54" i="13"/>
  <c r="A54" i="11"/>
  <c r="A54" i="12"/>
  <c r="B56" i="5"/>
  <c r="B56" i="11"/>
  <c r="B57" i="5"/>
  <c r="B57" i="11"/>
  <c r="B60" i="4"/>
  <c r="B61" i="4"/>
  <c r="B62" i="4"/>
  <c r="A70" i="9"/>
  <c r="A70" i="13"/>
  <c r="A70" i="11"/>
  <c r="A70" i="12"/>
  <c r="A72" i="9"/>
  <c r="A72" i="12"/>
  <c r="A72" i="11"/>
  <c r="A72" i="13"/>
  <c r="A73" i="9"/>
  <c r="A73" i="13"/>
  <c r="A73" i="12"/>
  <c r="A73" i="11"/>
  <c r="B80" i="4"/>
  <c r="A82" i="9"/>
  <c r="A82" i="13"/>
  <c r="A82" i="12"/>
  <c r="A82" i="11"/>
  <c r="B85" i="5"/>
  <c r="B85" i="11"/>
  <c r="A86" i="9"/>
  <c r="A86" i="13"/>
  <c r="A86" i="11"/>
  <c r="A86" i="12"/>
  <c r="A87" i="9"/>
  <c r="A87" i="12"/>
  <c r="A87" i="11"/>
  <c r="A87" i="13"/>
  <c r="B89" i="5"/>
  <c r="B89" i="11"/>
  <c r="B93" i="4"/>
  <c r="B95" i="4"/>
  <c r="B96" i="5"/>
  <c r="B96" i="11"/>
  <c r="G99" i="5"/>
  <c r="G99" i="11"/>
  <c r="H99" i="5"/>
  <c r="H99" i="11"/>
  <c r="B100" i="4"/>
  <c r="G100" i="4"/>
  <c r="B101" i="5"/>
  <c r="B101" i="11"/>
  <c r="B102" i="5"/>
  <c r="B102" i="11"/>
  <c r="A104" i="9"/>
  <c r="A104" i="11"/>
  <c r="A104" i="13"/>
  <c r="A104" i="12"/>
  <c r="A109" i="9"/>
  <c r="A109" i="11"/>
  <c r="A109" i="13"/>
  <c r="A109" i="12"/>
  <c r="A110" i="12"/>
  <c r="A121" i="11"/>
  <c r="A121" i="13"/>
  <c r="A110" i="11"/>
  <c r="A121" i="12"/>
  <c r="A110" i="13"/>
  <c r="B117" i="4"/>
  <c r="A118" i="9"/>
  <c r="A118" i="12"/>
  <c r="A118" i="11"/>
  <c r="A118" i="13"/>
  <c r="A119" i="9"/>
  <c r="A119" i="13"/>
  <c r="A119" i="12"/>
  <c r="A119" i="11"/>
  <c r="A122" i="9"/>
  <c r="A122" i="12"/>
  <c r="A122" i="13"/>
  <c r="A122" i="11"/>
  <c r="A128" i="9"/>
  <c r="A128" i="11"/>
  <c r="A128" i="13"/>
  <c r="A128" i="12"/>
  <c r="F132" i="5"/>
  <c r="F132" i="11"/>
  <c r="G132" i="4"/>
  <c r="B133" i="5"/>
  <c r="B133" i="11"/>
  <c r="B133" i="17" s="1"/>
  <c r="C133" i="4"/>
  <c r="G133" i="5"/>
  <c r="G133" i="11"/>
  <c r="G133" i="17" s="1"/>
  <c r="H133" i="5"/>
  <c r="H133" i="11"/>
  <c r="H133" i="17" s="1"/>
  <c r="B135" i="4"/>
  <c r="A137" i="9"/>
  <c r="A137" i="13"/>
  <c r="A137" i="12"/>
  <c r="A137" i="11"/>
  <c r="B141" i="5"/>
  <c r="B141" i="11"/>
  <c r="A142" i="9"/>
  <c r="A142" i="13"/>
  <c r="A142" i="12"/>
  <c r="A142" i="11"/>
  <c r="B144" i="4"/>
  <c r="B146" i="5"/>
  <c r="B146" i="11"/>
  <c r="B152" i="4"/>
  <c r="B153" i="5"/>
  <c r="B153" i="11"/>
  <c r="A157" i="9"/>
  <c r="A157" i="13"/>
  <c r="A157" i="12"/>
  <c r="A157" i="11"/>
  <c r="A14" i="9"/>
  <c r="A168" i="9" s="1"/>
  <c r="A14" i="12"/>
  <c r="A168" i="12" s="1"/>
  <c r="A14" i="11"/>
  <c r="A168" i="11" s="1"/>
  <c r="A14" i="13"/>
  <c r="A168" i="13" s="1"/>
  <c r="B20" i="4"/>
  <c r="G23" i="4"/>
  <c r="B34" i="4"/>
  <c r="B35" i="5"/>
  <c r="B35" i="11"/>
  <c r="B36" i="5"/>
  <c r="B36" i="11"/>
  <c r="B42" i="4"/>
  <c r="A45" i="9"/>
  <c r="A45" i="13"/>
  <c r="A45" i="12"/>
  <c r="A45" i="11"/>
  <c r="B52" i="5"/>
  <c r="B52" i="11"/>
  <c r="B65" i="4"/>
  <c r="B84" i="5"/>
  <c r="B84" i="11"/>
  <c r="B99" i="5"/>
  <c r="B99" i="11"/>
  <c r="B105" i="5"/>
  <c r="B105" i="11"/>
  <c r="A108" i="9"/>
  <c r="A108" i="11"/>
  <c r="A108" i="13"/>
  <c r="A108" i="12"/>
  <c r="B139" i="4"/>
  <c r="B140" i="5"/>
  <c r="B140" i="11"/>
  <c r="A141" i="9"/>
  <c r="A141" i="13"/>
  <c r="A141" i="12"/>
  <c r="A141" i="11"/>
  <c r="A147" i="9"/>
  <c r="A147" i="11"/>
  <c r="A147" i="13"/>
  <c r="A147" i="12"/>
  <c r="A13" i="9"/>
  <c r="A167" i="9" s="1"/>
  <c r="A13" i="11"/>
  <c r="A167" i="11" s="1"/>
  <c r="A13" i="13"/>
  <c r="A167" i="13" s="1"/>
  <c r="A13" i="12"/>
  <c r="A167" i="12" s="1"/>
  <c r="B74" i="5"/>
  <c r="B74" i="11"/>
  <c r="B146" i="4"/>
  <c r="B7" i="4"/>
  <c r="B16" i="5"/>
  <c r="B16" i="11"/>
  <c r="C23" i="5"/>
  <c r="C23" i="11"/>
  <c r="A38" i="9"/>
  <c r="A38" i="13"/>
  <c r="A38" i="11"/>
  <c r="A38" i="12"/>
  <c r="B43" i="4"/>
  <c r="A5" i="9"/>
  <c r="A159" i="9" s="1"/>
  <c r="A5" i="11"/>
  <c r="A159" i="11" s="1"/>
  <c r="A5" i="13"/>
  <c r="A159" i="13" s="1"/>
  <c r="A5" i="12"/>
  <c r="A159" i="12" s="1"/>
  <c r="A6" i="9"/>
  <c r="A160" i="9" s="1"/>
  <c r="A6" i="12"/>
  <c r="A160" i="12" s="1"/>
  <c r="A6" i="11"/>
  <c r="A160" i="11" s="1"/>
  <c r="A6" i="13"/>
  <c r="A160" i="13" s="1"/>
  <c r="B12" i="5"/>
  <c r="B12" i="11"/>
  <c r="B19" i="5"/>
  <c r="B19" i="11"/>
  <c r="A21" i="9"/>
  <c r="A175" i="9" s="1"/>
  <c r="A21" i="11"/>
  <c r="A175" i="11" s="1"/>
  <c r="A21" i="13"/>
  <c r="A164" i="17" s="1"/>
  <c r="A21" i="12"/>
  <c r="A164" i="16" s="1"/>
  <c r="E22" i="4"/>
  <c r="F22" i="4"/>
  <c r="G22" i="4"/>
  <c r="D23" i="5"/>
  <c r="D23" i="11"/>
  <c r="A28" i="9"/>
  <c r="A182" i="9" s="1"/>
  <c r="A28" i="12"/>
  <c r="A28" i="11"/>
  <c r="A182" i="11" s="1"/>
  <c r="A28" i="13"/>
  <c r="B40" i="4"/>
  <c r="B50" i="4"/>
  <c r="B57" i="4"/>
  <c r="B58" i="4"/>
  <c r="B67" i="4"/>
  <c r="B75" i="5"/>
  <c r="B75" i="11"/>
  <c r="B76" i="5"/>
  <c r="B76" i="11"/>
  <c r="A83" i="9"/>
  <c r="A83" i="13"/>
  <c r="A83" i="12"/>
  <c r="A83" i="11"/>
  <c r="B90" i="5"/>
  <c r="B90" i="11"/>
  <c r="A99" i="9"/>
  <c r="A99" i="13"/>
  <c r="A99" i="12"/>
  <c r="A99" i="11"/>
  <c r="B100" i="5"/>
  <c r="B100" i="11"/>
  <c r="F100" i="4"/>
  <c r="A145" i="13"/>
  <c r="A134" i="13"/>
  <c r="A123" i="13"/>
  <c r="A156" i="12"/>
  <c r="A156" i="11"/>
  <c r="A112" i="11"/>
  <c r="A112" i="13"/>
  <c r="A145" i="12"/>
  <c r="A134" i="12"/>
  <c r="A123" i="12"/>
  <c r="A145" i="11"/>
  <c r="A101" i="11"/>
  <c r="A112" i="12"/>
  <c r="A134" i="11"/>
  <c r="A101" i="12"/>
  <c r="A123" i="11"/>
  <c r="A101" i="13"/>
  <c r="A156" i="13"/>
  <c r="B106" i="4"/>
  <c r="A107" i="9"/>
  <c r="A107" i="13"/>
  <c r="A107" i="12"/>
  <c r="A107" i="11"/>
  <c r="A116" i="9"/>
  <c r="A116" i="11"/>
  <c r="A116" i="13"/>
  <c r="A116" i="12"/>
  <c r="B124" i="4"/>
  <c r="C132" i="4"/>
  <c r="D132" i="5"/>
  <c r="D132" i="11"/>
  <c r="D133" i="4"/>
  <c r="E133" i="4"/>
  <c r="B138" i="4"/>
  <c r="B148" i="5"/>
  <c r="B148" i="11"/>
  <c r="A149" i="9"/>
  <c r="A149" i="13"/>
  <c r="A149" i="12"/>
  <c r="A149" i="11"/>
  <c r="B157" i="5"/>
  <c r="B157" i="11"/>
  <c r="A4" i="9"/>
  <c r="A4" i="11"/>
  <c r="A4" i="13"/>
  <c r="A4" i="12"/>
  <c r="A27" i="9"/>
  <c r="A181" i="9" s="1"/>
  <c r="A27" i="13"/>
  <c r="A27" i="12"/>
  <c r="A27" i="11"/>
  <c r="A181" i="11" s="1"/>
  <c r="A65" i="9"/>
  <c r="A65" i="13"/>
  <c r="A65" i="12"/>
  <c r="A65" i="11"/>
  <c r="B90" i="4"/>
  <c r="B91" i="5"/>
  <c r="B91" i="11"/>
  <c r="B97" i="4"/>
  <c r="E100" i="4"/>
  <c r="B119" i="4"/>
  <c r="A131" i="9"/>
  <c r="A131" i="13"/>
  <c r="A131" i="12"/>
  <c r="A131" i="11"/>
  <c r="B137" i="4"/>
  <c r="B153" i="4"/>
  <c r="B155" i="5"/>
  <c r="B155" i="11"/>
  <c r="B5" i="4"/>
  <c r="B6" i="4"/>
  <c r="A7" i="9"/>
  <c r="A161" i="9" s="1"/>
  <c r="A7" i="13"/>
  <c r="A161" i="13" s="1"/>
  <c r="A7" i="12"/>
  <c r="A161" i="12" s="1"/>
  <c r="A7" i="11"/>
  <c r="A161" i="11" s="1"/>
  <c r="A9" i="9"/>
  <c r="A163" i="9" s="1"/>
  <c r="A9" i="11"/>
  <c r="A163" i="11" s="1"/>
  <c r="A9" i="13"/>
  <c r="A163" i="13" s="1"/>
  <c r="A9" i="12"/>
  <c r="A163" i="12" s="1"/>
  <c r="A10" i="9"/>
  <c r="A164" i="9" s="1"/>
  <c r="A10" i="12"/>
  <c r="A164" i="12" s="1"/>
  <c r="A10" i="13"/>
  <c r="A164" i="13" s="1"/>
  <c r="A10" i="11"/>
  <c r="A164" i="11" s="1"/>
  <c r="A12" i="9"/>
  <c r="A12" i="11"/>
  <c r="A12" i="13"/>
  <c r="A12" i="12"/>
  <c r="A17" i="9"/>
  <c r="A171" i="9" s="1"/>
  <c r="A17" i="11"/>
  <c r="A171" i="11" s="1"/>
  <c r="A17" i="13"/>
  <c r="A160" i="17" s="1"/>
  <c r="A17" i="12"/>
  <c r="A160" i="16" s="1"/>
  <c r="B18" i="5"/>
  <c r="B18" i="11"/>
  <c r="B22" i="4"/>
  <c r="C22" i="4"/>
  <c r="B23" i="5"/>
  <c r="B23" i="11"/>
  <c r="H23" i="5"/>
  <c r="H23" i="11"/>
  <c r="B24" i="5"/>
  <c r="B24" i="11"/>
  <c r="B25" i="5"/>
  <c r="B25" i="11"/>
  <c r="B30" i="4"/>
  <c r="B31" i="5"/>
  <c r="B31" i="11"/>
  <c r="B32" i="4"/>
  <c r="B38" i="4"/>
  <c r="A39" i="9"/>
  <c r="A39" i="11"/>
  <c r="A39" i="13"/>
  <c r="A39" i="12"/>
  <c r="A40" i="9"/>
  <c r="A40" i="12"/>
  <c r="A40" i="11"/>
  <c r="A40" i="13"/>
  <c r="B45" i="5"/>
  <c r="B45" i="11"/>
  <c r="B47" i="5"/>
  <c r="B47" i="11"/>
  <c r="A49" i="9"/>
  <c r="A49" i="13"/>
  <c r="A49" i="12"/>
  <c r="A49" i="11"/>
  <c r="B53" i="4"/>
  <c r="B54" i="5"/>
  <c r="B54" i="11"/>
  <c r="B56" i="4"/>
  <c r="A58" i="9"/>
  <c r="A58" i="13"/>
  <c r="A58" i="12"/>
  <c r="A58" i="11"/>
  <c r="A63" i="9"/>
  <c r="A63" i="12"/>
  <c r="A63" i="11"/>
  <c r="A63" i="13"/>
  <c r="A64" i="9"/>
  <c r="A64" i="12"/>
  <c r="A64" i="11"/>
  <c r="A64" i="13"/>
  <c r="B72" i="5"/>
  <c r="B72" i="11"/>
  <c r="A78" i="9"/>
  <c r="A78" i="13"/>
  <c r="A78" i="11"/>
  <c r="A78" i="12"/>
  <c r="B85" i="4"/>
  <c r="B86" i="5"/>
  <c r="B86" i="11"/>
  <c r="B87" i="5"/>
  <c r="B87" i="11"/>
  <c r="B89" i="4"/>
  <c r="A90" i="9"/>
  <c r="A90" i="13"/>
  <c r="A90" i="12"/>
  <c r="A90" i="11"/>
  <c r="A94" i="9"/>
  <c r="A94" i="13"/>
  <c r="A94" i="11"/>
  <c r="A94" i="12"/>
  <c r="B96" i="4"/>
  <c r="A98" i="9"/>
  <c r="A98" i="13"/>
  <c r="A98" i="12"/>
  <c r="A98" i="11"/>
  <c r="F99" i="5"/>
  <c r="F99" i="11"/>
  <c r="G99" i="4"/>
  <c r="H99" i="4"/>
  <c r="B100" i="9"/>
  <c r="B101" i="4"/>
  <c r="B102" i="4"/>
  <c r="B104" i="5"/>
  <c r="B104" i="11"/>
  <c r="B109" i="5"/>
  <c r="B109" i="11"/>
  <c r="A111" i="9"/>
  <c r="A111" i="13"/>
  <c r="A111" i="12"/>
  <c r="A111" i="11"/>
  <c r="B118" i="5"/>
  <c r="B118" i="11"/>
  <c r="B119" i="5"/>
  <c r="B119" i="11"/>
  <c r="A120" i="9"/>
  <c r="A120" i="11"/>
  <c r="A120" i="13"/>
  <c r="A120" i="12"/>
  <c r="A125" i="9"/>
  <c r="A125" i="11"/>
  <c r="A125" i="13"/>
  <c r="A125" i="12"/>
  <c r="A126" i="9"/>
  <c r="A126" i="12"/>
  <c r="A126" i="11"/>
  <c r="A126" i="13"/>
  <c r="A127" i="9"/>
  <c r="A127" i="13"/>
  <c r="A127" i="12"/>
  <c r="A127" i="11"/>
  <c r="B128" i="5"/>
  <c r="B128" i="11"/>
  <c r="H132" i="5"/>
  <c r="H132" i="11"/>
  <c r="B133" i="4"/>
  <c r="H133" i="4"/>
  <c r="B137" i="5"/>
  <c r="B137" i="11"/>
  <c r="B140" i="4"/>
  <c r="B141" i="4"/>
  <c r="B142" i="5"/>
  <c r="B142" i="11"/>
  <c r="B149" i="4"/>
  <c r="B150" i="5"/>
  <c r="B150" i="11"/>
  <c r="A151" i="9"/>
  <c r="A151" i="13"/>
  <c r="A151" i="12"/>
  <c r="A151" i="11"/>
  <c r="B9" i="4"/>
  <c r="D22" i="5"/>
  <c r="D22" i="11"/>
  <c r="F23" i="5"/>
  <c r="F23" i="11"/>
  <c r="B27" i="4"/>
  <c r="B41" i="4"/>
  <c r="B82" i="4"/>
  <c r="B83" i="5"/>
  <c r="B83" i="11"/>
  <c r="D100" i="5"/>
  <c r="D100" i="11"/>
  <c r="A115" i="9"/>
  <c r="A115" i="13"/>
  <c r="A115" i="12"/>
  <c r="A115" i="11"/>
  <c r="B122" i="4"/>
  <c r="B131" i="5"/>
  <c r="B131" i="11"/>
  <c r="A132" i="11"/>
  <c r="A154" i="13"/>
  <c r="A132" i="13"/>
  <c r="A143" i="13"/>
  <c r="A143" i="12"/>
  <c r="A143" i="11"/>
  <c r="A154" i="12"/>
  <c r="A132" i="12"/>
  <c r="A154" i="11"/>
  <c r="A68" i="12"/>
  <c r="A68" i="11"/>
  <c r="A46" i="13"/>
  <c r="A35" i="13"/>
  <c r="A46" i="11"/>
  <c r="A68" i="13"/>
  <c r="A35" i="12"/>
  <c r="A79" i="11"/>
  <c r="A79" i="12"/>
  <c r="A35" i="11"/>
  <c r="A189" i="11" s="1"/>
  <c r="A79" i="13"/>
  <c r="A46" i="12"/>
  <c r="B73" i="4"/>
  <c r="B23" i="9"/>
  <c r="B29" i="4"/>
  <c r="A32" i="9"/>
  <c r="A186" i="9" s="1"/>
  <c r="A32" i="12"/>
  <c r="A32" i="11"/>
  <c r="A186" i="11" s="1"/>
  <c r="A32" i="13"/>
  <c r="B39" i="4"/>
  <c r="A55" i="9"/>
  <c r="A55" i="11"/>
  <c r="A55" i="13"/>
  <c r="A55" i="12"/>
  <c r="B12" i="4"/>
  <c r="B13" i="5"/>
  <c r="B13" i="11"/>
  <c r="B14" i="5"/>
  <c r="B14" i="11"/>
  <c r="B19" i="4"/>
  <c r="B20" i="5"/>
  <c r="B20" i="11"/>
  <c r="A11" i="13"/>
  <c r="A165" i="13" s="1"/>
  <c r="A44" i="12"/>
  <c r="A22" i="12"/>
  <c r="A165" i="16" s="1"/>
  <c r="A44" i="11"/>
  <c r="A66" i="13"/>
  <c r="A11" i="12"/>
  <c r="A165" i="12" s="1"/>
  <c r="A66" i="12"/>
  <c r="A22" i="11"/>
  <c r="A176" i="11" s="1"/>
  <c r="A44" i="13"/>
  <c r="A22" i="13"/>
  <c r="A165" i="17" s="1"/>
  <c r="A11" i="11"/>
  <c r="A165" i="11" s="1"/>
  <c r="A66" i="11"/>
  <c r="C22" i="5"/>
  <c r="C22" i="11"/>
  <c r="E23" i="5"/>
  <c r="E23" i="11"/>
  <c r="B27" i="5"/>
  <c r="B27" i="11"/>
  <c r="A29" i="9"/>
  <c r="A183" i="9" s="1"/>
  <c r="A29" i="13"/>
  <c r="A29" i="12"/>
  <c r="A29" i="11"/>
  <c r="A183" i="11" s="1"/>
  <c r="B34" i="5"/>
  <c r="B34" i="11"/>
  <c r="B41" i="5"/>
  <c r="B41" i="11"/>
  <c r="B42" i="5"/>
  <c r="B42" i="11"/>
  <c r="B43" i="5"/>
  <c r="B43" i="11"/>
  <c r="B51" i="5"/>
  <c r="B51" i="11"/>
  <c r="B65" i="5"/>
  <c r="B65" i="11"/>
  <c r="A67" i="9"/>
  <c r="A67" i="13"/>
  <c r="A67" i="11"/>
  <c r="A67" i="12"/>
  <c r="A69" i="9"/>
  <c r="A69" i="13"/>
  <c r="A69" i="12"/>
  <c r="A69" i="11"/>
  <c r="B75" i="4"/>
  <c r="A76" i="9"/>
  <c r="A76" i="12"/>
  <c r="A76" i="11"/>
  <c r="A76" i="13"/>
  <c r="B82" i="5"/>
  <c r="B82" i="11"/>
  <c r="B91" i="4"/>
  <c r="A93" i="9"/>
  <c r="A93" i="13"/>
  <c r="A93" i="12"/>
  <c r="A93" i="11"/>
  <c r="B98" i="4"/>
  <c r="A100" i="9"/>
  <c r="A100" i="13"/>
  <c r="A100" i="11"/>
  <c r="A100" i="12"/>
  <c r="C100" i="5"/>
  <c r="C100" i="11"/>
  <c r="A105" i="9"/>
  <c r="A105" i="11"/>
  <c r="A105" i="13"/>
  <c r="A105" i="12"/>
  <c r="A106" i="9"/>
  <c r="A106" i="12"/>
  <c r="A106" i="13"/>
  <c r="A106" i="11"/>
  <c r="A113" i="9"/>
  <c r="A113" i="11"/>
  <c r="A113" i="13"/>
  <c r="A113" i="12"/>
  <c r="B115" i="5"/>
  <c r="B115" i="11"/>
  <c r="B122" i="5"/>
  <c r="B122" i="11"/>
  <c r="B130" i="4"/>
  <c r="B132" i="5"/>
  <c r="B132" i="11"/>
  <c r="D132" i="4"/>
  <c r="A133" i="9"/>
  <c r="A133" i="11"/>
  <c r="A133" i="12"/>
  <c r="A133" i="13"/>
  <c r="B135" i="9"/>
  <c r="B139" i="5"/>
  <c r="B139" i="11"/>
  <c r="B148" i="4"/>
  <c r="B157" i="4"/>
  <c r="A20" i="9"/>
  <c r="A174" i="9" s="1"/>
  <c r="A20" i="11"/>
  <c r="A174" i="11" s="1"/>
  <c r="A20" i="13"/>
  <c r="A163" i="17" s="1"/>
  <c r="A20" i="12"/>
  <c r="A163" i="16" s="1"/>
  <c r="A74" i="9"/>
  <c r="A74" i="13"/>
  <c r="A74" i="12"/>
  <c r="A74" i="11"/>
  <c r="A75" i="9"/>
  <c r="A75" i="13"/>
  <c r="A75" i="12"/>
  <c r="A75" i="11"/>
  <c r="E99" i="4"/>
  <c r="B104" i="4"/>
  <c r="B113" i="5"/>
  <c r="B113" i="11"/>
  <c r="B120" i="4"/>
  <c r="A124" i="9"/>
  <c r="A124" i="11"/>
  <c r="A124" i="13"/>
  <c r="A124" i="12"/>
  <c r="B130" i="5"/>
  <c r="B130" i="11"/>
  <c r="E132" i="5"/>
  <c r="E132" i="11"/>
  <c r="F133" i="4"/>
  <c r="B138" i="5"/>
  <c r="B138" i="11"/>
  <c r="B155" i="4"/>
  <c r="B7" i="5"/>
  <c r="B7" i="11"/>
  <c r="A8" i="9"/>
  <c r="A162" i="9" s="1"/>
  <c r="A8" i="11"/>
  <c r="A162" i="11" s="1"/>
  <c r="A8" i="13"/>
  <c r="A162" i="13" s="1"/>
  <c r="A8" i="12"/>
  <c r="A162" i="12" s="1"/>
  <c r="B9" i="5"/>
  <c r="B9" i="11"/>
  <c r="B10" i="5"/>
  <c r="B10" i="11"/>
  <c r="A15" i="9"/>
  <c r="A15" i="13"/>
  <c r="A15" i="12"/>
  <c r="A15" i="11"/>
  <c r="A16" i="9"/>
  <c r="A170" i="9" s="1"/>
  <c r="A16" i="11"/>
  <c r="A170" i="11" s="1"/>
  <c r="A16" i="13"/>
  <c r="A159" i="17" s="1"/>
  <c r="A16" i="12"/>
  <c r="A159" i="16" s="1"/>
  <c r="B17" i="5"/>
  <c r="B17" i="11"/>
  <c r="A19" i="9"/>
  <c r="A173" i="9" s="1"/>
  <c r="A19" i="13"/>
  <c r="A162" i="17" s="1"/>
  <c r="A19" i="12"/>
  <c r="A162" i="16" s="1"/>
  <c r="A19" i="11"/>
  <c r="A173" i="11" s="1"/>
  <c r="B21" i="4"/>
  <c r="B22" i="9"/>
  <c r="B23" i="4"/>
  <c r="B24" i="4"/>
  <c r="B25" i="4"/>
  <c r="B29" i="5"/>
  <c r="B29" i="11"/>
  <c r="B31" i="4"/>
  <c r="A33" i="9"/>
  <c r="A187" i="9" s="1"/>
  <c r="A33" i="13"/>
  <c r="A33" i="12"/>
  <c r="A33" i="11"/>
  <c r="A187" i="11" s="1"/>
  <c r="A37" i="9"/>
  <c r="A37" i="13"/>
  <c r="A37" i="12"/>
  <c r="A37" i="11"/>
  <c r="B39" i="5"/>
  <c r="B39" i="11"/>
  <c r="B40" i="5"/>
  <c r="B40" i="11"/>
  <c r="B45" i="4"/>
  <c r="B47" i="4"/>
  <c r="B49" i="5"/>
  <c r="B49" i="11"/>
  <c r="B54" i="4"/>
  <c r="A61" i="9"/>
  <c r="A61" i="13"/>
  <c r="A61" i="12"/>
  <c r="A61" i="11"/>
  <c r="A62" i="9"/>
  <c r="A62" i="13"/>
  <c r="A62" i="11"/>
  <c r="A62" i="12"/>
  <c r="B63" i="5"/>
  <c r="B63" i="11"/>
  <c r="B64" i="5"/>
  <c r="B64" i="11"/>
  <c r="B69" i="4"/>
  <c r="A71" i="9"/>
  <c r="A71" i="11"/>
  <c r="A71" i="13"/>
  <c r="A71" i="12"/>
  <c r="B76" i="4"/>
  <c r="B78" i="5"/>
  <c r="B78" i="11"/>
  <c r="A80" i="9"/>
  <c r="A80" i="12"/>
  <c r="A80" i="11"/>
  <c r="A80" i="13"/>
  <c r="B86" i="4"/>
  <c r="B87" i="4"/>
  <c r="B94" i="5"/>
  <c r="B94" i="11"/>
  <c r="A95" i="9"/>
  <c r="A95" i="11"/>
  <c r="A95" i="13"/>
  <c r="A95" i="12"/>
  <c r="A97" i="9"/>
  <c r="A97" i="13"/>
  <c r="A97" i="12"/>
  <c r="A97" i="11"/>
  <c r="B99" i="9"/>
  <c r="E99" i="5"/>
  <c r="E99" i="11"/>
  <c r="F99" i="4"/>
  <c r="E100" i="5"/>
  <c r="E100" i="11"/>
  <c r="H100" i="5"/>
  <c r="H100" i="11"/>
  <c r="B108" i="5"/>
  <c r="B108" i="11"/>
  <c r="B109" i="4"/>
  <c r="B111" i="5"/>
  <c r="B111" i="11"/>
  <c r="B115" i="4"/>
  <c r="B116" i="5"/>
  <c r="B116" i="11"/>
  <c r="A117" i="9"/>
  <c r="A117" i="11"/>
  <c r="A117" i="12"/>
  <c r="A117" i="13"/>
  <c r="B118" i="4"/>
  <c r="B120" i="5"/>
  <c r="B120" i="11"/>
  <c r="B126" i="5"/>
  <c r="B126" i="11"/>
  <c r="B127" i="5"/>
  <c r="B127" i="11"/>
  <c r="B128" i="4"/>
  <c r="A129" i="9"/>
  <c r="A129" i="11"/>
  <c r="A129" i="13"/>
  <c r="A129" i="12"/>
  <c r="A130" i="9"/>
  <c r="A130" i="12"/>
  <c r="A130" i="13"/>
  <c r="A130" i="11"/>
  <c r="H132" i="4"/>
  <c r="B133" i="9"/>
  <c r="B133" i="18" s="1"/>
  <c r="B133" i="6" s="1"/>
  <c r="A135" i="9"/>
  <c r="A135" i="13"/>
  <c r="A135" i="12"/>
  <c r="A135" i="11"/>
  <c r="B142" i="4"/>
  <c r="A144" i="9"/>
  <c r="A144" i="12"/>
  <c r="A144" i="11"/>
  <c r="A144" i="13"/>
  <c r="B150" i="4"/>
  <c r="B151" i="5"/>
  <c r="B151" i="11"/>
  <c r="A152" i="9"/>
  <c r="A152" i="12"/>
  <c r="A152" i="11"/>
  <c r="A152" i="13"/>
  <c r="E188" i="11"/>
  <c r="E177" i="11" s="1"/>
  <c r="G188" i="11"/>
  <c r="G177" i="11" s="1"/>
  <c r="D188" i="11"/>
  <c r="D177" i="11" s="1"/>
  <c r="H188" i="11"/>
  <c r="H177" i="11" s="1"/>
  <c r="I177" i="11" s="1"/>
  <c r="F188" i="11"/>
  <c r="F177" i="11" s="1"/>
  <c r="C188" i="11"/>
  <c r="C177" i="11" s="1"/>
  <c r="B166" i="9"/>
  <c r="B163" i="9"/>
  <c r="B164" i="9"/>
  <c r="E165" i="9"/>
  <c r="F165" i="9"/>
  <c r="A88" i="9"/>
  <c r="A77" i="9"/>
  <c r="A154" i="9"/>
  <c r="A143" i="9"/>
  <c r="A132" i="9"/>
  <c r="A79" i="9"/>
  <c r="A68" i="9"/>
  <c r="A46" i="9"/>
  <c r="A35" i="9"/>
  <c r="A189" i="9" s="1"/>
  <c r="A121" i="9"/>
  <c r="A110" i="9"/>
  <c r="B161" i="9"/>
  <c r="B167" i="9"/>
  <c r="A112" i="9"/>
  <c r="A101" i="9"/>
  <c r="A156" i="9"/>
  <c r="A145" i="9"/>
  <c r="A134" i="9"/>
  <c r="A123" i="9"/>
  <c r="B162" i="9"/>
  <c r="A66" i="9"/>
  <c r="A22" i="9"/>
  <c r="A176" i="9" s="1"/>
  <c r="A11" i="9"/>
  <c r="A165" i="9" s="1"/>
  <c r="A44" i="9"/>
  <c r="B159" i="9"/>
  <c r="B160" i="9"/>
  <c r="C165" i="9"/>
  <c r="D165" i="9"/>
  <c r="C188" i="9"/>
  <c r="C177" i="9" s="1"/>
  <c r="D188" i="9"/>
  <c r="D177" i="9" s="1"/>
  <c r="E188" i="9"/>
  <c r="E177" i="9" s="1"/>
  <c r="G188" i="9"/>
  <c r="G177" i="9" s="1"/>
  <c r="F188" i="9"/>
  <c r="F177" i="9" s="1"/>
  <c r="H188" i="9"/>
  <c r="H177" i="9" s="1"/>
  <c r="I177" i="9" s="1"/>
  <c r="B9" i="3"/>
  <c r="H23" i="3"/>
  <c r="B41" i="3"/>
  <c r="A42" i="3"/>
  <c r="A42" i="6"/>
  <c r="A42" i="7"/>
  <c r="A84" i="3"/>
  <c r="A84" i="6"/>
  <c r="A84" i="7"/>
  <c r="B113" i="3"/>
  <c r="A114" i="6"/>
  <c r="A114" i="7"/>
  <c r="A140" i="3"/>
  <c r="A140" i="6"/>
  <c r="A140" i="7"/>
  <c r="B96" i="3"/>
  <c r="B13" i="3"/>
  <c r="D23" i="3"/>
  <c r="B29" i="3"/>
  <c r="A34" i="3"/>
  <c r="A34" i="6"/>
  <c r="A34" i="7"/>
  <c r="B43" i="3"/>
  <c r="B12" i="3"/>
  <c r="A14" i="4"/>
  <c r="A168" i="4" s="1"/>
  <c r="A14" i="6"/>
  <c r="A168" i="6" s="1"/>
  <c r="A14" i="7"/>
  <c r="A168" i="7" s="1"/>
  <c r="B19" i="3"/>
  <c r="A43" i="3"/>
  <c r="A43" i="6"/>
  <c r="A43" i="7"/>
  <c r="A45" i="6"/>
  <c r="A45" i="7"/>
  <c r="A53" i="6"/>
  <c r="A53" i="7"/>
  <c r="A60" i="3"/>
  <c r="A60" i="6"/>
  <c r="A60" i="7"/>
  <c r="A88" i="4"/>
  <c r="A77" i="6"/>
  <c r="A88" i="6"/>
  <c r="A88" i="7"/>
  <c r="A77" i="7"/>
  <c r="A85" i="6"/>
  <c r="A85" i="7"/>
  <c r="B91" i="3"/>
  <c r="A92" i="3"/>
  <c r="A92" i="6"/>
  <c r="A92" i="7"/>
  <c r="B98" i="3"/>
  <c r="A108" i="3"/>
  <c r="A108" i="6"/>
  <c r="A108" i="7"/>
  <c r="B111" i="3"/>
  <c r="A115" i="5"/>
  <c r="A115" i="6"/>
  <c r="A115" i="7"/>
  <c r="B130" i="3"/>
  <c r="A132" i="5"/>
  <c r="A143" i="6"/>
  <c r="A154" i="6"/>
  <c r="A132" i="6"/>
  <c r="A154" i="7"/>
  <c r="A143" i="7"/>
  <c r="A132" i="7"/>
  <c r="D132" i="3"/>
  <c r="E132" i="3"/>
  <c r="F133" i="3"/>
  <c r="A141" i="6"/>
  <c r="A141" i="7"/>
  <c r="A147" i="6"/>
  <c r="A147" i="7"/>
  <c r="B155" i="3"/>
  <c r="B157" i="3"/>
  <c r="A13" i="6"/>
  <c r="A167" i="6" s="1"/>
  <c r="A13" i="7"/>
  <c r="A167" i="7" s="1"/>
  <c r="A35" i="5"/>
  <c r="A79" i="6"/>
  <c r="A35" i="6"/>
  <c r="A46" i="6"/>
  <c r="A68" i="6"/>
  <c r="A46" i="7"/>
  <c r="A79" i="7"/>
  <c r="A35" i="7"/>
  <c r="A68" i="7"/>
  <c r="E99" i="3"/>
  <c r="G100" i="3"/>
  <c r="H133" i="3"/>
  <c r="B21" i="3"/>
  <c r="B23" i="3"/>
  <c r="A30" i="6"/>
  <c r="A30" i="7"/>
  <c r="B31" i="3"/>
  <c r="A32" i="4"/>
  <c r="A32" i="6"/>
  <c r="A32" i="7"/>
  <c r="B35" i="3"/>
  <c r="A38" i="6"/>
  <c r="A38" i="7"/>
  <c r="B42" i="3"/>
  <c r="B45" i="3"/>
  <c r="B47" i="3"/>
  <c r="B51" i="3"/>
  <c r="B54" i="3"/>
  <c r="A55" i="3"/>
  <c r="A55" i="6"/>
  <c r="A55" i="7"/>
  <c r="A56" i="5"/>
  <c r="A56" i="6"/>
  <c r="A56" i="7"/>
  <c r="A57" i="5"/>
  <c r="A57" i="6"/>
  <c r="A57" i="7"/>
  <c r="B69" i="3"/>
  <c r="B76" i="3"/>
  <c r="A81" i="4"/>
  <c r="A81" i="6"/>
  <c r="A81" i="7"/>
  <c r="B83" i="3"/>
  <c r="B86" i="3"/>
  <c r="A89" i="5"/>
  <c r="A89" i="6"/>
  <c r="A89" i="7"/>
  <c r="A91" i="6"/>
  <c r="A91" i="7"/>
  <c r="A96" i="5"/>
  <c r="A96" i="6"/>
  <c r="A96" i="7"/>
  <c r="F99" i="3"/>
  <c r="A102" i="6"/>
  <c r="A102" i="7"/>
  <c r="A103" i="3"/>
  <c r="A103" i="6"/>
  <c r="A103" i="7"/>
  <c r="B106" i="3"/>
  <c r="B109" i="3"/>
  <c r="B115" i="3"/>
  <c r="B118" i="3"/>
  <c r="B124" i="3"/>
  <c r="H132" i="3"/>
  <c r="A136" i="4"/>
  <c r="A136" i="6"/>
  <c r="A136" i="7"/>
  <c r="A138" i="6"/>
  <c r="A138" i="7"/>
  <c r="B142" i="3"/>
  <c r="A146" i="5"/>
  <c r="A146" i="6"/>
  <c r="A146" i="7"/>
  <c r="B150" i="3"/>
  <c r="A153" i="5"/>
  <c r="A153" i="6"/>
  <c r="A153" i="7"/>
  <c r="A155" i="6"/>
  <c r="A155" i="7"/>
  <c r="B18" i="3"/>
  <c r="G23" i="3"/>
  <c r="A26" i="6"/>
  <c r="A26" i="7"/>
  <c r="A36" i="3"/>
  <c r="A36" i="6"/>
  <c r="A36" i="7"/>
  <c r="B39" i="3"/>
  <c r="A51" i="4"/>
  <c r="A51" i="6"/>
  <c r="A51" i="7"/>
  <c r="B71" i="3"/>
  <c r="B82" i="3"/>
  <c r="B97" i="3"/>
  <c r="B120" i="3"/>
  <c r="B122" i="3"/>
  <c r="B87" i="3"/>
  <c r="B128" i="3"/>
  <c r="B146" i="3"/>
  <c r="A148" i="3"/>
  <c r="A148" i="6"/>
  <c r="A148" i="7"/>
  <c r="B7" i="3"/>
  <c r="A18" i="3"/>
  <c r="A18" i="6"/>
  <c r="A161" i="18" s="1"/>
  <c r="A18" i="7"/>
  <c r="A23" i="3"/>
  <c r="A23" i="6"/>
  <c r="A166" i="18" s="1"/>
  <c r="A23" i="7"/>
  <c r="A24" i="6"/>
  <c r="A167" i="18" s="1"/>
  <c r="A24" i="7"/>
  <c r="A25" i="5"/>
  <c r="A25" i="6"/>
  <c r="A168" i="18" s="1"/>
  <c r="A25" i="7"/>
  <c r="A70" i="6"/>
  <c r="A70" i="7"/>
  <c r="A82" i="5"/>
  <c r="A82" i="6"/>
  <c r="A82" i="7"/>
  <c r="A87" i="3"/>
  <c r="A87" i="6"/>
  <c r="A87" i="7"/>
  <c r="A104" i="4"/>
  <c r="A104" i="6"/>
  <c r="A104" i="7"/>
  <c r="B116" i="3"/>
  <c r="A119" i="3"/>
  <c r="A119" i="6"/>
  <c r="A119" i="7"/>
  <c r="B126" i="3"/>
  <c r="B127" i="3"/>
  <c r="A128" i="4"/>
  <c r="A128" i="6"/>
  <c r="A128" i="7"/>
  <c r="B139" i="3"/>
  <c r="A142" i="6"/>
  <c r="A142" i="7"/>
  <c r="A157" i="6"/>
  <c r="A157" i="7"/>
  <c r="A5" i="4"/>
  <c r="A159" i="4" s="1"/>
  <c r="A5" i="6"/>
  <c r="A159" i="6" s="1"/>
  <c r="A5" i="7"/>
  <c r="A159" i="7" s="1"/>
  <c r="A6" i="6"/>
  <c r="A160" i="6" s="1"/>
  <c r="A6" i="7"/>
  <c r="A160" i="7" s="1"/>
  <c r="B10" i="3"/>
  <c r="A21" i="6"/>
  <c r="A164" i="18" s="1"/>
  <c r="A21" i="7"/>
  <c r="F23" i="3"/>
  <c r="A28" i="3"/>
  <c r="A28" i="6"/>
  <c r="A28" i="7"/>
  <c r="B38" i="3"/>
  <c r="B49" i="3"/>
  <c r="B73" i="3"/>
  <c r="B74" i="3"/>
  <c r="A83" i="4"/>
  <c r="A83" i="6"/>
  <c r="A83" i="7"/>
  <c r="A99" i="4"/>
  <c r="A99" i="6"/>
  <c r="A99" i="7"/>
  <c r="C99" i="3"/>
  <c r="D99" i="3"/>
  <c r="D100" i="3"/>
  <c r="E100" i="3"/>
  <c r="A145" i="6"/>
  <c r="A101" i="6"/>
  <c r="A134" i="6"/>
  <c r="A156" i="6"/>
  <c r="A112" i="6"/>
  <c r="A123" i="6"/>
  <c r="A134" i="7"/>
  <c r="A112" i="7"/>
  <c r="A123" i="7"/>
  <c r="A156" i="7"/>
  <c r="A145" i="7"/>
  <c r="A101" i="7"/>
  <c r="B104" i="3"/>
  <c r="B105" i="3"/>
  <c r="A107" i="6"/>
  <c r="A107" i="7"/>
  <c r="A116" i="3"/>
  <c r="A116" i="6"/>
  <c r="A116" i="7"/>
  <c r="B129" i="3"/>
  <c r="A149" i="6"/>
  <c r="A149" i="7"/>
  <c r="A4" i="3"/>
  <c r="A4" i="6"/>
  <c r="A4" i="7"/>
  <c r="A27" i="3"/>
  <c r="A27" i="6"/>
  <c r="A27" i="7"/>
  <c r="A65" i="4"/>
  <c r="A65" i="6"/>
  <c r="A65" i="7"/>
  <c r="B72" i="3"/>
  <c r="B89" i="3"/>
  <c r="A131" i="5"/>
  <c r="A131" i="6"/>
  <c r="A131" i="7"/>
  <c r="F132" i="3"/>
  <c r="G133" i="3"/>
  <c r="A7" i="3"/>
  <c r="A161" i="3" s="1"/>
  <c r="A7" i="6"/>
  <c r="A161" i="6" s="1"/>
  <c r="A7" i="7"/>
  <c r="A161" i="7" s="1"/>
  <c r="B8" i="3"/>
  <c r="A9" i="4"/>
  <c r="A163" i="4" s="1"/>
  <c r="A9" i="6"/>
  <c r="A163" i="6" s="1"/>
  <c r="A9" i="7"/>
  <c r="A163" i="7" s="1"/>
  <c r="A10" i="4"/>
  <c r="A164" i="4" s="1"/>
  <c r="A10" i="6"/>
  <c r="A164" i="6" s="1"/>
  <c r="A10" i="7"/>
  <c r="A164" i="7" s="1"/>
  <c r="A12" i="3"/>
  <c r="A166" i="3" s="1"/>
  <c r="A12" i="6"/>
  <c r="A12" i="7"/>
  <c r="A166" i="7" s="1"/>
  <c r="B14" i="3"/>
  <c r="B16" i="3"/>
  <c r="A17" i="5"/>
  <c r="A17" i="6"/>
  <c r="A160" i="18" s="1"/>
  <c r="A17" i="7"/>
  <c r="B20" i="3"/>
  <c r="H22" i="3"/>
  <c r="C23" i="3"/>
  <c r="B28" i="3"/>
  <c r="B36" i="3"/>
  <c r="A39" i="3"/>
  <c r="A39" i="6"/>
  <c r="A39" i="7"/>
  <c r="A40" i="6"/>
  <c r="A40" i="7"/>
  <c r="A49" i="5"/>
  <c r="A49" i="6"/>
  <c r="A49" i="7"/>
  <c r="B52" i="3"/>
  <c r="A58" i="5"/>
  <c r="A58" i="6"/>
  <c r="A58" i="7"/>
  <c r="B60" i="3"/>
  <c r="B61" i="3"/>
  <c r="A63" i="3"/>
  <c r="A63" i="6"/>
  <c r="A63" i="7"/>
  <c r="A64" i="4"/>
  <c r="A64" i="6"/>
  <c r="A64" i="7"/>
  <c r="A78" i="6"/>
  <c r="A78" i="7"/>
  <c r="B80" i="3"/>
  <c r="A90" i="4"/>
  <c r="A90" i="6"/>
  <c r="A90" i="7"/>
  <c r="B93" i="3"/>
  <c r="A94" i="6"/>
  <c r="A94" i="7"/>
  <c r="B95" i="3"/>
  <c r="A98" i="4"/>
  <c r="A98" i="6"/>
  <c r="A98" i="7"/>
  <c r="B100" i="3"/>
  <c r="C100" i="3"/>
  <c r="A111" i="3"/>
  <c r="A111" i="6"/>
  <c r="A111" i="7"/>
  <c r="B117" i="3"/>
  <c r="A120" i="6"/>
  <c r="A120" i="7"/>
  <c r="A125" i="6"/>
  <c r="A125" i="7"/>
  <c r="A126" i="6"/>
  <c r="A126" i="7"/>
  <c r="A127" i="3"/>
  <c r="A127" i="6"/>
  <c r="A127" i="7"/>
  <c r="B131" i="3"/>
  <c r="G132" i="3"/>
  <c r="C133" i="3"/>
  <c r="D133" i="3"/>
  <c r="B144" i="3"/>
  <c r="A151" i="3"/>
  <c r="A151" i="6"/>
  <c r="A151" i="7"/>
  <c r="B152" i="3"/>
  <c r="B24" i="3"/>
  <c r="B25" i="3"/>
  <c r="B34" i="3"/>
  <c r="A52" i="5"/>
  <c r="A52" i="6"/>
  <c r="A52" i="7"/>
  <c r="B56" i="3"/>
  <c r="A59" i="3"/>
  <c r="A59" i="6"/>
  <c r="A59" i="7"/>
  <c r="B63" i="3"/>
  <c r="B65" i="3"/>
  <c r="A139" i="6"/>
  <c r="A139" i="7"/>
  <c r="A150" i="6"/>
  <c r="A150" i="7"/>
  <c r="B62" i="3"/>
  <c r="A31" i="3"/>
  <c r="A31" i="6"/>
  <c r="A31" i="7"/>
  <c r="A41" i="6"/>
  <c r="A41" i="7"/>
  <c r="A47" i="3"/>
  <c r="A47" i="6"/>
  <c r="A47" i="7"/>
  <c r="A50" i="3"/>
  <c r="A50" i="6"/>
  <c r="A50" i="7"/>
  <c r="A54" i="3"/>
  <c r="A54" i="6"/>
  <c r="A54" i="7"/>
  <c r="A72" i="5"/>
  <c r="A72" i="6"/>
  <c r="A72" i="7"/>
  <c r="A73" i="5"/>
  <c r="A73" i="6"/>
  <c r="A73" i="7"/>
  <c r="B78" i="3"/>
  <c r="B84" i="3"/>
  <c r="A86" i="6"/>
  <c r="A86" i="7"/>
  <c r="B94" i="3"/>
  <c r="H100" i="3"/>
  <c r="B107" i="3"/>
  <c r="B108" i="3"/>
  <c r="A109" i="6"/>
  <c r="A109" i="7"/>
  <c r="A121" i="3"/>
  <c r="A121" i="6"/>
  <c r="A110" i="6"/>
  <c r="A110" i="7"/>
  <c r="A121" i="7"/>
  <c r="A118" i="6"/>
  <c r="A118" i="7"/>
  <c r="A122" i="5"/>
  <c r="A122" i="6"/>
  <c r="A122" i="7"/>
  <c r="B132" i="3"/>
  <c r="C132" i="3"/>
  <c r="A137" i="6"/>
  <c r="A137" i="7"/>
  <c r="B148" i="3"/>
  <c r="B151" i="3"/>
  <c r="B17" i="3"/>
  <c r="A66" i="5"/>
  <c r="A11" i="6"/>
  <c r="A165" i="6" s="1"/>
  <c r="A66" i="6"/>
  <c r="A44" i="6"/>
  <c r="A22" i="6"/>
  <c r="A165" i="18" s="1"/>
  <c r="A66" i="7"/>
  <c r="A22" i="7"/>
  <c r="A11" i="7"/>
  <c r="A165" i="7" s="1"/>
  <c r="A44" i="7"/>
  <c r="E22" i="3"/>
  <c r="F22" i="3"/>
  <c r="G22" i="3"/>
  <c r="A29" i="6"/>
  <c r="A29" i="7"/>
  <c r="B32" i="3"/>
  <c r="B40" i="3"/>
  <c r="B50" i="3"/>
  <c r="B57" i="3"/>
  <c r="B58" i="3"/>
  <c r="B64" i="3"/>
  <c r="A67" i="6"/>
  <c r="A67" i="7"/>
  <c r="A69" i="6"/>
  <c r="A69" i="7"/>
  <c r="A76" i="5"/>
  <c r="A76" i="6"/>
  <c r="A76" i="7"/>
  <c r="B90" i="3"/>
  <c r="A93" i="6"/>
  <c r="A93" i="7"/>
  <c r="A100" i="3"/>
  <c r="A100" i="6"/>
  <c r="A100" i="7"/>
  <c r="F100" i="3"/>
  <c r="A105" i="6"/>
  <c r="A105" i="7"/>
  <c r="A106" i="6"/>
  <c r="A106" i="7"/>
  <c r="A113" i="4"/>
  <c r="A113" i="6"/>
  <c r="A113" i="7"/>
  <c r="A133" i="6"/>
  <c r="A133" i="7"/>
  <c r="E133" i="3"/>
  <c r="B135" i="3"/>
  <c r="B137" i="3"/>
  <c r="B138" i="3"/>
  <c r="A20" i="3"/>
  <c r="A20" i="6"/>
  <c r="A163" i="18" s="1"/>
  <c r="A20" i="7"/>
  <c r="A74" i="4"/>
  <c r="A74" i="6"/>
  <c r="A74" i="7"/>
  <c r="A75" i="4"/>
  <c r="A75" i="6"/>
  <c r="A75" i="7"/>
  <c r="B119" i="3"/>
  <c r="A124" i="3"/>
  <c r="A124" i="6"/>
  <c r="A124" i="7"/>
  <c r="B153" i="3"/>
  <c r="B5" i="3"/>
  <c r="B6" i="3"/>
  <c r="A8" i="6"/>
  <c r="A162" i="6" s="1"/>
  <c r="A8" i="7"/>
  <c r="A162" i="7" s="1"/>
  <c r="A15" i="6"/>
  <c r="A15" i="7"/>
  <c r="A16" i="6"/>
  <c r="A159" i="18" s="1"/>
  <c r="A16" i="7"/>
  <c r="A19" i="4"/>
  <c r="A19" i="6"/>
  <c r="A162" i="18" s="1"/>
  <c r="A19" i="7"/>
  <c r="B22" i="3"/>
  <c r="C22" i="3"/>
  <c r="D22" i="3"/>
  <c r="E23" i="3"/>
  <c r="B27" i="3"/>
  <c r="B30" i="3"/>
  <c r="A33" i="6"/>
  <c r="A33" i="7"/>
  <c r="A37" i="6"/>
  <c r="A37" i="7"/>
  <c r="B53" i="3"/>
  <c r="A61" i="6"/>
  <c r="A61" i="7"/>
  <c r="A62" i="6"/>
  <c r="A62" i="7"/>
  <c r="B67" i="3"/>
  <c r="A71" i="5"/>
  <c r="A71" i="6"/>
  <c r="A71" i="7"/>
  <c r="B75" i="3"/>
  <c r="A80" i="5"/>
  <c r="A80" i="6"/>
  <c r="A80" i="7"/>
  <c r="B85" i="3"/>
  <c r="A95" i="3"/>
  <c r="A95" i="6"/>
  <c r="A95" i="7"/>
  <c r="A97" i="6"/>
  <c r="A97" i="7"/>
  <c r="B99" i="3"/>
  <c r="G99" i="3"/>
  <c r="H99" i="3"/>
  <c r="B101" i="3"/>
  <c r="B102" i="3"/>
  <c r="A117" i="6"/>
  <c r="A117" i="7"/>
  <c r="A129" i="4"/>
  <c r="A129" i="6"/>
  <c r="A129" i="7"/>
  <c r="A130" i="5"/>
  <c r="A130" i="6"/>
  <c r="A130" i="7"/>
  <c r="B133" i="3"/>
  <c r="A135" i="3"/>
  <c r="A135" i="6"/>
  <c r="A135" i="7"/>
  <c r="B140" i="3"/>
  <c r="B141" i="3"/>
  <c r="A144" i="4"/>
  <c r="A144" i="6"/>
  <c r="A144" i="7"/>
  <c r="B149" i="3"/>
  <c r="A152" i="4"/>
  <c r="A152" i="6"/>
  <c r="A152" i="7"/>
  <c r="A103" i="5"/>
  <c r="A103" i="4"/>
  <c r="A15" i="3"/>
  <c r="A15" i="4"/>
  <c r="A26" i="3"/>
  <c r="A26" i="4"/>
  <c r="A26" i="5"/>
  <c r="A6" i="3"/>
  <c r="A160" i="3" s="1"/>
  <c r="A6" i="5"/>
  <c r="A160" i="5" s="1"/>
  <c r="A13" i="3"/>
  <c r="A167" i="3" s="1"/>
  <c r="A13" i="5"/>
  <c r="A167" i="5" s="1"/>
  <c r="A13" i="4"/>
  <c r="A167" i="4" s="1"/>
  <c r="A21" i="3"/>
  <c r="A21" i="5"/>
  <c r="A21" i="4"/>
  <c r="A24" i="3"/>
  <c r="A24" i="5"/>
  <c r="A29" i="3"/>
  <c r="A29" i="5"/>
  <c r="A29" i="4"/>
  <c r="A33" i="3"/>
  <c r="A33" i="5"/>
  <c r="A40" i="3"/>
  <c r="A40" i="5"/>
  <c r="A45" i="3"/>
  <c r="A45" i="5"/>
  <c r="A45" i="4"/>
  <c r="A53" i="5"/>
  <c r="A53" i="4"/>
  <c r="A61" i="3"/>
  <c r="A61" i="5"/>
  <c r="A61" i="4"/>
  <c r="A62" i="3"/>
  <c r="A62" i="5"/>
  <c r="A62" i="4"/>
  <c r="A67" i="3"/>
  <c r="A67" i="4"/>
  <c r="A78" i="5"/>
  <c r="A78" i="4"/>
  <c r="A85" i="3"/>
  <c r="A85" i="5"/>
  <c r="A85" i="4"/>
  <c r="A94" i="5"/>
  <c r="A94" i="4"/>
  <c r="A97" i="3"/>
  <c r="A97" i="5"/>
  <c r="A123" i="3"/>
  <c r="A101" i="5"/>
  <c r="A134" i="5"/>
  <c r="A123" i="4"/>
  <c r="A112" i="5"/>
  <c r="A101" i="4"/>
  <c r="A145" i="5"/>
  <c r="A134" i="4"/>
  <c r="A107" i="3"/>
  <c r="A107" i="4"/>
  <c r="A109" i="3"/>
  <c r="A109" i="5"/>
  <c r="A109" i="4"/>
  <c r="A120" i="3"/>
  <c r="A120" i="5"/>
  <c r="A133" i="3"/>
  <c r="A133" i="5"/>
  <c r="A133" i="4"/>
  <c r="A138" i="3"/>
  <c r="A138" i="4"/>
  <c r="A149" i="5"/>
  <c r="A149" i="4"/>
  <c r="A155" i="3"/>
  <c r="A155" i="4"/>
  <c r="A37" i="3"/>
  <c r="A37" i="5"/>
  <c r="A37" i="4"/>
  <c r="A70" i="3"/>
  <c r="A70" i="5"/>
  <c r="A70" i="4"/>
  <c r="A114" i="3"/>
  <c r="A114" i="4"/>
  <c r="A147" i="3"/>
  <c r="A147" i="4"/>
  <c r="A10" i="3"/>
  <c r="A164" i="3" s="1"/>
  <c r="A58" i="4"/>
  <c r="A42" i="5"/>
  <c r="A90" i="5"/>
  <c r="A154" i="5"/>
  <c r="A75" i="3"/>
  <c r="A98" i="3"/>
  <c r="A6" i="4"/>
  <c r="A160" i="4" s="1"/>
  <c r="A35" i="4"/>
  <c r="A151" i="4"/>
  <c r="A7" i="5"/>
  <c r="A161" i="5" s="1"/>
  <c r="A39" i="5"/>
  <c r="A87" i="5"/>
  <c r="A119" i="5"/>
  <c r="A151" i="5"/>
  <c r="A49" i="3"/>
  <c r="A52" i="3"/>
  <c r="A56" i="3"/>
  <c r="A34" i="4"/>
  <c r="A84" i="4"/>
  <c r="A36" i="5"/>
  <c r="A84" i="5"/>
  <c r="A71" i="3"/>
  <c r="A78" i="3"/>
  <c r="A90" i="3"/>
  <c r="A134" i="3"/>
  <c r="A48" i="3"/>
  <c r="A57" i="3"/>
  <c r="A58" i="3"/>
  <c r="A4" i="4"/>
  <c r="A12" i="4"/>
  <c r="A166" i="4" s="1"/>
  <c r="A23" i="4"/>
  <c r="A33" i="4"/>
  <c r="A43" i="4"/>
  <c r="A55" i="4"/>
  <c r="A97" i="4"/>
  <c r="A145" i="4"/>
  <c r="E3" i="5"/>
  <c r="A19" i="5"/>
  <c r="A51" i="5"/>
  <c r="A67" i="5"/>
  <c r="A83" i="5"/>
  <c r="A99" i="5"/>
  <c r="A147" i="5"/>
  <c r="A77" i="3"/>
  <c r="A17" i="3"/>
  <c r="A96" i="3"/>
  <c r="A101" i="3"/>
  <c r="A149" i="3"/>
  <c r="A153" i="3"/>
  <c r="A11" i="4"/>
  <c r="A165" i="4" s="1"/>
  <c r="A20" i="4"/>
  <c r="A42" i="4"/>
  <c r="A52" i="4"/>
  <c r="A80" i="4"/>
  <c r="A96" i="4"/>
  <c r="A112" i="4"/>
  <c r="A18" i="5"/>
  <c r="A34" i="5"/>
  <c r="A50" i="5"/>
  <c r="A98" i="5"/>
  <c r="A114" i="5"/>
  <c r="A44" i="3"/>
  <c r="A66" i="4"/>
  <c r="A22" i="5"/>
  <c r="A22" i="4"/>
  <c r="A79" i="3"/>
  <c r="A46" i="5"/>
  <c r="A46" i="4"/>
  <c r="A41" i="3"/>
  <c r="A41" i="5"/>
  <c r="A65" i="3"/>
  <c r="A65" i="5"/>
  <c r="A93" i="5"/>
  <c r="A93" i="4"/>
  <c r="A105" i="3"/>
  <c r="A105" i="5"/>
  <c r="A113" i="3"/>
  <c r="A113" i="5"/>
  <c r="A117" i="3"/>
  <c r="A117" i="5"/>
  <c r="A117" i="4"/>
  <c r="A118" i="3"/>
  <c r="A118" i="5"/>
  <c r="A118" i="4"/>
  <c r="A128" i="3"/>
  <c r="A128" i="5"/>
  <c r="A129" i="3"/>
  <c r="A129" i="5"/>
  <c r="A143" i="3"/>
  <c r="A154" i="4"/>
  <c r="A139" i="3"/>
  <c r="A139" i="4"/>
  <c r="A141" i="3"/>
  <c r="A141" i="5"/>
  <c r="A141" i="4"/>
  <c r="A144" i="3"/>
  <c r="A144" i="5"/>
  <c r="A146" i="3"/>
  <c r="A146" i="4"/>
  <c r="A150" i="3"/>
  <c r="A150" i="5"/>
  <c r="A150" i="4"/>
  <c r="A152" i="3"/>
  <c r="A152" i="5"/>
  <c r="A81" i="3"/>
  <c r="A81" i="5"/>
  <c r="A136" i="3"/>
  <c r="A136" i="5"/>
  <c r="A76" i="3"/>
  <c r="A25" i="3"/>
  <c r="A7" i="4"/>
  <c r="A161" i="4" s="1"/>
  <c r="A10" i="5"/>
  <c r="A164" i="5" s="1"/>
  <c r="A74" i="5"/>
  <c r="A93" i="3"/>
  <c r="A47" i="4"/>
  <c r="A71" i="4"/>
  <c r="A119" i="4"/>
  <c r="A55" i="5"/>
  <c r="A72" i="3"/>
  <c r="A19" i="3"/>
  <c r="A51" i="3"/>
  <c r="A44" i="4"/>
  <c r="A68" i="4"/>
  <c r="A116" i="4"/>
  <c r="A148" i="4"/>
  <c r="A4" i="5"/>
  <c r="A100" i="5"/>
  <c r="A148" i="5"/>
  <c r="A74" i="3"/>
  <c r="A31" i="4"/>
  <c r="A79" i="4"/>
  <c r="A111" i="4"/>
  <c r="A143" i="4"/>
  <c r="A31" i="5"/>
  <c r="A63" i="5"/>
  <c r="A111" i="5"/>
  <c r="A143" i="5"/>
  <c r="A73" i="3"/>
  <c r="A83" i="3"/>
  <c r="A89" i="3"/>
  <c r="A94" i="3"/>
  <c r="A99" i="3"/>
  <c r="A18" i="4"/>
  <c r="A28" i="4"/>
  <c r="A40" i="4"/>
  <c r="A50" i="4"/>
  <c r="A60" i="4"/>
  <c r="A76" i="4"/>
  <c r="A92" i="4"/>
  <c r="A108" i="4"/>
  <c r="A124" i="4"/>
  <c r="A140" i="4"/>
  <c r="A156" i="4"/>
  <c r="A12" i="5"/>
  <c r="A166" i="5" s="1"/>
  <c r="A28" i="5"/>
  <c r="A44" i="5"/>
  <c r="A60" i="5"/>
  <c r="A92" i="5"/>
  <c r="A108" i="5"/>
  <c r="A124" i="5"/>
  <c r="A140" i="5"/>
  <c r="A156" i="5"/>
  <c r="A5" i="3"/>
  <c r="A159" i="3" s="1"/>
  <c r="A5" i="5"/>
  <c r="A159" i="5" s="1"/>
  <c r="A8" i="3"/>
  <c r="A162" i="3" s="1"/>
  <c r="A8" i="5"/>
  <c r="A162" i="5" s="1"/>
  <c r="A9" i="3"/>
  <c r="A163" i="3" s="1"/>
  <c r="A9" i="5"/>
  <c r="A163" i="5" s="1"/>
  <c r="A14" i="3"/>
  <c r="A168" i="3" s="1"/>
  <c r="A14" i="5"/>
  <c r="A168" i="5" s="1"/>
  <c r="A16" i="3"/>
  <c r="A16" i="5"/>
  <c r="A30" i="3"/>
  <c r="A30" i="5"/>
  <c r="A30" i="4"/>
  <c r="A32" i="3"/>
  <c r="A32" i="5"/>
  <c r="A38" i="3"/>
  <c r="A38" i="5"/>
  <c r="A38" i="4"/>
  <c r="A54" i="5"/>
  <c r="A54" i="4"/>
  <c r="A64" i="3"/>
  <c r="A64" i="5"/>
  <c r="A69" i="3"/>
  <c r="A69" i="5"/>
  <c r="A69" i="4"/>
  <c r="A88" i="3"/>
  <c r="A77" i="5"/>
  <c r="A88" i="5"/>
  <c r="A77" i="4"/>
  <c r="A82" i="3"/>
  <c r="A82" i="4"/>
  <c r="A86" i="5"/>
  <c r="A86" i="4"/>
  <c r="A91" i="3"/>
  <c r="A91" i="4"/>
  <c r="A102" i="5"/>
  <c r="A102" i="4"/>
  <c r="A104" i="3"/>
  <c r="A104" i="5"/>
  <c r="A106" i="3"/>
  <c r="A106" i="4"/>
  <c r="A110" i="3"/>
  <c r="A110" i="5"/>
  <c r="A121" i="5"/>
  <c r="A110" i="4"/>
  <c r="A115" i="3"/>
  <c r="A115" i="4"/>
  <c r="A122" i="3"/>
  <c r="A122" i="4"/>
  <c r="A126" i="3"/>
  <c r="A126" i="5"/>
  <c r="A126" i="4"/>
  <c r="A130" i="3"/>
  <c r="A130" i="4"/>
  <c r="A131" i="3"/>
  <c r="A131" i="4"/>
  <c r="A137" i="3"/>
  <c r="A137" i="5"/>
  <c r="A142" i="3"/>
  <c r="A142" i="5"/>
  <c r="A142" i="4"/>
  <c r="A157" i="5"/>
  <c r="A157" i="4"/>
  <c r="A125" i="3"/>
  <c r="A125" i="5"/>
  <c r="A125" i="4"/>
  <c r="A157" i="3"/>
  <c r="A16" i="4"/>
  <c r="A36" i="4"/>
  <c r="A72" i="4"/>
  <c r="A120" i="4"/>
  <c r="A106" i="5"/>
  <c r="A138" i="5"/>
  <c r="A86" i="3"/>
  <c r="A102" i="3"/>
  <c r="A156" i="3"/>
  <c r="A25" i="4"/>
  <c r="A57" i="4"/>
  <c r="A87" i="4"/>
  <c r="A135" i="4"/>
  <c r="A23" i="5"/>
  <c r="A135" i="5"/>
  <c r="A145" i="3"/>
  <c r="A53" i="3"/>
  <c r="A24" i="4"/>
  <c r="A56" i="4"/>
  <c r="A100" i="4"/>
  <c r="A132" i="4"/>
  <c r="A20" i="5"/>
  <c r="A68" i="5"/>
  <c r="A116" i="5"/>
  <c r="A22" i="3"/>
  <c r="A41" i="4"/>
  <c r="A63" i="4"/>
  <c r="A95" i="4"/>
  <c r="A127" i="4"/>
  <c r="A15" i="5"/>
  <c r="A47" i="5"/>
  <c r="A79" i="5"/>
  <c r="A95" i="5"/>
  <c r="A127" i="5"/>
  <c r="A80" i="3"/>
  <c r="A8" i="4"/>
  <c r="A162" i="4" s="1"/>
  <c r="A17" i="4"/>
  <c r="A27" i="4"/>
  <c r="A39" i="4"/>
  <c r="A49" i="4"/>
  <c r="A59" i="4"/>
  <c r="A73" i="4"/>
  <c r="A89" i="4"/>
  <c r="A105" i="4"/>
  <c r="A121" i="4"/>
  <c r="A137" i="4"/>
  <c r="A153" i="4"/>
  <c r="A11" i="5"/>
  <c r="A165" i="5" s="1"/>
  <c r="A27" i="5"/>
  <c r="A43" i="5"/>
  <c r="A59" i="5"/>
  <c r="A75" i="5"/>
  <c r="A91" i="5"/>
  <c r="A107" i="5"/>
  <c r="A123" i="5"/>
  <c r="A139" i="5"/>
  <c r="A155" i="5"/>
  <c r="D3" i="5"/>
  <c r="D3" i="4"/>
  <c r="E3" i="4"/>
  <c r="F3" i="4"/>
  <c r="H3" i="4"/>
  <c r="H3" i="5"/>
  <c r="G3" i="4"/>
  <c r="G3" i="5"/>
  <c r="F3" i="5"/>
  <c r="C3" i="4"/>
  <c r="C3" i="5"/>
  <c r="B3" i="5"/>
  <c r="B3" i="4"/>
  <c r="H167" i="5"/>
  <c r="G167" i="5"/>
  <c r="H167" i="4"/>
  <c r="H189" i="10" s="1"/>
  <c r="H178" i="10" s="1"/>
  <c r="I178" i="10" s="1"/>
  <c r="D167" i="5"/>
  <c r="D168" i="5"/>
  <c r="D159" i="5"/>
  <c r="D181" i="11" s="1"/>
  <c r="D170" i="11" s="1"/>
  <c r="D162" i="5"/>
  <c r="D184" i="11" s="1"/>
  <c r="D173" i="11" s="1"/>
  <c r="H159" i="5"/>
  <c r="H163" i="5"/>
  <c r="F168" i="5"/>
  <c r="H168" i="5"/>
  <c r="C159" i="5"/>
  <c r="C181" i="11" s="1"/>
  <c r="C170" i="11" s="1"/>
  <c r="C160" i="5"/>
  <c r="C182" i="11" s="1"/>
  <c r="C171" i="11" s="1"/>
  <c r="C161" i="5"/>
  <c r="C183" i="11" s="1"/>
  <c r="C172" i="11" s="1"/>
  <c r="C162" i="5"/>
  <c r="C184" i="11" s="1"/>
  <c r="C173" i="11" s="1"/>
  <c r="C163" i="5"/>
  <c r="C164" i="5"/>
  <c r="G159" i="5"/>
  <c r="G181" i="11" s="1"/>
  <c r="G170" i="11" s="1"/>
  <c r="G160" i="5"/>
  <c r="G182" i="11" s="1"/>
  <c r="G171" i="11" s="1"/>
  <c r="G161" i="5"/>
  <c r="G183" i="11" s="1"/>
  <c r="G172" i="11" s="1"/>
  <c r="G162" i="5"/>
  <c r="G184" i="11" s="1"/>
  <c r="G173" i="11" s="1"/>
  <c r="G163" i="5"/>
  <c r="G164" i="5"/>
  <c r="E168" i="5"/>
  <c r="G168" i="5"/>
  <c r="D160" i="5"/>
  <c r="D182" i="11" s="1"/>
  <c r="D171" i="11" s="1"/>
  <c r="D163" i="5"/>
  <c r="C167" i="5"/>
  <c r="H160" i="5"/>
  <c r="H162" i="5"/>
  <c r="F167" i="5"/>
  <c r="F159" i="5"/>
  <c r="F181" i="11" s="1"/>
  <c r="F170" i="11" s="1"/>
  <c r="F160" i="5"/>
  <c r="F182" i="11" s="1"/>
  <c r="F171" i="11" s="1"/>
  <c r="F161" i="5"/>
  <c r="F183" i="11" s="1"/>
  <c r="F172" i="11" s="1"/>
  <c r="F162" i="5"/>
  <c r="F184" i="11" s="1"/>
  <c r="F173" i="11" s="1"/>
  <c r="F163" i="5"/>
  <c r="F164" i="5"/>
  <c r="D161" i="5"/>
  <c r="D183" i="11" s="1"/>
  <c r="D172" i="11" s="1"/>
  <c r="D164" i="5"/>
  <c r="C168" i="5"/>
  <c r="H161" i="5"/>
  <c r="H164" i="5"/>
  <c r="E167" i="5"/>
  <c r="E159" i="5"/>
  <c r="E181" i="11" s="1"/>
  <c r="E170" i="11" s="1"/>
  <c r="E160" i="5"/>
  <c r="E182" i="11" s="1"/>
  <c r="E171" i="11" s="1"/>
  <c r="E161" i="5"/>
  <c r="E183" i="11" s="1"/>
  <c r="E172" i="11" s="1"/>
  <c r="E162" i="5"/>
  <c r="E184" i="11" s="1"/>
  <c r="E173" i="11" s="1"/>
  <c r="E163" i="5"/>
  <c r="E164" i="5"/>
  <c r="G167" i="4"/>
  <c r="G189" i="10" s="1"/>
  <c r="G178" i="10" s="1"/>
  <c r="D159" i="4"/>
  <c r="D181" i="10" s="1"/>
  <c r="D170" i="10" s="1"/>
  <c r="D160" i="4"/>
  <c r="D182" i="10" s="1"/>
  <c r="D171" i="10" s="1"/>
  <c r="D161" i="4"/>
  <c r="D183" i="10" s="1"/>
  <c r="D172" i="10" s="1"/>
  <c r="D162" i="4"/>
  <c r="D184" i="10" s="1"/>
  <c r="D173" i="10" s="1"/>
  <c r="D163" i="4"/>
  <c r="D185" i="10" s="1"/>
  <c r="D174" i="10" s="1"/>
  <c r="D164" i="4"/>
  <c r="D186" i="10" s="1"/>
  <c r="D175" i="10" s="1"/>
  <c r="C167" i="4"/>
  <c r="C189" i="10" s="1"/>
  <c r="C178" i="10" s="1"/>
  <c r="C168" i="4"/>
  <c r="C190" i="10" s="1"/>
  <c r="C179" i="10" s="1"/>
  <c r="H159" i="4"/>
  <c r="H181" i="10" s="1"/>
  <c r="H170" i="10" s="1"/>
  <c r="H160" i="4"/>
  <c r="H182" i="10" s="1"/>
  <c r="H171" i="10" s="1"/>
  <c r="I171" i="10" s="1"/>
  <c r="H161" i="4"/>
  <c r="H183" i="10" s="1"/>
  <c r="H172" i="10" s="1"/>
  <c r="I172" i="10" s="1"/>
  <c r="H162" i="4"/>
  <c r="H184" i="10" s="1"/>
  <c r="H173" i="10" s="1"/>
  <c r="I173" i="10" s="1"/>
  <c r="H163" i="4"/>
  <c r="H185" i="10" s="1"/>
  <c r="H174" i="10" s="1"/>
  <c r="I174" i="10" s="1"/>
  <c r="H164" i="4"/>
  <c r="H186" i="10" s="1"/>
  <c r="H175" i="10" s="1"/>
  <c r="I175" i="10" s="1"/>
  <c r="F168" i="4"/>
  <c r="F190" i="10" s="1"/>
  <c r="F179" i="10" s="1"/>
  <c r="E167" i="4"/>
  <c r="E189" i="10" s="1"/>
  <c r="E178" i="10" s="1"/>
  <c r="H168" i="4"/>
  <c r="H190" i="10" s="1"/>
  <c r="H179" i="10" s="1"/>
  <c r="I179" i="10" s="1"/>
  <c r="F167" i="4"/>
  <c r="F189" i="10" s="1"/>
  <c r="F178" i="10" s="1"/>
  <c r="D167" i="4"/>
  <c r="D189" i="10" s="1"/>
  <c r="D178" i="10" s="1"/>
  <c r="C159" i="4"/>
  <c r="C181" i="10" s="1"/>
  <c r="C170" i="10" s="1"/>
  <c r="C160" i="4"/>
  <c r="C182" i="10" s="1"/>
  <c r="C171" i="10" s="1"/>
  <c r="C161" i="4"/>
  <c r="C183" i="10" s="1"/>
  <c r="C172" i="10" s="1"/>
  <c r="C162" i="4"/>
  <c r="C184" i="10" s="1"/>
  <c r="C173" i="10" s="1"/>
  <c r="C163" i="4"/>
  <c r="C185" i="10" s="1"/>
  <c r="C174" i="10" s="1"/>
  <c r="C164" i="4"/>
  <c r="C186" i="10" s="1"/>
  <c r="C175" i="10" s="1"/>
  <c r="G159" i="4"/>
  <c r="G181" i="10" s="1"/>
  <c r="G170" i="10" s="1"/>
  <c r="G160" i="4"/>
  <c r="G182" i="10" s="1"/>
  <c r="G171" i="10" s="1"/>
  <c r="G161" i="4"/>
  <c r="G183" i="10" s="1"/>
  <c r="G172" i="10" s="1"/>
  <c r="G162" i="4"/>
  <c r="G184" i="10" s="1"/>
  <c r="G173" i="10" s="1"/>
  <c r="G163" i="4"/>
  <c r="G185" i="10" s="1"/>
  <c r="G174" i="10" s="1"/>
  <c r="G164" i="4"/>
  <c r="G186" i="10" s="1"/>
  <c r="G175" i="10" s="1"/>
  <c r="E168" i="4"/>
  <c r="E190" i="10" s="1"/>
  <c r="E179" i="10" s="1"/>
  <c r="G168" i="4"/>
  <c r="G190" i="10" s="1"/>
  <c r="G179" i="10" s="1"/>
  <c r="D168" i="4"/>
  <c r="D190" i="10" s="1"/>
  <c r="D179" i="10" s="1"/>
  <c r="F159" i="4"/>
  <c r="F181" i="10" s="1"/>
  <c r="F170" i="10" s="1"/>
  <c r="F160" i="4"/>
  <c r="F182" i="10" s="1"/>
  <c r="F171" i="10" s="1"/>
  <c r="F161" i="4"/>
  <c r="F183" i="10" s="1"/>
  <c r="F172" i="10" s="1"/>
  <c r="F162" i="4"/>
  <c r="F184" i="10" s="1"/>
  <c r="F173" i="10" s="1"/>
  <c r="F163" i="4"/>
  <c r="F185" i="10" s="1"/>
  <c r="F174" i="10" s="1"/>
  <c r="F164" i="4"/>
  <c r="F186" i="10" s="1"/>
  <c r="F175" i="10" s="1"/>
  <c r="G161" i="3"/>
  <c r="G183" i="9" s="1"/>
  <c r="G172" i="9" s="1"/>
  <c r="H163" i="3"/>
  <c r="H164" i="3"/>
  <c r="G160" i="3"/>
  <c r="G182" i="9" s="1"/>
  <c r="G171" i="9" s="1"/>
  <c r="E159" i="4"/>
  <c r="E181" i="10" s="1"/>
  <c r="E170" i="10" s="1"/>
  <c r="E160" i="4"/>
  <c r="E182" i="10" s="1"/>
  <c r="E171" i="10" s="1"/>
  <c r="E161" i="4"/>
  <c r="E183" i="10" s="1"/>
  <c r="E172" i="10" s="1"/>
  <c r="E162" i="4"/>
  <c r="E184" i="10" s="1"/>
  <c r="E173" i="10" s="1"/>
  <c r="E163" i="4"/>
  <c r="E185" i="10" s="1"/>
  <c r="E174" i="10" s="1"/>
  <c r="E164" i="4"/>
  <c r="E186" i="10" s="1"/>
  <c r="E175" i="10" s="1"/>
  <c r="G159" i="3"/>
  <c r="G181" i="9" s="1"/>
  <c r="G170" i="9" s="1"/>
  <c r="H168" i="3"/>
  <c r="G168" i="3"/>
  <c r="G167" i="3"/>
  <c r="C163" i="3"/>
  <c r="C168" i="3"/>
  <c r="C159" i="3"/>
  <c r="C181" i="9" s="1"/>
  <c r="C170" i="9" s="1"/>
  <c r="H160" i="3"/>
  <c r="H182" i="9" s="1"/>
  <c r="H171" i="9" s="1"/>
  <c r="I171" i="9" s="1"/>
  <c r="H161" i="3"/>
  <c r="H183" i="9" s="1"/>
  <c r="H172" i="9" s="1"/>
  <c r="I172" i="9" s="1"/>
  <c r="H159" i="3"/>
  <c r="H181" i="9" s="1"/>
  <c r="H170" i="9" s="1"/>
  <c r="D164" i="3"/>
  <c r="C161" i="3"/>
  <c r="C183" i="9" s="1"/>
  <c r="C172" i="9" s="1"/>
  <c r="G163" i="3"/>
  <c r="F163" i="3"/>
  <c r="D167" i="3"/>
  <c r="E159" i="3"/>
  <c r="E181" i="9" s="1"/>
  <c r="E170" i="9" s="1"/>
  <c r="C160" i="3"/>
  <c r="C182" i="9" s="1"/>
  <c r="C171" i="9" s="1"/>
  <c r="E160" i="3"/>
  <c r="E182" i="9" s="1"/>
  <c r="E171" i="9" s="1"/>
  <c r="E161" i="3"/>
  <c r="E183" i="9" s="1"/>
  <c r="E172" i="9" s="1"/>
  <c r="E162" i="3"/>
  <c r="E184" i="9" s="1"/>
  <c r="E173" i="9" s="1"/>
  <c r="D163" i="3"/>
  <c r="F168" i="3"/>
  <c r="C167" i="3"/>
  <c r="G162" i="3"/>
  <c r="G184" i="9" s="1"/>
  <c r="G173" i="9" s="1"/>
  <c r="D159" i="3"/>
  <c r="D181" i="9" s="1"/>
  <c r="D170" i="9" s="1"/>
  <c r="D160" i="3"/>
  <c r="D182" i="9" s="1"/>
  <c r="D171" i="9" s="1"/>
  <c r="C162" i="3"/>
  <c r="C184" i="9" s="1"/>
  <c r="C173" i="9" s="1"/>
  <c r="F162" i="3"/>
  <c r="F184" i="9" s="1"/>
  <c r="F173" i="9" s="1"/>
  <c r="E164" i="3"/>
  <c r="G164" i="3"/>
  <c r="E167" i="3"/>
  <c r="H167" i="3"/>
  <c r="D168" i="3"/>
  <c r="E168" i="3"/>
  <c r="F159" i="3"/>
  <c r="F181" i="9" s="1"/>
  <c r="F170" i="9" s="1"/>
  <c r="D161" i="3"/>
  <c r="D183" i="9" s="1"/>
  <c r="D172" i="9" s="1"/>
  <c r="F161" i="3"/>
  <c r="F183" i="9" s="1"/>
  <c r="F172" i="9" s="1"/>
  <c r="D162" i="3"/>
  <c r="D184" i="9" s="1"/>
  <c r="D173" i="9" s="1"/>
  <c r="E163" i="3"/>
  <c r="C164" i="3"/>
  <c r="F164" i="3"/>
  <c r="F167" i="3"/>
  <c r="F160" i="3"/>
  <c r="F182" i="9" s="1"/>
  <c r="F171" i="9" s="1"/>
  <c r="H162" i="3"/>
  <c r="H184" i="9" s="1"/>
  <c r="H173" i="9" s="1"/>
  <c r="I173" i="9" s="1"/>
  <c r="A68" i="3"/>
  <c r="A66" i="3"/>
  <c r="A46" i="3"/>
  <c r="A11" i="3"/>
  <c r="A165" i="3" s="1"/>
  <c r="A112" i="3"/>
  <c r="A132" i="3"/>
  <c r="A35" i="3"/>
  <c r="A154" i="3"/>
  <c r="I170" i="10" l="1"/>
  <c r="J170" i="10" s="1"/>
  <c r="I170" i="9"/>
  <c r="J172" i="9"/>
  <c r="J177" i="9"/>
  <c r="J173" i="9"/>
  <c r="J171" i="9"/>
  <c r="J172" i="10"/>
  <c r="J177" i="10"/>
  <c r="J175" i="10"/>
  <c r="J171" i="10"/>
  <c r="J179" i="10"/>
  <c r="J174" i="10"/>
  <c r="J178" i="10"/>
  <c r="J173" i="10"/>
  <c r="J177" i="11"/>
  <c r="H181" i="11"/>
  <c r="H170" i="11" s="1"/>
  <c r="I170" i="11" s="1"/>
  <c r="H184" i="11"/>
  <c r="H173" i="11" s="1"/>
  <c r="I173" i="11" s="1"/>
  <c r="H183" i="11"/>
  <c r="H172" i="11" s="1"/>
  <c r="H182" i="11"/>
  <c r="H171" i="11" s="1"/>
  <c r="H165" i="9"/>
  <c r="H165" i="10"/>
  <c r="B133" i="16"/>
  <c r="B165" i="10"/>
  <c r="C187" i="10"/>
  <c r="C176" i="10" s="1"/>
  <c r="B187" i="10"/>
  <c r="B176" i="10" s="1"/>
  <c r="D187" i="10"/>
  <c r="D176" i="10" s="1"/>
  <c r="E187" i="10"/>
  <c r="E176" i="10" s="1"/>
  <c r="H187" i="10"/>
  <c r="H176" i="10" s="1"/>
  <c r="I176" i="10" s="1"/>
  <c r="B188" i="10"/>
  <c r="B177" i="10" s="1"/>
  <c r="I45" i="10" s="1"/>
  <c r="F187" i="10"/>
  <c r="F176" i="10" s="1"/>
  <c r="G187" i="10"/>
  <c r="G176" i="10" s="1"/>
  <c r="B168" i="9"/>
  <c r="H187" i="11"/>
  <c r="H176" i="11" s="1"/>
  <c r="I176" i="11" s="1"/>
  <c r="D187" i="11"/>
  <c r="D176" i="11" s="1"/>
  <c r="E187" i="11"/>
  <c r="E176" i="11" s="1"/>
  <c r="C165" i="11"/>
  <c r="H166" i="4"/>
  <c r="H165" i="5"/>
  <c r="G165" i="5"/>
  <c r="G166" i="4"/>
  <c r="B165" i="4"/>
  <c r="G166" i="5"/>
  <c r="E166" i="4"/>
  <c r="F165" i="4"/>
  <c r="F187" i="11"/>
  <c r="F176" i="11" s="1"/>
  <c r="C166" i="4"/>
  <c r="C166" i="5"/>
  <c r="B167" i="5"/>
  <c r="F166" i="5"/>
  <c r="H166" i="5"/>
  <c r="D166" i="4"/>
  <c r="B160" i="5"/>
  <c r="B182" i="11" s="1"/>
  <c r="B171" i="11" s="1"/>
  <c r="E166" i="5"/>
  <c r="F165" i="5"/>
  <c r="E165" i="5"/>
  <c r="B165" i="5"/>
  <c r="B160" i="4"/>
  <c r="B182" i="10" s="1"/>
  <c r="D165" i="4"/>
  <c r="B161" i="4"/>
  <c r="B183" i="10" s="1"/>
  <c r="B168" i="5"/>
  <c r="G165" i="4"/>
  <c r="E165" i="4"/>
  <c r="F166" i="4"/>
  <c r="B187" i="11"/>
  <c r="B176" i="11" s="1"/>
  <c r="B166" i="5"/>
  <c r="B164" i="4"/>
  <c r="B186" i="10" s="1"/>
  <c r="B164" i="5"/>
  <c r="B186" i="11" s="1"/>
  <c r="B175" i="11" s="1"/>
  <c r="D166" i="5"/>
  <c r="B167" i="4"/>
  <c r="B189" i="10" s="1"/>
  <c r="B162" i="5"/>
  <c r="B184" i="11" s="1"/>
  <c r="B173" i="11" s="1"/>
  <c r="E165" i="11"/>
  <c r="C165" i="4"/>
  <c r="H165" i="4"/>
  <c r="B163" i="5"/>
  <c r="B163" i="4"/>
  <c r="B185" i="10" s="1"/>
  <c r="B168" i="4"/>
  <c r="B190" i="10" s="1"/>
  <c r="B166" i="4"/>
  <c r="B188" i="11"/>
  <c r="B177" i="11" s="1"/>
  <c r="I78" i="11" s="1"/>
  <c r="G187" i="11"/>
  <c r="G176" i="11" s="1"/>
  <c r="B159" i="4"/>
  <c r="B181" i="10" s="1"/>
  <c r="B161" i="5"/>
  <c r="B183" i="11" s="1"/>
  <c r="B172" i="11" s="1"/>
  <c r="B161" i="11"/>
  <c r="B159" i="5"/>
  <c r="B181" i="11" s="1"/>
  <c r="B170" i="11" s="1"/>
  <c r="C165" i="5"/>
  <c r="B162" i="4"/>
  <c r="B184" i="10" s="1"/>
  <c r="B166" i="11"/>
  <c r="B160" i="11"/>
  <c r="B159" i="11"/>
  <c r="H165" i="11"/>
  <c r="C187" i="11"/>
  <c r="C176" i="11" s="1"/>
  <c r="B165" i="9"/>
  <c r="B164" i="11"/>
  <c r="B167" i="11"/>
  <c r="D165" i="11"/>
  <c r="B165" i="11"/>
  <c r="D165" i="5"/>
  <c r="F165" i="11"/>
  <c r="B162" i="11"/>
  <c r="B163" i="11"/>
  <c r="B168" i="11"/>
  <c r="G165" i="11"/>
  <c r="E189" i="11"/>
  <c r="E178" i="11" s="1"/>
  <c r="C190" i="11"/>
  <c r="C179" i="11" s="1"/>
  <c r="F189" i="11"/>
  <c r="F178" i="11" s="1"/>
  <c r="G190" i="11"/>
  <c r="G179" i="11" s="1"/>
  <c r="E185" i="11"/>
  <c r="E174" i="11" s="1"/>
  <c r="G186" i="11"/>
  <c r="G175" i="11" s="1"/>
  <c r="H190" i="11"/>
  <c r="H179" i="11" s="1"/>
  <c r="I179" i="11" s="1"/>
  <c r="F186" i="11"/>
  <c r="F175" i="11" s="1"/>
  <c r="C189" i="11"/>
  <c r="C178" i="11" s="1"/>
  <c r="G185" i="11"/>
  <c r="G174" i="11" s="1"/>
  <c r="C186" i="11"/>
  <c r="C175" i="11" s="1"/>
  <c r="D190" i="11"/>
  <c r="D179" i="11" s="1"/>
  <c r="H189" i="11"/>
  <c r="H178" i="11" s="1"/>
  <c r="I178" i="11" s="1"/>
  <c r="E186" i="11"/>
  <c r="E175" i="11" s="1"/>
  <c r="H185" i="11"/>
  <c r="H174" i="11" s="1"/>
  <c r="I174" i="11" s="1"/>
  <c r="G189" i="11"/>
  <c r="G178" i="11" s="1"/>
  <c r="H186" i="11"/>
  <c r="H175" i="11" s="1"/>
  <c r="I175" i="11" s="1"/>
  <c r="D186" i="11"/>
  <c r="D175" i="11" s="1"/>
  <c r="F185" i="11"/>
  <c r="F174" i="11" s="1"/>
  <c r="D185" i="11"/>
  <c r="D174" i="11" s="1"/>
  <c r="E190" i="11"/>
  <c r="E179" i="11" s="1"/>
  <c r="C185" i="11"/>
  <c r="C174" i="11" s="1"/>
  <c r="F190" i="11"/>
  <c r="F179" i="11" s="1"/>
  <c r="D189" i="11"/>
  <c r="D178" i="11" s="1"/>
  <c r="C189" i="9"/>
  <c r="C178" i="9" s="1"/>
  <c r="D186" i="9"/>
  <c r="D175" i="9" s="1"/>
  <c r="G190" i="9"/>
  <c r="G179" i="9" s="1"/>
  <c r="C186" i="9"/>
  <c r="C175" i="9" s="1"/>
  <c r="H189" i="9"/>
  <c r="H178" i="9" s="1"/>
  <c r="I178" i="9" s="1"/>
  <c r="G189" i="9"/>
  <c r="G178" i="9" s="1"/>
  <c r="F186" i="9"/>
  <c r="F175" i="9" s="1"/>
  <c r="D190" i="9"/>
  <c r="D179" i="9" s="1"/>
  <c r="E186" i="9"/>
  <c r="E175" i="9" s="1"/>
  <c r="D185" i="9"/>
  <c r="D174" i="9" s="1"/>
  <c r="G185" i="9"/>
  <c r="G174" i="9" s="1"/>
  <c r="C185" i="9"/>
  <c r="C174" i="9" s="1"/>
  <c r="H186" i="9"/>
  <c r="H175" i="9" s="1"/>
  <c r="I175" i="9" s="1"/>
  <c r="E185" i="9"/>
  <c r="E174" i="9" s="1"/>
  <c r="E189" i="9"/>
  <c r="E178" i="9" s="1"/>
  <c r="D189" i="9"/>
  <c r="D178" i="9" s="1"/>
  <c r="H185" i="9"/>
  <c r="H174" i="9" s="1"/>
  <c r="I174" i="9" s="1"/>
  <c r="F189" i="9"/>
  <c r="F178" i="9" s="1"/>
  <c r="E190" i="9"/>
  <c r="E179" i="9" s="1"/>
  <c r="G186" i="9"/>
  <c r="G175" i="9" s="1"/>
  <c r="F190" i="9"/>
  <c r="F179" i="9" s="1"/>
  <c r="F185" i="9"/>
  <c r="F174" i="9" s="1"/>
  <c r="C190" i="9"/>
  <c r="C179" i="9" s="1"/>
  <c r="H190" i="9"/>
  <c r="H179" i="9" s="1"/>
  <c r="I179" i="9" s="1"/>
  <c r="F187" i="9"/>
  <c r="F176" i="9" s="1"/>
  <c r="D187" i="9"/>
  <c r="D176" i="9" s="1"/>
  <c r="B187" i="9"/>
  <c r="B176" i="9" s="1"/>
  <c r="E187" i="9"/>
  <c r="E176" i="9" s="1"/>
  <c r="C187" i="9"/>
  <c r="C176" i="9" s="1"/>
  <c r="H187" i="9"/>
  <c r="H176" i="9" s="1"/>
  <c r="I176" i="9" s="1"/>
  <c r="G187" i="9"/>
  <c r="G176" i="9" s="1"/>
  <c r="B188" i="9"/>
  <c r="B177" i="9" s="1"/>
  <c r="E166" i="3"/>
  <c r="G165" i="3"/>
  <c r="C165" i="3"/>
  <c r="G166" i="3"/>
  <c r="B167" i="3"/>
  <c r="D166" i="3"/>
  <c r="B165" i="3"/>
  <c r="B159" i="3"/>
  <c r="B160" i="3"/>
  <c r="F166" i="3"/>
  <c r="C166" i="3"/>
  <c r="H166" i="3"/>
  <c r="B163" i="3"/>
  <c r="B164" i="3"/>
  <c r="B162" i="3"/>
  <c r="E165" i="3"/>
  <c r="B161" i="3"/>
  <c r="B168" i="3"/>
  <c r="D165" i="3"/>
  <c r="H165" i="3"/>
  <c r="B166" i="3"/>
  <c r="F165" i="3"/>
  <c r="J170" i="9" l="1"/>
  <c r="K170" i="9" s="1"/>
  <c r="J56" i="9"/>
  <c r="J89" i="9"/>
  <c r="J34" i="9"/>
  <c r="J122" i="9"/>
  <c r="J12" i="9"/>
  <c r="J111" i="9"/>
  <c r="J45" i="9"/>
  <c r="J67" i="9"/>
  <c r="J155" i="9"/>
  <c r="J144" i="9"/>
  <c r="J78" i="9"/>
  <c r="K177" i="9"/>
  <c r="J176" i="9"/>
  <c r="K173" i="9"/>
  <c r="K172" i="9"/>
  <c r="J179" i="9"/>
  <c r="K171" i="9"/>
  <c r="J174" i="9"/>
  <c r="J175" i="9"/>
  <c r="J178" i="9"/>
  <c r="I142" i="11"/>
  <c r="J45" i="11"/>
  <c r="I85" i="11"/>
  <c r="I45" i="11"/>
  <c r="J122" i="11"/>
  <c r="I49" i="11"/>
  <c r="I111" i="11"/>
  <c r="J144" i="11"/>
  <c r="J56" i="11"/>
  <c r="J67" i="11"/>
  <c r="I76" i="11"/>
  <c r="I89" i="11"/>
  <c r="I131" i="11"/>
  <c r="I109" i="11"/>
  <c r="J111" i="11"/>
  <c r="I148" i="11"/>
  <c r="I98" i="11"/>
  <c r="I54" i="11"/>
  <c r="I43" i="11"/>
  <c r="J12" i="11"/>
  <c r="J89" i="11"/>
  <c r="J78" i="11"/>
  <c r="I122" i="10"/>
  <c r="I87" i="11"/>
  <c r="J34" i="11"/>
  <c r="I10" i="11"/>
  <c r="I21" i="11"/>
  <c r="I153" i="11"/>
  <c r="J155" i="11"/>
  <c r="I154" i="11"/>
  <c r="I110" i="11"/>
  <c r="I88" i="11"/>
  <c r="I66" i="11"/>
  <c r="I44" i="11"/>
  <c r="I143" i="11"/>
  <c r="I121" i="11"/>
  <c r="I33" i="11"/>
  <c r="I11" i="11"/>
  <c r="I55" i="11"/>
  <c r="I77" i="11"/>
  <c r="I63" i="11"/>
  <c r="I140" i="11"/>
  <c r="I8" i="11"/>
  <c r="I41" i="11"/>
  <c r="I96" i="11"/>
  <c r="I129" i="11"/>
  <c r="I52" i="11"/>
  <c r="I118" i="11"/>
  <c r="I19" i="11"/>
  <c r="I12" i="10"/>
  <c r="I107" i="11"/>
  <c r="I30" i="11"/>
  <c r="I93" i="11"/>
  <c r="I126" i="11"/>
  <c r="I16" i="11"/>
  <c r="I27" i="11"/>
  <c r="I82" i="11"/>
  <c r="I137" i="11"/>
  <c r="I60" i="11"/>
  <c r="I38" i="11"/>
  <c r="I104" i="11"/>
  <c r="I115" i="11"/>
  <c r="I155" i="11"/>
  <c r="I67" i="11"/>
  <c r="I144" i="11"/>
  <c r="I122" i="11"/>
  <c r="I34" i="11"/>
  <c r="I12" i="11"/>
  <c r="I56" i="11"/>
  <c r="I78" i="10"/>
  <c r="I5" i="11"/>
  <c r="I120" i="11"/>
  <c r="I71" i="11"/>
  <c r="I32" i="11"/>
  <c r="I74" i="11"/>
  <c r="I65" i="11"/>
  <c r="I151" i="11"/>
  <c r="K174" i="10"/>
  <c r="K171" i="10"/>
  <c r="K175" i="10"/>
  <c r="I144" i="10"/>
  <c r="I34" i="10"/>
  <c r="I89" i="10"/>
  <c r="K179" i="10"/>
  <c r="I154" i="10"/>
  <c r="I110" i="10"/>
  <c r="I88" i="10"/>
  <c r="I66" i="10"/>
  <c r="I44" i="10"/>
  <c r="I11" i="10"/>
  <c r="I143" i="10"/>
  <c r="I77" i="10"/>
  <c r="I121" i="10"/>
  <c r="I55" i="10"/>
  <c r="I33" i="10"/>
  <c r="I67" i="10"/>
  <c r="I111" i="10"/>
  <c r="I56" i="10"/>
  <c r="K173" i="10"/>
  <c r="K178" i="10"/>
  <c r="K170" i="10"/>
  <c r="I155" i="10"/>
  <c r="K177" i="10"/>
  <c r="J12" i="10"/>
  <c r="J45" i="10"/>
  <c r="J111" i="10"/>
  <c r="J34" i="10"/>
  <c r="J144" i="10"/>
  <c r="J67" i="10"/>
  <c r="J122" i="10"/>
  <c r="J155" i="10"/>
  <c r="J56" i="10"/>
  <c r="J78" i="10"/>
  <c r="J89" i="10"/>
  <c r="K172" i="10"/>
  <c r="J176" i="10"/>
  <c r="J179" i="11"/>
  <c r="J175" i="11"/>
  <c r="J173" i="11"/>
  <c r="K177" i="11"/>
  <c r="J174" i="11"/>
  <c r="J178" i="11"/>
  <c r="J170" i="11"/>
  <c r="J176" i="11"/>
  <c r="I171" i="11"/>
  <c r="I172" i="11"/>
  <c r="I154" i="9"/>
  <c r="I110" i="9"/>
  <c r="I88" i="9"/>
  <c r="I66" i="9"/>
  <c r="I44" i="9"/>
  <c r="I121" i="9"/>
  <c r="I55" i="9"/>
  <c r="I33" i="9"/>
  <c r="I143" i="9"/>
  <c r="I11" i="9"/>
  <c r="I77" i="9"/>
  <c r="I12" i="9"/>
  <c r="I67" i="9"/>
  <c r="I34" i="9"/>
  <c r="I144" i="9"/>
  <c r="I89" i="9"/>
  <c r="I56" i="9"/>
  <c r="I122" i="9"/>
  <c r="I155" i="9"/>
  <c r="I111" i="9"/>
  <c r="I45" i="9"/>
  <c r="I78" i="9"/>
  <c r="B175" i="10"/>
  <c r="J109" i="10" s="1"/>
  <c r="B173" i="10"/>
  <c r="J85" i="10" s="1"/>
  <c r="B178" i="10"/>
  <c r="J145" i="10" s="1"/>
  <c r="B171" i="10"/>
  <c r="J94" i="10" s="1"/>
  <c r="B170" i="10"/>
  <c r="J104" i="10" s="1"/>
  <c r="B179" i="10"/>
  <c r="J47" i="10" s="1"/>
  <c r="B174" i="10"/>
  <c r="J86" i="10" s="1"/>
  <c r="B172" i="10"/>
  <c r="J150" i="10" s="1"/>
  <c r="B161" i="17"/>
  <c r="M172" i="11" s="1"/>
  <c r="B165" i="17"/>
  <c r="M176" i="11" s="1"/>
  <c r="B160" i="17"/>
  <c r="B149" i="17" s="1"/>
  <c r="B166" i="17"/>
  <c r="M177" i="11" s="1"/>
  <c r="B162" i="17"/>
  <c r="M173" i="11" s="1"/>
  <c r="B159" i="17"/>
  <c r="B148" i="17" s="1"/>
  <c r="B164" i="17"/>
  <c r="M175" i="11" s="1"/>
  <c r="B166" i="16"/>
  <c r="B165" i="16"/>
  <c r="M176" i="10" s="1"/>
  <c r="B166" i="18"/>
  <c r="M177" i="9" s="1"/>
  <c r="B165" i="18"/>
  <c r="M176" i="9" s="1"/>
  <c r="B133" i="12"/>
  <c r="B189" i="11"/>
  <c r="B178" i="11" s="1"/>
  <c r="I101" i="11" s="1"/>
  <c r="B190" i="11"/>
  <c r="B179" i="11" s="1"/>
  <c r="I80" i="11" s="1"/>
  <c r="B185" i="11"/>
  <c r="B174" i="11" s="1"/>
  <c r="I42" i="11" s="1"/>
  <c r="B183" i="9"/>
  <c r="B182" i="9"/>
  <c r="B186" i="9"/>
  <c r="B184" i="9"/>
  <c r="B185" i="9"/>
  <c r="B189" i="9"/>
  <c r="B190" i="9"/>
  <c r="B181" i="9"/>
  <c r="K56" i="9" l="1"/>
  <c r="K89" i="9"/>
  <c r="K34" i="9"/>
  <c r="K122" i="9"/>
  <c r="K67" i="9"/>
  <c r="K12" i="9"/>
  <c r="K111" i="9"/>
  <c r="K155" i="9"/>
  <c r="K144" i="9"/>
  <c r="K78" i="9"/>
  <c r="K45" i="9"/>
  <c r="J154" i="9"/>
  <c r="J143" i="9"/>
  <c r="J110" i="9"/>
  <c r="J121" i="9"/>
  <c r="J88" i="9"/>
  <c r="J44" i="9"/>
  <c r="J77" i="9"/>
  <c r="J33" i="9"/>
  <c r="J66" i="9"/>
  <c r="J11" i="9"/>
  <c r="J55" i="9"/>
  <c r="J166" i="9"/>
  <c r="K178" i="9"/>
  <c r="K174" i="9"/>
  <c r="K179" i="9"/>
  <c r="K176" i="9"/>
  <c r="K175" i="9"/>
  <c r="J46" i="10"/>
  <c r="J53" i="10"/>
  <c r="J124" i="10"/>
  <c r="I141" i="11"/>
  <c r="J130" i="10"/>
  <c r="I14" i="11"/>
  <c r="I64" i="11"/>
  <c r="I91" i="11"/>
  <c r="I53" i="11"/>
  <c r="I25" i="11"/>
  <c r="J74" i="10"/>
  <c r="J116" i="10"/>
  <c r="I159" i="11"/>
  <c r="I159" i="17" s="1"/>
  <c r="I60" i="17" s="1"/>
  <c r="I60" i="13" s="1"/>
  <c r="I119" i="11"/>
  <c r="I102" i="11"/>
  <c r="I31" i="11"/>
  <c r="J101" i="10"/>
  <c r="J41" i="10"/>
  <c r="J14" i="10"/>
  <c r="I97" i="11"/>
  <c r="I47" i="11"/>
  <c r="J154" i="11"/>
  <c r="J110" i="11"/>
  <c r="J88" i="11"/>
  <c r="J66" i="11"/>
  <c r="J44" i="11"/>
  <c r="J143" i="11"/>
  <c r="J121" i="11"/>
  <c r="J77" i="11"/>
  <c r="J55" i="11"/>
  <c r="J33" i="11"/>
  <c r="J11" i="11"/>
  <c r="I112" i="11"/>
  <c r="I156" i="11"/>
  <c r="I162" i="11"/>
  <c r="I162" i="17" s="1"/>
  <c r="J27" i="11"/>
  <c r="J82" i="11"/>
  <c r="J137" i="11"/>
  <c r="J60" i="11"/>
  <c r="J71" i="11"/>
  <c r="J49" i="11"/>
  <c r="J115" i="11"/>
  <c r="J104" i="11"/>
  <c r="J38" i="11"/>
  <c r="J93" i="11"/>
  <c r="J16" i="11"/>
  <c r="J5" i="11"/>
  <c r="J126" i="11"/>
  <c r="J148" i="11"/>
  <c r="J7" i="10"/>
  <c r="I166" i="10"/>
  <c r="I166" i="16" s="1"/>
  <c r="I134" i="11"/>
  <c r="I35" i="11"/>
  <c r="I149" i="11"/>
  <c r="I17" i="11"/>
  <c r="I72" i="11"/>
  <c r="I39" i="11"/>
  <c r="I94" i="11"/>
  <c r="I127" i="11"/>
  <c r="I138" i="11"/>
  <c r="I83" i="11"/>
  <c r="I61" i="11"/>
  <c r="I116" i="11"/>
  <c r="I28" i="11"/>
  <c r="I105" i="11"/>
  <c r="I6" i="11"/>
  <c r="I50" i="11"/>
  <c r="J145" i="11"/>
  <c r="J123" i="11"/>
  <c r="J79" i="11"/>
  <c r="J156" i="11"/>
  <c r="J134" i="11"/>
  <c r="J112" i="11"/>
  <c r="J68" i="11"/>
  <c r="J46" i="11"/>
  <c r="J24" i="11"/>
  <c r="J13" i="11"/>
  <c r="J35" i="11"/>
  <c r="J101" i="11"/>
  <c r="J57" i="11"/>
  <c r="J90" i="11"/>
  <c r="J65" i="11"/>
  <c r="J109" i="11"/>
  <c r="J153" i="11"/>
  <c r="J10" i="11"/>
  <c r="J76" i="11"/>
  <c r="J87" i="11"/>
  <c r="J98" i="11"/>
  <c r="J131" i="11"/>
  <c r="J21" i="11"/>
  <c r="J43" i="11"/>
  <c r="J54" i="11"/>
  <c r="J120" i="11"/>
  <c r="J32" i="11"/>
  <c r="J142" i="11"/>
  <c r="J117" i="10"/>
  <c r="J123" i="10"/>
  <c r="J107" i="10"/>
  <c r="I36" i="11"/>
  <c r="I24" i="11"/>
  <c r="I68" i="11"/>
  <c r="I123" i="11"/>
  <c r="I58" i="11"/>
  <c r="I124" i="11"/>
  <c r="I157" i="11"/>
  <c r="I164" i="11"/>
  <c r="I164" i="17" s="1"/>
  <c r="I10" i="17" s="1"/>
  <c r="I10" i="13" s="1"/>
  <c r="I135" i="11"/>
  <c r="J166" i="11"/>
  <c r="J166" i="17" s="1"/>
  <c r="I13" i="11"/>
  <c r="K89" i="11"/>
  <c r="K78" i="11"/>
  <c r="K144" i="11"/>
  <c r="K111" i="11"/>
  <c r="K122" i="11"/>
  <c r="K155" i="11"/>
  <c r="K34" i="11"/>
  <c r="K67" i="11"/>
  <c r="K56" i="11"/>
  <c r="K12" i="11"/>
  <c r="K45" i="11"/>
  <c r="I117" i="11"/>
  <c r="I18" i="11"/>
  <c r="I73" i="11"/>
  <c r="I62" i="11"/>
  <c r="I150" i="11"/>
  <c r="I29" i="11"/>
  <c r="I40" i="11"/>
  <c r="I84" i="11"/>
  <c r="I7" i="11"/>
  <c r="I95" i="11"/>
  <c r="I139" i="11"/>
  <c r="I128" i="11"/>
  <c r="I106" i="11"/>
  <c r="I51" i="11"/>
  <c r="J129" i="11"/>
  <c r="J74" i="11"/>
  <c r="J151" i="11"/>
  <c r="J41" i="11"/>
  <c r="J140" i="11"/>
  <c r="J85" i="11"/>
  <c r="J118" i="11"/>
  <c r="J30" i="11"/>
  <c r="J52" i="11"/>
  <c r="J96" i="11"/>
  <c r="J8" i="11"/>
  <c r="J107" i="11"/>
  <c r="J19" i="11"/>
  <c r="J63" i="11"/>
  <c r="J105" i="10"/>
  <c r="I90" i="11"/>
  <c r="I79" i="11"/>
  <c r="I20" i="11"/>
  <c r="I75" i="11"/>
  <c r="I113" i="11"/>
  <c r="I146" i="11"/>
  <c r="J108" i="11"/>
  <c r="J42" i="11"/>
  <c r="J141" i="11"/>
  <c r="J152" i="11"/>
  <c r="J20" i="11"/>
  <c r="J86" i="11"/>
  <c r="J53" i="11"/>
  <c r="J130" i="11"/>
  <c r="J9" i="11"/>
  <c r="J31" i="11"/>
  <c r="J75" i="11"/>
  <c r="J64" i="11"/>
  <c r="J119" i="11"/>
  <c r="J97" i="11"/>
  <c r="J14" i="11"/>
  <c r="J36" i="11"/>
  <c r="J113" i="11"/>
  <c r="J25" i="11"/>
  <c r="J69" i="11"/>
  <c r="J80" i="11"/>
  <c r="J157" i="11"/>
  <c r="J135" i="11"/>
  <c r="J91" i="11"/>
  <c r="J124" i="11"/>
  <c r="J47" i="11"/>
  <c r="J58" i="11"/>
  <c r="J102" i="11"/>
  <c r="J146" i="11"/>
  <c r="J84" i="10"/>
  <c r="J35" i="10"/>
  <c r="J19" i="10"/>
  <c r="J135" i="10"/>
  <c r="J50" i="10"/>
  <c r="J141" i="10"/>
  <c r="I152" i="11"/>
  <c r="I166" i="11"/>
  <c r="I166" i="17" s="1"/>
  <c r="I57" i="11"/>
  <c r="I46" i="11"/>
  <c r="I145" i="11"/>
  <c r="I108" i="11"/>
  <c r="I69" i="11"/>
  <c r="I130" i="11"/>
  <c r="I9" i="11"/>
  <c r="I86" i="11"/>
  <c r="J18" i="10"/>
  <c r="J139" i="10"/>
  <c r="J29" i="10"/>
  <c r="J71" i="10"/>
  <c r="J82" i="10"/>
  <c r="J126" i="10"/>
  <c r="J137" i="10"/>
  <c r="J24" i="10"/>
  <c r="J57" i="10"/>
  <c r="J112" i="10"/>
  <c r="J118" i="10"/>
  <c r="J129" i="10"/>
  <c r="J140" i="10"/>
  <c r="K140" i="10"/>
  <c r="K8" i="10"/>
  <c r="K52" i="10"/>
  <c r="K30" i="10"/>
  <c r="K96" i="10"/>
  <c r="K129" i="10"/>
  <c r="K41" i="10"/>
  <c r="K19" i="10"/>
  <c r="K85" i="10"/>
  <c r="K118" i="10"/>
  <c r="K74" i="10"/>
  <c r="K63" i="10"/>
  <c r="K107" i="10"/>
  <c r="K151" i="10"/>
  <c r="J91" i="10"/>
  <c r="J36" i="10"/>
  <c r="J146" i="10"/>
  <c r="J157" i="10"/>
  <c r="J87" i="10"/>
  <c r="J43" i="10"/>
  <c r="J98" i="10"/>
  <c r="K21" i="10"/>
  <c r="K98" i="10"/>
  <c r="K65" i="10"/>
  <c r="K43" i="10"/>
  <c r="K54" i="10"/>
  <c r="K142" i="10"/>
  <c r="K153" i="10"/>
  <c r="K109" i="10"/>
  <c r="K120" i="10"/>
  <c r="K87" i="10"/>
  <c r="K32" i="10"/>
  <c r="K10" i="10"/>
  <c r="K131" i="10"/>
  <c r="K76" i="10"/>
  <c r="J28" i="10"/>
  <c r="J83" i="10"/>
  <c r="J149" i="10"/>
  <c r="J108" i="10"/>
  <c r="J64" i="10"/>
  <c r="J97" i="10"/>
  <c r="J154" i="10"/>
  <c r="J110" i="10"/>
  <c r="J88" i="10"/>
  <c r="J66" i="10"/>
  <c r="J44" i="10"/>
  <c r="J121" i="10"/>
  <c r="J55" i="10"/>
  <c r="J33" i="10"/>
  <c r="J11" i="10"/>
  <c r="J143" i="10"/>
  <c r="J77" i="10"/>
  <c r="J16" i="10"/>
  <c r="J5" i="10"/>
  <c r="J32" i="10"/>
  <c r="J65" i="10"/>
  <c r="K149" i="10"/>
  <c r="K105" i="10"/>
  <c r="K72" i="10"/>
  <c r="K28" i="10"/>
  <c r="K6" i="10"/>
  <c r="K39" i="10"/>
  <c r="K116" i="10"/>
  <c r="K83" i="10"/>
  <c r="K61" i="10"/>
  <c r="K94" i="10"/>
  <c r="K127" i="10"/>
  <c r="K138" i="10"/>
  <c r="K50" i="10"/>
  <c r="K17" i="10"/>
  <c r="I139" i="10"/>
  <c r="I40" i="10"/>
  <c r="I62" i="10"/>
  <c r="I18" i="10"/>
  <c r="I106" i="10"/>
  <c r="I7" i="10"/>
  <c r="I51" i="10"/>
  <c r="I73" i="10"/>
  <c r="I150" i="10"/>
  <c r="I84" i="10"/>
  <c r="I95" i="10"/>
  <c r="I128" i="10"/>
  <c r="I29" i="10"/>
  <c r="I117" i="10"/>
  <c r="I42" i="10"/>
  <c r="I108" i="10"/>
  <c r="I152" i="10"/>
  <c r="I119" i="10"/>
  <c r="I130" i="10"/>
  <c r="I64" i="10"/>
  <c r="I53" i="10"/>
  <c r="I31" i="10"/>
  <c r="I20" i="10"/>
  <c r="I75" i="10"/>
  <c r="I97" i="10"/>
  <c r="I86" i="10"/>
  <c r="I9" i="10"/>
  <c r="I141" i="10"/>
  <c r="I134" i="10"/>
  <c r="I68" i="10"/>
  <c r="I57" i="10"/>
  <c r="I90" i="10"/>
  <c r="I145" i="10"/>
  <c r="I156" i="10"/>
  <c r="I24" i="10"/>
  <c r="I101" i="10"/>
  <c r="I79" i="10"/>
  <c r="I123" i="10"/>
  <c r="I112" i="10"/>
  <c r="I35" i="10"/>
  <c r="I13" i="10"/>
  <c r="I46" i="10"/>
  <c r="K176" i="10"/>
  <c r="J95" i="10"/>
  <c r="J40" i="10"/>
  <c r="J51" i="10"/>
  <c r="J128" i="10"/>
  <c r="J166" i="10"/>
  <c r="J166" i="16" s="1"/>
  <c r="J38" i="10"/>
  <c r="J49" i="10"/>
  <c r="J27" i="10"/>
  <c r="J90" i="10"/>
  <c r="J68" i="10"/>
  <c r="J156" i="10"/>
  <c r="K156" i="10"/>
  <c r="K134" i="10"/>
  <c r="K112" i="10"/>
  <c r="K68" i="10"/>
  <c r="K46" i="10"/>
  <c r="K123" i="10"/>
  <c r="K145" i="10"/>
  <c r="K79" i="10"/>
  <c r="K35" i="10"/>
  <c r="K57" i="10"/>
  <c r="K90" i="10"/>
  <c r="K13" i="10"/>
  <c r="K101" i="10"/>
  <c r="K24" i="10"/>
  <c r="J52" i="10"/>
  <c r="J96" i="10"/>
  <c r="J113" i="10"/>
  <c r="J25" i="10"/>
  <c r="J80" i="10"/>
  <c r="J120" i="10"/>
  <c r="J153" i="10"/>
  <c r="J39" i="10"/>
  <c r="J138" i="10"/>
  <c r="J6" i="10"/>
  <c r="J42" i="10"/>
  <c r="J20" i="10"/>
  <c r="J119" i="10"/>
  <c r="J31" i="10"/>
  <c r="I71" i="10"/>
  <c r="I126" i="10"/>
  <c r="I104" i="10"/>
  <c r="I27" i="10"/>
  <c r="I16" i="10"/>
  <c r="I137" i="10"/>
  <c r="I82" i="10"/>
  <c r="I49" i="10"/>
  <c r="I38" i="10"/>
  <c r="I115" i="10"/>
  <c r="I148" i="10"/>
  <c r="I93" i="10"/>
  <c r="I5" i="10"/>
  <c r="I60" i="10"/>
  <c r="I142" i="10"/>
  <c r="I120" i="10"/>
  <c r="I32" i="10"/>
  <c r="I109" i="10"/>
  <c r="I153" i="10"/>
  <c r="I76" i="10"/>
  <c r="I98" i="10"/>
  <c r="I87" i="10"/>
  <c r="I43" i="10"/>
  <c r="I21" i="10"/>
  <c r="I10" i="10"/>
  <c r="I131" i="10"/>
  <c r="I65" i="10"/>
  <c r="I54" i="10"/>
  <c r="J148" i="10"/>
  <c r="J21" i="10"/>
  <c r="J131" i="10"/>
  <c r="I138" i="10"/>
  <c r="I94" i="10"/>
  <c r="I28" i="10"/>
  <c r="I116" i="10"/>
  <c r="I6" i="10"/>
  <c r="I105" i="10"/>
  <c r="I83" i="10"/>
  <c r="I39" i="10"/>
  <c r="I72" i="10"/>
  <c r="I50" i="10"/>
  <c r="I149" i="10"/>
  <c r="I127" i="10"/>
  <c r="I17" i="10"/>
  <c r="I61" i="10"/>
  <c r="I102" i="10"/>
  <c r="I14" i="10"/>
  <c r="I36" i="10"/>
  <c r="I146" i="10"/>
  <c r="I157" i="10"/>
  <c r="I135" i="10"/>
  <c r="I91" i="10"/>
  <c r="I58" i="10"/>
  <c r="I47" i="10"/>
  <c r="I113" i="10"/>
  <c r="I69" i="10"/>
  <c r="I124" i="10"/>
  <c r="I80" i="10"/>
  <c r="I25" i="10"/>
  <c r="I8" i="10"/>
  <c r="I140" i="10"/>
  <c r="I63" i="10"/>
  <c r="I96" i="10"/>
  <c r="I19" i="10"/>
  <c r="I41" i="10"/>
  <c r="I129" i="10"/>
  <c r="I107" i="10"/>
  <c r="I74" i="10"/>
  <c r="I151" i="10"/>
  <c r="I30" i="10"/>
  <c r="I52" i="10"/>
  <c r="I118" i="10"/>
  <c r="I85" i="10"/>
  <c r="J73" i="10"/>
  <c r="J106" i="10"/>
  <c r="J62" i="10"/>
  <c r="K40" i="10"/>
  <c r="K51" i="10"/>
  <c r="K106" i="10"/>
  <c r="K117" i="10"/>
  <c r="K73" i="10"/>
  <c r="K7" i="10"/>
  <c r="K128" i="10"/>
  <c r="K150" i="10"/>
  <c r="K139" i="10"/>
  <c r="K84" i="10"/>
  <c r="K29" i="10"/>
  <c r="K95" i="10"/>
  <c r="K18" i="10"/>
  <c r="K62" i="10"/>
  <c r="K144" i="10"/>
  <c r="K67" i="10"/>
  <c r="K122" i="10"/>
  <c r="K155" i="10"/>
  <c r="K56" i="10"/>
  <c r="K78" i="10"/>
  <c r="K89" i="10"/>
  <c r="K12" i="10"/>
  <c r="K45" i="10"/>
  <c r="K111" i="10"/>
  <c r="K34" i="10"/>
  <c r="J93" i="10"/>
  <c r="J115" i="10"/>
  <c r="J60" i="10"/>
  <c r="K148" i="10"/>
  <c r="K115" i="10"/>
  <c r="K49" i="10"/>
  <c r="K71" i="10"/>
  <c r="K16" i="10"/>
  <c r="K93" i="10"/>
  <c r="K27" i="10"/>
  <c r="K82" i="10"/>
  <c r="K104" i="10"/>
  <c r="K137" i="10"/>
  <c r="K126" i="10"/>
  <c r="K60" i="10"/>
  <c r="K38" i="10"/>
  <c r="K5" i="10"/>
  <c r="J13" i="10"/>
  <c r="J134" i="10"/>
  <c r="J79" i="10"/>
  <c r="J63" i="10"/>
  <c r="J8" i="10"/>
  <c r="J151" i="10"/>
  <c r="J30" i="10"/>
  <c r="J69" i="10"/>
  <c r="J58" i="10"/>
  <c r="J102" i="10"/>
  <c r="K102" i="10"/>
  <c r="K80" i="10"/>
  <c r="K146" i="10"/>
  <c r="K25" i="10"/>
  <c r="K14" i="10"/>
  <c r="K135" i="10"/>
  <c r="K69" i="10"/>
  <c r="K58" i="10"/>
  <c r="K113" i="10"/>
  <c r="K36" i="10"/>
  <c r="K47" i="10"/>
  <c r="K91" i="10"/>
  <c r="K157" i="10"/>
  <c r="K124" i="10"/>
  <c r="J10" i="10"/>
  <c r="J142" i="10"/>
  <c r="J54" i="10"/>
  <c r="J76" i="10"/>
  <c r="J17" i="10"/>
  <c r="J127" i="10"/>
  <c r="J72" i="10"/>
  <c r="J61" i="10"/>
  <c r="J152" i="10"/>
  <c r="J9" i="10"/>
  <c r="J75" i="10"/>
  <c r="K141" i="10"/>
  <c r="K9" i="10"/>
  <c r="K64" i="10"/>
  <c r="K42" i="10"/>
  <c r="K152" i="10"/>
  <c r="K119" i="10"/>
  <c r="K130" i="10"/>
  <c r="K53" i="10"/>
  <c r="K20" i="10"/>
  <c r="K108" i="10"/>
  <c r="K31" i="10"/>
  <c r="K86" i="10"/>
  <c r="K97" i="10"/>
  <c r="K75" i="10"/>
  <c r="B163" i="16"/>
  <c r="B164" i="16"/>
  <c r="B10" i="16" s="1"/>
  <c r="B10" i="12" s="1"/>
  <c r="B168" i="16"/>
  <c r="B80" i="16" s="1"/>
  <c r="B80" i="12" s="1"/>
  <c r="B162" i="16"/>
  <c r="K170" i="11"/>
  <c r="K178" i="11"/>
  <c r="K175" i="11"/>
  <c r="K176" i="11"/>
  <c r="K174" i="11"/>
  <c r="K173" i="11"/>
  <c r="K179" i="11"/>
  <c r="J172" i="11"/>
  <c r="J171" i="11"/>
  <c r="I166" i="9"/>
  <c r="I166" i="18" s="1"/>
  <c r="I78" i="18" s="1"/>
  <c r="I78" i="6" s="1"/>
  <c r="B161" i="16"/>
  <c r="B160" i="16"/>
  <c r="B116" i="16" s="1"/>
  <c r="B116" i="12" s="1"/>
  <c r="B159" i="16"/>
  <c r="B167" i="17"/>
  <c r="B163" i="17"/>
  <c r="B168" i="17"/>
  <c r="B153" i="17"/>
  <c r="B153" i="13" s="1"/>
  <c r="B154" i="17"/>
  <c r="B154" i="13" s="1"/>
  <c r="M170" i="11"/>
  <c r="M171" i="11"/>
  <c r="B155" i="16"/>
  <c r="B155" i="12" s="1"/>
  <c r="M177" i="10"/>
  <c r="B122" i="18"/>
  <c r="B122" i="6" s="1"/>
  <c r="B110" i="18"/>
  <c r="B110" i="6" s="1"/>
  <c r="B121" i="18"/>
  <c r="B121" i="6" s="1"/>
  <c r="B154" i="18"/>
  <c r="B154" i="6" s="1"/>
  <c r="B143" i="18"/>
  <c r="B143" i="6" s="1"/>
  <c r="B144" i="16"/>
  <c r="B144" i="12" s="1"/>
  <c r="B34" i="16"/>
  <c r="B34" i="12" s="1"/>
  <c r="B56" i="16"/>
  <c r="B56" i="12" s="1"/>
  <c r="B122" i="16"/>
  <c r="B122" i="12" s="1"/>
  <c r="B89" i="16"/>
  <c r="B89" i="12" s="1"/>
  <c r="B78" i="16"/>
  <c r="B78" i="12" s="1"/>
  <c r="B12" i="16"/>
  <c r="B12" i="12" s="1"/>
  <c r="B67" i="16"/>
  <c r="B67" i="12" s="1"/>
  <c r="B144" i="18"/>
  <c r="B144" i="6" s="1"/>
  <c r="B111" i="16"/>
  <c r="B111" i="12" s="1"/>
  <c r="B45" i="16"/>
  <c r="B45" i="12" s="1"/>
  <c r="B34" i="18"/>
  <c r="B34" i="6" s="1"/>
  <c r="B78" i="18"/>
  <c r="B78" i="6" s="1"/>
  <c r="B171" i="9"/>
  <c r="K127" i="9" s="1"/>
  <c r="B179" i="9"/>
  <c r="J14" i="9" s="1"/>
  <c r="B170" i="9"/>
  <c r="K38" i="9" s="1"/>
  <c r="B173" i="9"/>
  <c r="K63" i="9" s="1"/>
  <c r="B45" i="18"/>
  <c r="B45" i="6" s="1"/>
  <c r="B155" i="18"/>
  <c r="B155" i="6" s="1"/>
  <c r="B12" i="18"/>
  <c r="B12" i="6" s="1"/>
  <c r="B56" i="18"/>
  <c r="B56" i="6" s="1"/>
  <c r="B111" i="18"/>
  <c r="B111" i="6" s="1"/>
  <c r="B178" i="9"/>
  <c r="J145" i="9" s="1"/>
  <c r="B175" i="9"/>
  <c r="J98" i="9" s="1"/>
  <c r="B174" i="9"/>
  <c r="J119" i="9" s="1"/>
  <c r="B172" i="9"/>
  <c r="K84" i="9" s="1"/>
  <c r="B89" i="18"/>
  <c r="B89" i="6" s="1"/>
  <c r="B67" i="18"/>
  <c r="B67" i="6" s="1"/>
  <c r="B150" i="17"/>
  <c r="B150" i="13" s="1"/>
  <c r="B151" i="17"/>
  <c r="B151" i="13" s="1"/>
  <c r="B144" i="17"/>
  <c r="B144" i="13" s="1"/>
  <c r="B155" i="17"/>
  <c r="B155" i="13" s="1"/>
  <c r="B143" i="17"/>
  <c r="B143" i="13" s="1"/>
  <c r="B132" i="17"/>
  <c r="B132" i="13" s="1"/>
  <c r="B127" i="17"/>
  <c r="B127" i="13" s="1"/>
  <c r="B138" i="17"/>
  <c r="B138" i="13" s="1"/>
  <c r="B142" i="17"/>
  <c r="B142" i="13" s="1"/>
  <c r="B131" i="17"/>
  <c r="B131" i="13" s="1"/>
  <c r="B126" i="17"/>
  <c r="B126" i="13" s="1"/>
  <c r="B137" i="17"/>
  <c r="B137" i="13" s="1"/>
  <c r="B111" i="17"/>
  <c r="B111" i="13" s="1"/>
  <c r="B122" i="17"/>
  <c r="B122" i="13" s="1"/>
  <c r="B98" i="17"/>
  <c r="B98" i="13" s="1"/>
  <c r="B109" i="17"/>
  <c r="B109" i="13" s="1"/>
  <c r="B120" i="17"/>
  <c r="B120" i="13" s="1"/>
  <c r="B121" i="17"/>
  <c r="B121" i="13" s="1"/>
  <c r="B110" i="17"/>
  <c r="B110" i="13" s="1"/>
  <c r="B116" i="17"/>
  <c r="B116" i="13" s="1"/>
  <c r="B105" i="17"/>
  <c r="B105" i="13" s="1"/>
  <c r="B104" i="17"/>
  <c r="B104" i="13" s="1"/>
  <c r="B115" i="17"/>
  <c r="B89" i="17"/>
  <c r="B89" i="13" s="1"/>
  <c r="B78" i="17"/>
  <c r="B78" i="13" s="1"/>
  <c r="B88" i="17"/>
  <c r="B88" i="13" s="1"/>
  <c r="B77" i="17"/>
  <c r="B77" i="13" s="1"/>
  <c r="B72" i="17"/>
  <c r="B72" i="13" s="1"/>
  <c r="B83" i="17"/>
  <c r="B83" i="13" s="1"/>
  <c r="B76" i="17"/>
  <c r="B76" i="13" s="1"/>
  <c r="B87" i="17"/>
  <c r="B87" i="13" s="1"/>
  <c r="B82" i="17"/>
  <c r="B71" i="17"/>
  <c r="B45" i="17"/>
  <c r="B45" i="13" s="1"/>
  <c r="B56" i="17"/>
  <c r="B56" i="13" s="1"/>
  <c r="B67" i="17"/>
  <c r="B67" i="13" s="1"/>
  <c r="B44" i="17"/>
  <c r="B44" i="13" s="1"/>
  <c r="B66" i="17"/>
  <c r="B66" i="13" s="1"/>
  <c r="B55" i="17"/>
  <c r="B55" i="13" s="1"/>
  <c r="B39" i="17"/>
  <c r="B39" i="13" s="1"/>
  <c r="B61" i="17"/>
  <c r="B61" i="13" s="1"/>
  <c r="B50" i="17"/>
  <c r="B50" i="13" s="1"/>
  <c r="B43" i="17"/>
  <c r="B43" i="13" s="1"/>
  <c r="B54" i="17"/>
  <c r="B65" i="17"/>
  <c r="B65" i="13" s="1"/>
  <c r="B38" i="17"/>
  <c r="B49" i="17"/>
  <c r="B60" i="17"/>
  <c r="B60" i="13" s="1"/>
  <c r="B28" i="17"/>
  <c r="B28" i="13" s="1"/>
  <c r="B32" i="17"/>
  <c r="B32" i="13" s="1"/>
  <c r="B34" i="17"/>
  <c r="B34" i="13" s="1"/>
  <c r="B33" i="17"/>
  <c r="B33" i="13" s="1"/>
  <c r="B27" i="17"/>
  <c r="B12" i="17"/>
  <c r="B12" i="13" s="1"/>
  <c r="B11" i="17"/>
  <c r="B11" i="13" s="1"/>
  <c r="B6" i="17"/>
  <c r="B6" i="13" s="1"/>
  <c r="B21" i="17"/>
  <c r="B21" i="13" s="1"/>
  <c r="B10" i="17"/>
  <c r="B10" i="13" s="1"/>
  <c r="B5" i="17"/>
  <c r="B5" i="13" s="1"/>
  <c r="B154" i="16"/>
  <c r="B154" i="12" s="1"/>
  <c r="B143" i="16"/>
  <c r="B143" i="12" s="1"/>
  <c r="B132" i="16"/>
  <c r="B132" i="12" s="1"/>
  <c r="B121" i="16"/>
  <c r="B121" i="12" s="1"/>
  <c r="B110" i="16"/>
  <c r="B110" i="12" s="1"/>
  <c r="B88" i="16"/>
  <c r="B88" i="12" s="1"/>
  <c r="B77" i="16"/>
  <c r="B77" i="12" s="1"/>
  <c r="B66" i="16"/>
  <c r="B66" i="12" s="1"/>
  <c r="B55" i="16"/>
  <c r="B55" i="12" s="1"/>
  <c r="B44" i="16"/>
  <c r="B44" i="12" s="1"/>
  <c r="B33" i="16"/>
  <c r="B33" i="12" s="1"/>
  <c r="B11" i="16"/>
  <c r="B11" i="12" s="1"/>
  <c r="B149" i="13"/>
  <c r="B148" i="13"/>
  <c r="B133" i="13"/>
  <c r="B77" i="18"/>
  <c r="B77" i="6" s="1"/>
  <c r="B88" i="18"/>
  <c r="B88" i="6" s="1"/>
  <c r="B55" i="18"/>
  <c r="B55" i="6" s="1"/>
  <c r="B66" i="18"/>
  <c r="B66" i="6" s="1"/>
  <c r="B33" i="18"/>
  <c r="B33" i="6" s="1"/>
  <c r="B44" i="18"/>
  <c r="B44" i="6" s="1"/>
  <c r="B11" i="18"/>
  <c r="B11" i="6" s="1"/>
  <c r="K7" i="9" l="1"/>
  <c r="J58" i="9"/>
  <c r="J112" i="9"/>
  <c r="K83" i="9"/>
  <c r="J142" i="9"/>
  <c r="K128" i="9"/>
  <c r="J43" i="9"/>
  <c r="J157" i="9"/>
  <c r="K49" i="9"/>
  <c r="K61" i="9"/>
  <c r="K29" i="9"/>
  <c r="J153" i="9"/>
  <c r="J135" i="9"/>
  <c r="J24" i="9"/>
  <c r="K16" i="9"/>
  <c r="K17" i="9"/>
  <c r="J120" i="9"/>
  <c r="J69" i="9"/>
  <c r="J46" i="9"/>
  <c r="K149" i="9"/>
  <c r="J42" i="9"/>
  <c r="J152" i="9"/>
  <c r="K151" i="9"/>
  <c r="J38" i="9"/>
  <c r="J93" i="9"/>
  <c r="J137" i="9"/>
  <c r="J5" i="9"/>
  <c r="J82" i="9"/>
  <c r="J104" i="9"/>
  <c r="J126" i="9"/>
  <c r="J49" i="9"/>
  <c r="J16" i="9"/>
  <c r="J60" i="9"/>
  <c r="J71" i="9"/>
  <c r="J27" i="9"/>
  <c r="J115" i="9"/>
  <c r="J148" i="9"/>
  <c r="K150" i="9"/>
  <c r="K62" i="9"/>
  <c r="K117" i="9"/>
  <c r="K40" i="9"/>
  <c r="J65" i="9"/>
  <c r="J109" i="9"/>
  <c r="J87" i="9"/>
  <c r="J91" i="9"/>
  <c r="J47" i="9"/>
  <c r="J80" i="9"/>
  <c r="J25" i="9"/>
  <c r="J13" i="9"/>
  <c r="J68" i="9"/>
  <c r="J123" i="9"/>
  <c r="J64" i="9"/>
  <c r="J31" i="9"/>
  <c r="J53" i="9"/>
  <c r="J130" i="9"/>
  <c r="K5" i="9"/>
  <c r="K27" i="9"/>
  <c r="K148" i="9"/>
  <c r="K105" i="9"/>
  <c r="K28" i="9"/>
  <c r="K6" i="9"/>
  <c r="K39" i="9"/>
  <c r="K52" i="9"/>
  <c r="K118" i="9"/>
  <c r="J107" i="9"/>
  <c r="J41" i="9"/>
  <c r="J52" i="9"/>
  <c r="J63" i="9"/>
  <c r="J140" i="9"/>
  <c r="J96" i="9"/>
  <c r="J85" i="9"/>
  <c r="J30" i="9"/>
  <c r="J118" i="9"/>
  <c r="J19" i="9"/>
  <c r="J129" i="9"/>
  <c r="J151" i="9"/>
  <c r="J74" i="9"/>
  <c r="J8" i="9"/>
  <c r="K153" i="9"/>
  <c r="K98" i="9"/>
  <c r="K131" i="9"/>
  <c r="K87" i="9"/>
  <c r="K43" i="9"/>
  <c r="K54" i="9"/>
  <c r="K76" i="9"/>
  <c r="K109" i="9"/>
  <c r="K142" i="9"/>
  <c r="K65" i="9"/>
  <c r="K120" i="9"/>
  <c r="K32" i="9"/>
  <c r="K10" i="9"/>
  <c r="K21" i="9"/>
  <c r="J108" i="9"/>
  <c r="J75" i="9"/>
  <c r="K107" i="9"/>
  <c r="K156" i="9"/>
  <c r="K145" i="9"/>
  <c r="K134" i="9"/>
  <c r="K123" i="9"/>
  <c r="K112" i="9"/>
  <c r="K79" i="9"/>
  <c r="K68" i="9"/>
  <c r="K46" i="9"/>
  <c r="K90" i="9"/>
  <c r="K101" i="9"/>
  <c r="K24" i="9"/>
  <c r="K57" i="9"/>
  <c r="K13" i="9"/>
  <c r="K35" i="9"/>
  <c r="K106" i="9"/>
  <c r="K139" i="9"/>
  <c r="K95" i="9"/>
  <c r="J21" i="9"/>
  <c r="J76" i="9"/>
  <c r="J131" i="9"/>
  <c r="K166" i="9"/>
  <c r="J102" i="9"/>
  <c r="J146" i="9"/>
  <c r="J36" i="9"/>
  <c r="J35" i="9"/>
  <c r="J90" i="9"/>
  <c r="J79" i="9"/>
  <c r="J134" i="9"/>
  <c r="J141" i="9"/>
  <c r="J97" i="9"/>
  <c r="J9" i="9"/>
  <c r="K93" i="9"/>
  <c r="K137" i="9"/>
  <c r="K126" i="9"/>
  <c r="K60" i="9"/>
  <c r="K50" i="9"/>
  <c r="K72" i="9"/>
  <c r="K74" i="9"/>
  <c r="K8" i="9"/>
  <c r="K129" i="9"/>
  <c r="K19" i="9"/>
  <c r="K25" i="9"/>
  <c r="K157" i="9"/>
  <c r="K14" i="9"/>
  <c r="K36" i="9"/>
  <c r="K80" i="9"/>
  <c r="K58" i="9"/>
  <c r="K113" i="9"/>
  <c r="K146" i="9"/>
  <c r="K47" i="9"/>
  <c r="K102" i="9"/>
  <c r="K91" i="9"/>
  <c r="K69" i="9"/>
  <c r="K124" i="9"/>
  <c r="K135" i="9"/>
  <c r="K41" i="9"/>
  <c r="K9" i="9"/>
  <c r="K53" i="9"/>
  <c r="K75" i="9"/>
  <c r="K20" i="9"/>
  <c r="K97" i="9"/>
  <c r="K31" i="9"/>
  <c r="K42" i="9"/>
  <c r="K86" i="9"/>
  <c r="K130" i="9"/>
  <c r="K152" i="9"/>
  <c r="K119" i="9"/>
  <c r="K141" i="9"/>
  <c r="K64" i="9"/>
  <c r="K108" i="9"/>
  <c r="J84" i="9"/>
  <c r="J18" i="9"/>
  <c r="J150" i="9"/>
  <c r="J51" i="9"/>
  <c r="J95" i="9"/>
  <c r="J73" i="9"/>
  <c r="J128" i="9"/>
  <c r="J40" i="9"/>
  <c r="J106" i="9"/>
  <c r="J139" i="9"/>
  <c r="J7" i="9"/>
  <c r="J29" i="9"/>
  <c r="J117" i="9"/>
  <c r="J62" i="9"/>
  <c r="J149" i="9"/>
  <c r="J17" i="9"/>
  <c r="J61" i="9"/>
  <c r="J83" i="9"/>
  <c r="J6" i="9"/>
  <c r="J116" i="9"/>
  <c r="J138" i="9"/>
  <c r="J94" i="9"/>
  <c r="J28" i="9"/>
  <c r="J127" i="9"/>
  <c r="J72" i="9"/>
  <c r="J50" i="9"/>
  <c r="J39" i="9"/>
  <c r="J105" i="9"/>
  <c r="K11" i="9"/>
  <c r="K154" i="9"/>
  <c r="K143" i="9"/>
  <c r="K121" i="9"/>
  <c r="K110" i="9"/>
  <c r="K88" i="9"/>
  <c r="K77" i="9"/>
  <c r="K66" i="9"/>
  <c r="K55" i="9"/>
  <c r="K44" i="9"/>
  <c r="K33" i="9"/>
  <c r="K51" i="9"/>
  <c r="K18" i="9"/>
  <c r="K73" i="9"/>
  <c r="J32" i="9"/>
  <c r="J10" i="9"/>
  <c r="J54" i="9"/>
  <c r="J124" i="9"/>
  <c r="J113" i="9"/>
  <c r="J57" i="9"/>
  <c r="J101" i="9"/>
  <c r="J156" i="9"/>
  <c r="J86" i="9"/>
  <c r="J20" i="9"/>
  <c r="K115" i="9"/>
  <c r="K71" i="9"/>
  <c r="K104" i="9"/>
  <c r="K82" i="9"/>
  <c r="K94" i="9"/>
  <c r="K138" i="9"/>
  <c r="K116" i="9"/>
  <c r="K30" i="9"/>
  <c r="K85" i="9"/>
  <c r="K96" i="9"/>
  <c r="K140" i="9"/>
  <c r="I12" i="18"/>
  <c r="I12" i="6" s="1"/>
  <c r="I155" i="18"/>
  <c r="I155" i="6" s="1"/>
  <c r="I67" i="18"/>
  <c r="I67" i="6" s="1"/>
  <c r="I34" i="18"/>
  <c r="I34" i="6" s="1"/>
  <c r="I89" i="18"/>
  <c r="I89" i="6" s="1"/>
  <c r="I56" i="18"/>
  <c r="I56" i="6" s="1"/>
  <c r="I111" i="18"/>
  <c r="I111" i="6" s="1"/>
  <c r="I45" i="18"/>
  <c r="I45" i="6" s="1"/>
  <c r="I144" i="18"/>
  <c r="I144" i="6" s="1"/>
  <c r="I122" i="18"/>
  <c r="I122" i="6" s="1"/>
  <c r="B113" i="16"/>
  <c r="B113" i="12" s="1"/>
  <c r="I155" i="17"/>
  <c r="I155" i="13" s="1"/>
  <c r="B32" i="16"/>
  <c r="B32" i="12" s="1"/>
  <c r="B54" i="16"/>
  <c r="B54" i="12" s="1"/>
  <c r="M175" i="10"/>
  <c r="J162" i="11"/>
  <c r="J162" i="17" s="1"/>
  <c r="I168" i="11"/>
  <c r="I168" i="17" s="1"/>
  <c r="J18" i="11"/>
  <c r="J73" i="11"/>
  <c r="J62" i="11"/>
  <c r="J150" i="11"/>
  <c r="J29" i="11"/>
  <c r="J51" i="11"/>
  <c r="J40" i="11"/>
  <c r="J95" i="11"/>
  <c r="J139" i="11"/>
  <c r="J128" i="11"/>
  <c r="J106" i="11"/>
  <c r="J117" i="11"/>
  <c r="J84" i="11"/>
  <c r="J7" i="11"/>
  <c r="K113" i="11"/>
  <c r="K25" i="11"/>
  <c r="K157" i="11"/>
  <c r="K91" i="11"/>
  <c r="K146" i="11"/>
  <c r="K47" i="11"/>
  <c r="K58" i="11"/>
  <c r="K135" i="11"/>
  <c r="K124" i="11"/>
  <c r="K69" i="11"/>
  <c r="K80" i="11"/>
  <c r="K14" i="11"/>
  <c r="K36" i="11"/>
  <c r="K102" i="11"/>
  <c r="K151" i="11"/>
  <c r="K41" i="11"/>
  <c r="K140" i="11"/>
  <c r="K30" i="11"/>
  <c r="K107" i="11"/>
  <c r="K96" i="11"/>
  <c r="K8" i="11"/>
  <c r="K85" i="11"/>
  <c r="K118" i="11"/>
  <c r="K129" i="11"/>
  <c r="K74" i="11"/>
  <c r="K19" i="11"/>
  <c r="K63" i="11"/>
  <c r="K52" i="11"/>
  <c r="I167" i="10"/>
  <c r="J83" i="11"/>
  <c r="J138" i="11"/>
  <c r="J39" i="11"/>
  <c r="J94" i="11"/>
  <c r="J6" i="11"/>
  <c r="J50" i="11"/>
  <c r="J28" i="11"/>
  <c r="J127" i="11"/>
  <c r="J149" i="11"/>
  <c r="J72" i="11"/>
  <c r="J105" i="11"/>
  <c r="J61" i="11"/>
  <c r="J116" i="11"/>
  <c r="J17" i="11"/>
  <c r="J168" i="10"/>
  <c r="J168" i="16" s="1"/>
  <c r="I163" i="11"/>
  <c r="I163" i="17" s="1"/>
  <c r="J168" i="11"/>
  <c r="J168" i="17" s="1"/>
  <c r="K166" i="11"/>
  <c r="K166" i="17" s="1"/>
  <c r="J159" i="11"/>
  <c r="J159" i="17" s="1"/>
  <c r="K143" i="11"/>
  <c r="K121" i="11"/>
  <c r="K77" i="11"/>
  <c r="K55" i="11"/>
  <c r="K110" i="11"/>
  <c r="K154" i="11"/>
  <c r="K44" i="11"/>
  <c r="K66" i="11"/>
  <c r="K88" i="11"/>
  <c r="K33" i="11"/>
  <c r="K11" i="11"/>
  <c r="K153" i="11"/>
  <c r="K10" i="11"/>
  <c r="K76" i="11"/>
  <c r="K87" i="11"/>
  <c r="K21" i="11"/>
  <c r="K142" i="11"/>
  <c r="K32" i="11"/>
  <c r="K43" i="11"/>
  <c r="K109" i="11"/>
  <c r="K131" i="11"/>
  <c r="K65" i="11"/>
  <c r="K54" i="11"/>
  <c r="K98" i="11"/>
  <c r="K120" i="11"/>
  <c r="J163" i="11"/>
  <c r="J163" i="17" s="1"/>
  <c r="I161" i="11"/>
  <c r="I161" i="17" s="1"/>
  <c r="I167" i="11"/>
  <c r="I167" i="17" s="1"/>
  <c r="J164" i="11"/>
  <c r="J164" i="17" s="1"/>
  <c r="J167" i="11"/>
  <c r="J167" i="17" s="1"/>
  <c r="B14" i="16"/>
  <c r="B14" i="12" s="1"/>
  <c r="B135" i="16"/>
  <c r="B135" i="12" s="1"/>
  <c r="K156" i="11"/>
  <c r="K134" i="11"/>
  <c r="K112" i="11"/>
  <c r="K68" i="11"/>
  <c r="K46" i="11"/>
  <c r="K79" i="11"/>
  <c r="K145" i="11"/>
  <c r="K123" i="11"/>
  <c r="K101" i="11"/>
  <c r="K57" i="11"/>
  <c r="K13" i="11"/>
  <c r="K90" i="11"/>
  <c r="K24" i="11"/>
  <c r="K35" i="11"/>
  <c r="J161" i="10"/>
  <c r="J161" i="16" s="1"/>
  <c r="K53" i="11"/>
  <c r="K152" i="11"/>
  <c r="K86" i="11"/>
  <c r="K130" i="11"/>
  <c r="K119" i="11"/>
  <c r="K31" i="11"/>
  <c r="K141" i="11"/>
  <c r="K75" i="11"/>
  <c r="K64" i="11"/>
  <c r="K42" i="11"/>
  <c r="K20" i="11"/>
  <c r="K9" i="11"/>
  <c r="K108" i="11"/>
  <c r="K97" i="11"/>
  <c r="K148" i="11"/>
  <c r="K93" i="11"/>
  <c r="K16" i="11"/>
  <c r="K5" i="11"/>
  <c r="K126" i="11"/>
  <c r="K137" i="11"/>
  <c r="K49" i="11"/>
  <c r="K82" i="11"/>
  <c r="K60" i="11"/>
  <c r="K115" i="11"/>
  <c r="K27" i="11"/>
  <c r="K71" i="11"/>
  <c r="K104" i="11"/>
  <c r="K38" i="11"/>
  <c r="K159" i="10"/>
  <c r="K159" i="16" s="1"/>
  <c r="K166" i="10"/>
  <c r="K166" i="16" s="1"/>
  <c r="K161" i="10"/>
  <c r="K161" i="16" s="1"/>
  <c r="I160" i="11"/>
  <c r="I160" i="17" s="1"/>
  <c r="K168" i="10"/>
  <c r="K168" i="16" s="1"/>
  <c r="J159" i="10"/>
  <c r="J159" i="16" s="1"/>
  <c r="K162" i="10"/>
  <c r="K162" i="16" s="1"/>
  <c r="J163" i="10"/>
  <c r="J163" i="16" s="1"/>
  <c r="I162" i="10"/>
  <c r="I162" i="16" s="1"/>
  <c r="I160" i="10"/>
  <c r="I160" i="16" s="1"/>
  <c r="K143" i="10"/>
  <c r="K121" i="10"/>
  <c r="K77" i="10"/>
  <c r="K55" i="10"/>
  <c r="K154" i="10"/>
  <c r="K110" i="10"/>
  <c r="K44" i="10"/>
  <c r="K66" i="10"/>
  <c r="K88" i="10"/>
  <c r="K33" i="10"/>
  <c r="K11" i="10"/>
  <c r="I163" i="10"/>
  <c r="I163" i="16" s="1"/>
  <c r="K160" i="10"/>
  <c r="K160" i="16" s="1"/>
  <c r="K164" i="10"/>
  <c r="K164" i="16" s="1"/>
  <c r="K163" i="10"/>
  <c r="K163" i="16" s="1"/>
  <c r="J164" i="10"/>
  <c r="J164" i="16" s="1"/>
  <c r="J162" i="10"/>
  <c r="J162" i="16" s="1"/>
  <c r="J167" i="10"/>
  <c r="I168" i="10"/>
  <c r="I168" i="16" s="1"/>
  <c r="I164" i="10"/>
  <c r="I164" i="16" s="1"/>
  <c r="I159" i="10"/>
  <c r="I159" i="16" s="1"/>
  <c r="J160" i="10"/>
  <c r="J160" i="16" s="1"/>
  <c r="K167" i="10"/>
  <c r="I161" i="10"/>
  <c r="I161" i="16" s="1"/>
  <c r="B127" i="16"/>
  <c r="B127" i="12" s="1"/>
  <c r="I131" i="17"/>
  <c r="I131" i="13" s="1"/>
  <c r="I45" i="17"/>
  <c r="I45" i="13" s="1"/>
  <c r="I148" i="17"/>
  <c r="I148" i="13" s="1"/>
  <c r="I126" i="17"/>
  <c r="I98" i="17"/>
  <c r="I98" i="13" s="1"/>
  <c r="I27" i="17"/>
  <c r="I27" i="13" s="1"/>
  <c r="I49" i="17"/>
  <c r="I49" i="13" s="1"/>
  <c r="K172" i="11"/>
  <c r="I43" i="17"/>
  <c r="I43" i="13" s="1"/>
  <c r="I89" i="17"/>
  <c r="I89" i="13" s="1"/>
  <c r="I56" i="17"/>
  <c r="I56" i="13" s="1"/>
  <c r="I78" i="17"/>
  <c r="I78" i="13" s="1"/>
  <c r="I122" i="17"/>
  <c r="I122" i="13" s="1"/>
  <c r="I34" i="17"/>
  <c r="I34" i="13" s="1"/>
  <c r="I67" i="17"/>
  <c r="I67" i="13" s="1"/>
  <c r="I111" i="17"/>
  <c r="I111" i="13" s="1"/>
  <c r="I142" i="17"/>
  <c r="I142" i="13" s="1"/>
  <c r="I76" i="17"/>
  <c r="I76" i="13" s="1"/>
  <c r="I87" i="17"/>
  <c r="I87" i="13" s="1"/>
  <c r="I65" i="17"/>
  <c r="I65" i="13" s="1"/>
  <c r="I109" i="17"/>
  <c r="I109" i="13" s="1"/>
  <c r="I153" i="17"/>
  <c r="I153" i="13" s="1"/>
  <c r="I32" i="17"/>
  <c r="I32" i="13" s="1"/>
  <c r="I54" i="17"/>
  <c r="I54" i="13" s="1"/>
  <c r="I144" i="17"/>
  <c r="I144" i="13" s="1"/>
  <c r="I12" i="17"/>
  <c r="I12" i="13" s="1"/>
  <c r="I21" i="17"/>
  <c r="I21" i="13" s="1"/>
  <c r="I120" i="17"/>
  <c r="I120" i="13" s="1"/>
  <c r="K171" i="11"/>
  <c r="I5" i="17"/>
  <c r="I137" i="17"/>
  <c r="I104" i="17"/>
  <c r="I71" i="17"/>
  <c r="I71" i="13" s="1"/>
  <c r="I38" i="17"/>
  <c r="I115" i="17"/>
  <c r="I82" i="17"/>
  <c r="I145" i="9"/>
  <c r="I123" i="9"/>
  <c r="I79" i="9"/>
  <c r="I156" i="9"/>
  <c r="I112" i="9"/>
  <c r="I46" i="9"/>
  <c r="I134" i="9"/>
  <c r="I68" i="9"/>
  <c r="I35" i="9"/>
  <c r="I90" i="9"/>
  <c r="I101" i="9"/>
  <c r="I13" i="9"/>
  <c r="I24" i="9"/>
  <c r="I57" i="9"/>
  <c r="B124" i="16"/>
  <c r="B124" i="12" s="1"/>
  <c r="I102" i="9"/>
  <c r="I14" i="9"/>
  <c r="I47" i="9"/>
  <c r="I36" i="9"/>
  <c r="I25" i="9"/>
  <c r="I69" i="9"/>
  <c r="I146" i="9"/>
  <c r="I157" i="9"/>
  <c r="I124" i="9"/>
  <c r="I58" i="9"/>
  <c r="I113" i="9"/>
  <c r="I91" i="9"/>
  <c r="I80" i="9"/>
  <c r="I135" i="9"/>
  <c r="B86" i="16"/>
  <c r="B86" i="12" s="1"/>
  <c r="I141" i="9"/>
  <c r="I119" i="9"/>
  <c r="I75" i="9"/>
  <c r="I86" i="9"/>
  <c r="I53" i="9"/>
  <c r="I9" i="9"/>
  <c r="I97" i="9"/>
  <c r="I108" i="9"/>
  <c r="I31" i="9"/>
  <c r="I64" i="9"/>
  <c r="I130" i="9"/>
  <c r="I42" i="9"/>
  <c r="I20" i="9"/>
  <c r="I152" i="9"/>
  <c r="M173" i="10"/>
  <c r="I129" i="9"/>
  <c r="I41" i="9"/>
  <c r="I8" i="9"/>
  <c r="I140" i="9"/>
  <c r="I96" i="9"/>
  <c r="I107" i="9"/>
  <c r="I19" i="9"/>
  <c r="I118" i="9"/>
  <c r="I63" i="9"/>
  <c r="I30" i="9"/>
  <c r="I85" i="9"/>
  <c r="I52" i="9"/>
  <c r="I74" i="9"/>
  <c r="I151" i="9"/>
  <c r="J166" i="18"/>
  <c r="J45" i="18" s="1"/>
  <c r="J45" i="6" s="1"/>
  <c r="M172" i="10"/>
  <c r="I18" i="9"/>
  <c r="I7" i="9"/>
  <c r="I150" i="9"/>
  <c r="I117" i="9"/>
  <c r="I73" i="9"/>
  <c r="I62" i="9"/>
  <c r="I139" i="9"/>
  <c r="I51" i="9"/>
  <c r="I106" i="9"/>
  <c r="I128" i="9"/>
  <c r="I40" i="9"/>
  <c r="I95" i="9"/>
  <c r="I29" i="9"/>
  <c r="I84" i="9"/>
  <c r="I138" i="9"/>
  <c r="I149" i="9"/>
  <c r="I116" i="9"/>
  <c r="I127" i="9"/>
  <c r="I105" i="9"/>
  <c r="I6" i="9"/>
  <c r="I28" i="9"/>
  <c r="I72" i="9"/>
  <c r="I61" i="9"/>
  <c r="I94" i="9"/>
  <c r="I17" i="9"/>
  <c r="I39" i="9"/>
  <c r="I83" i="9"/>
  <c r="I50" i="9"/>
  <c r="B87" i="16"/>
  <c r="B87" i="12" s="1"/>
  <c r="I10" i="9"/>
  <c r="I120" i="9"/>
  <c r="I43" i="9"/>
  <c r="I98" i="9"/>
  <c r="I54" i="9"/>
  <c r="I109" i="9"/>
  <c r="I153" i="9"/>
  <c r="I32" i="9"/>
  <c r="I21" i="9"/>
  <c r="I76" i="9"/>
  <c r="I142" i="9"/>
  <c r="I65" i="9"/>
  <c r="I87" i="9"/>
  <c r="I131" i="9"/>
  <c r="I60" i="9"/>
  <c r="I148" i="9"/>
  <c r="I115" i="9"/>
  <c r="I49" i="9"/>
  <c r="I104" i="9"/>
  <c r="I93" i="9"/>
  <c r="I137" i="9"/>
  <c r="I27" i="9"/>
  <c r="I5" i="9"/>
  <c r="I71" i="9"/>
  <c r="I126" i="9"/>
  <c r="I16" i="9"/>
  <c r="I38" i="9"/>
  <c r="I82" i="9"/>
  <c r="B105" i="16"/>
  <c r="B105" i="12" s="1"/>
  <c r="B83" i="16"/>
  <c r="B83" i="12" s="1"/>
  <c r="B138" i="16"/>
  <c r="B138" i="12" s="1"/>
  <c r="M171" i="10"/>
  <c r="B50" i="16"/>
  <c r="B50" i="12" s="1"/>
  <c r="J122" i="17"/>
  <c r="J122" i="13" s="1"/>
  <c r="B157" i="17"/>
  <c r="B157" i="13" s="1"/>
  <c r="M179" i="11"/>
  <c r="B152" i="17"/>
  <c r="B152" i="13" s="1"/>
  <c r="M174" i="11"/>
  <c r="B156" i="17"/>
  <c r="B156" i="13" s="1"/>
  <c r="M178" i="11"/>
  <c r="B20" i="16"/>
  <c r="B20" i="12" s="1"/>
  <c r="B130" i="16"/>
  <c r="B130" i="12" s="1"/>
  <c r="B97" i="16"/>
  <c r="B97" i="12" s="1"/>
  <c r="B141" i="16"/>
  <c r="B141" i="12" s="1"/>
  <c r="B142" i="16"/>
  <c r="B142" i="12" s="1"/>
  <c r="B21" i="16"/>
  <c r="B21" i="12" s="1"/>
  <c r="B43" i="16"/>
  <c r="B43" i="12" s="1"/>
  <c r="B98" i="16"/>
  <c r="B98" i="12" s="1"/>
  <c r="B149" i="16"/>
  <c r="B149" i="12" s="1"/>
  <c r="B153" i="16"/>
  <c r="B153" i="12" s="1"/>
  <c r="B53" i="16"/>
  <c r="B58" i="16"/>
  <c r="B58" i="12" s="1"/>
  <c r="B25" i="16"/>
  <c r="B25" i="12" s="1"/>
  <c r="B64" i="16"/>
  <c r="B64" i="12" s="1"/>
  <c r="B31" i="16"/>
  <c r="B31" i="12" s="1"/>
  <c r="B6" i="16"/>
  <c r="B6" i="12" s="1"/>
  <c r="B91" i="16"/>
  <c r="B91" i="12" s="1"/>
  <c r="B69" i="16"/>
  <c r="B69" i="12" s="1"/>
  <c r="B131" i="16"/>
  <c r="B131" i="12" s="1"/>
  <c r="B152" i="16"/>
  <c r="B152" i="12" s="1"/>
  <c r="B102" i="16"/>
  <c r="B102" i="12" s="1"/>
  <c r="B134" i="16"/>
  <c r="B68" i="16"/>
  <c r="B68" i="12" s="1"/>
  <c r="B145" i="16"/>
  <c r="B145" i="12" s="1"/>
  <c r="B79" i="16"/>
  <c r="B79" i="12" s="1"/>
  <c r="B156" i="16"/>
  <c r="B156" i="12" s="1"/>
  <c r="B112" i="16"/>
  <c r="B112" i="12" s="1"/>
  <c r="B123" i="16"/>
  <c r="B123" i="12" s="1"/>
  <c r="B46" i="16"/>
  <c r="B46" i="12" s="1"/>
  <c r="B90" i="16"/>
  <c r="B90" i="12" s="1"/>
  <c r="B57" i="16"/>
  <c r="B57" i="12" s="1"/>
  <c r="B35" i="16"/>
  <c r="B35" i="12" s="1"/>
  <c r="B13" i="16"/>
  <c r="B13" i="12" s="1"/>
  <c r="B101" i="16"/>
  <c r="B101" i="12" s="1"/>
  <c r="M178" i="10"/>
  <c r="B120" i="16"/>
  <c r="B120" i="12" s="1"/>
  <c r="B61" i="16"/>
  <c r="B61" i="12" s="1"/>
  <c r="B39" i="16"/>
  <c r="B39" i="12" s="1"/>
  <c r="B108" i="16"/>
  <c r="B108" i="12" s="1"/>
  <c r="B146" i="16"/>
  <c r="B146" i="12" s="1"/>
  <c r="B119" i="16"/>
  <c r="B119" i="12" s="1"/>
  <c r="B47" i="16"/>
  <c r="B47" i="12" s="1"/>
  <c r="B42" i="16"/>
  <c r="B42" i="12" s="1"/>
  <c r="B72" i="16"/>
  <c r="B72" i="12" s="1"/>
  <c r="B109" i="16"/>
  <c r="B109" i="12" s="1"/>
  <c r="M174" i="10"/>
  <c r="M179" i="10"/>
  <c r="B159" i="18"/>
  <c r="B115" i="18" s="1"/>
  <c r="B115" i="6" s="1"/>
  <c r="B9" i="16"/>
  <c r="B9" i="12" s="1"/>
  <c r="B28" i="16"/>
  <c r="B28" i="12" s="1"/>
  <c r="B76" i="16"/>
  <c r="B76" i="12" s="1"/>
  <c r="B65" i="16"/>
  <c r="B65" i="12" s="1"/>
  <c r="B36" i="16"/>
  <c r="B36" i="12" s="1"/>
  <c r="B75" i="16"/>
  <c r="B75" i="12" s="1"/>
  <c r="B157" i="16"/>
  <c r="B157" i="12" s="1"/>
  <c r="B164" i="18"/>
  <c r="B162" i="18"/>
  <c r="B161" i="18"/>
  <c r="B168" i="18"/>
  <c r="B163" i="18"/>
  <c r="B167" i="18"/>
  <c r="B160" i="18"/>
  <c r="B108" i="17"/>
  <c r="B108" i="13" s="1"/>
  <c r="B102" i="17"/>
  <c r="B102" i="13" s="1"/>
  <c r="B141" i="17"/>
  <c r="B141" i="13" s="1"/>
  <c r="B9" i="17"/>
  <c r="B9" i="13" s="1"/>
  <c r="B42" i="17"/>
  <c r="B42" i="13" s="1"/>
  <c r="B69" i="17"/>
  <c r="B69" i="13" s="1"/>
  <c r="B97" i="17"/>
  <c r="B97" i="13" s="1"/>
  <c r="B135" i="17"/>
  <c r="B135" i="13" s="1"/>
  <c r="B130" i="17"/>
  <c r="B130" i="13" s="1"/>
  <c r="B20" i="17"/>
  <c r="B20" i="13" s="1"/>
  <c r="B53" i="17"/>
  <c r="B86" i="17"/>
  <c r="B86" i="13" s="1"/>
  <c r="B119" i="17"/>
  <c r="B119" i="13" s="1"/>
  <c r="B31" i="17"/>
  <c r="B31" i="13" s="1"/>
  <c r="B51" i="17"/>
  <c r="B51" i="13" s="1"/>
  <c r="B64" i="17"/>
  <c r="B64" i="13" s="1"/>
  <c r="B75" i="17"/>
  <c r="B75" i="13" s="1"/>
  <c r="B35" i="17"/>
  <c r="B35" i="13" s="1"/>
  <c r="B25" i="17"/>
  <c r="B25" i="13" s="1"/>
  <c r="B36" i="17"/>
  <c r="B36" i="13" s="1"/>
  <c r="B58" i="17"/>
  <c r="B58" i="13" s="1"/>
  <c r="B80" i="17"/>
  <c r="B80" i="13" s="1"/>
  <c r="B124" i="17"/>
  <c r="B124" i="13" s="1"/>
  <c r="B14" i="17"/>
  <c r="B14" i="13" s="1"/>
  <c r="B91" i="17"/>
  <c r="B91" i="13" s="1"/>
  <c r="B113" i="17"/>
  <c r="B113" i="13" s="1"/>
  <c r="B47" i="17"/>
  <c r="B47" i="13" s="1"/>
  <c r="B46" i="17"/>
  <c r="B46" i="13" s="1"/>
  <c r="B101" i="17"/>
  <c r="B101" i="13" s="1"/>
  <c r="B146" i="17"/>
  <c r="B146" i="13" s="1"/>
  <c r="B57" i="17"/>
  <c r="B57" i="13" s="1"/>
  <c r="B79" i="17"/>
  <c r="B79" i="13" s="1"/>
  <c r="B145" i="17"/>
  <c r="B145" i="13" s="1"/>
  <c r="B112" i="17"/>
  <c r="B112" i="13" s="1"/>
  <c r="B13" i="17"/>
  <c r="B13" i="13" s="1"/>
  <c r="B68" i="17"/>
  <c r="B68" i="13" s="1"/>
  <c r="B90" i="17"/>
  <c r="B90" i="13" s="1"/>
  <c r="B123" i="17"/>
  <c r="B123" i="13" s="1"/>
  <c r="B134" i="17"/>
  <c r="B118" i="17"/>
  <c r="B118" i="13" s="1"/>
  <c r="B115" i="13"/>
  <c r="B139" i="17"/>
  <c r="B139" i="13" s="1"/>
  <c r="B74" i="17"/>
  <c r="B74" i="13" s="1"/>
  <c r="B140" i="17"/>
  <c r="B140" i="13" s="1"/>
  <c r="B40" i="17"/>
  <c r="B40" i="13" s="1"/>
  <c r="B38" i="13"/>
  <c r="B84" i="17"/>
  <c r="B84" i="13" s="1"/>
  <c r="B82" i="13"/>
  <c r="B106" i="17"/>
  <c r="B106" i="13" s="1"/>
  <c r="B129" i="17"/>
  <c r="B129" i="13" s="1"/>
  <c r="B128" i="17"/>
  <c r="B128" i="13" s="1"/>
  <c r="B49" i="13"/>
  <c r="B117" i="17"/>
  <c r="B117" i="13" s="1"/>
  <c r="B71" i="13"/>
  <c r="B73" i="17"/>
  <c r="B73" i="13" s="1"/>
  <c r="B107" i="17"/>
  <c r="B107" i="13" s="1"/>
  <c r="B30" i="17"/>
  <c r="B30" i="13" s="1"/>
  <c r="B52" i="17"/>
  <c r="B52" i="13" s="1"/>
  <c r="B63" i="17"/>
  <c r="B63" i="13" s="1"/>
  <c r="B41" i="17"/>
  <c r="B41" i="13" s="1"/>
  <c r="B85" i="17"/>
  <c r="B85" i="13" s="1"/>
  <c r="B27" i="13"/>
  <c r="B62" i="17"/>
  <c r="B62" i="13" s="1"/>
  <c r="B8" i="17"/>
  <c r="B8" i="13" s="1"/>
  <c r="B7" i="17"/>
  <c r="B7" i="13" s="1"/>
  <c r="B29" i="17"/>
  <c r="B29" i="13" s="1"/>
  <c r="B54" i="13"/>
  <c r="B164" i="13" s="1"/>
  <c r="J168" i="9" l="1"/>
  <c r="K161" i="9"/>
  <c r="K164" i="9"/>
  <c r="J164" i="9"/>
  <c r="K162" i="9"/>
  <c r="J162" i="9"/>
  <c r="J163" i="9"/>
  <c r="J160" i="9"/>
  <c r="J161" i="9"/>
  <c r="K163" i="9"/>
  <c r="K167" i="9"/>
  <c r="K160" i="9"/>
  <c r="J167" i="9"/>
  <c r="J159" i="9"/>
  <c r="K168" i="9"/>
  <c r="K159" i="9"/>
  <c r="J144" i="18"/>
  <c r="J144" i="6" s="1"/>
  <c r="J89" i="18"/>
  <c r="J89" i="6" s="1"/>
  <c r="J67" i="18"/>
  <c r="J67" i="6" s="1"/>
  <c r="J111" i="18"/>
  <c r="J111" i="6" s="1"/>
  <c r="J34" i="18"/>
  <c r="J34" i="6" s="1"/>
  <c r="J122" i="18"/>
  <c r="J122" i="6" s="1"/>
  <c r="J78" i="18"/>
  <c r="J78" i="6" s="1"/>
  <c r="J155" i="18"/>
  <c r="J155" i="6" s="1"/>
  <c r="J12" i="18"/>
  <c r="J12" i="6" s="1"/>
  <c r="J56" i="18"/>
  <c r="J56" i="6" s="1"/>
  <c r="I157" i="17"/>
  <c r="I157" i="13" s="1"/>
  <c r="I141" i="17"/>
  <c r="I134" i="17"/>
  <c r="I134" i="13" s="1"/>
  <c r="J131" i="17"/>
  <c r="J131" i="13" s="1"/>
  <c r="I83" i="17"/>
  <c r="I83" i="13" s="1"/>
  <c r="I39" i="17"/>
  <c r="I39" i="13" s="1"/>
  <c r="I61" i="17"/>
  <c r="I61" i="13" s="1"/>
  <c r="K138" i="11"/>
  <c r="K39" i="11"/>
  <c r="K94" i="11"/>
  <c r="K149" i="11"/>
  <c r="K116" i="11"/>
  <c r="K105" i="11"/>
  <c r="K28" i="11"/>
  <c r="K83" i="11"/>
  <c r="K6" i="11"/>
  <c r="K72" i="11"/>
  <c r="K61" i="11"/>
  <c r="K50" i="11"/>
  <c r="K127" i="11"/>
  <c r="K17" i="11"/>
  <c r="K164" i="11"/>
  <c r="K164" i="17" s="1"/>
  <c r="J160" i="11"/>
  <c r="J160" i="17" s="1"/>
  <c r="K7" i="11"/>
  <c r="K51" i="11"/>
  <c r="K95" i="11"/>
  <c r="K139" i="11"/>
  <c r="K84" i="11"/>
  <c r="K150" i="11"/>
  <c r="K62" i="11"/>
  <c r="K128" i="11"/>
  <c r="K18" i="11"/>
  <c r="K40" i="11"/>
  <c r="K29" i="11"/>
  <c r="K73" i="11"/>
  <c r="K117" i="11"/>
  <c r="K106" i="11"/>
  <c r="K163" i="11"/>
  <c r="K163" i="17" s="1"/>
  <c r="K167" i="11"/>
  <c r="K167" i="17" s="1"/>
  <c r="K168" i="11"/>
  <c r="K168" i="17" s="1"/>
  <c r="J161" i="11"/>
  <c r="J161" i="17" s="1"/>
  <c r="K159" i="11"/>
  <c r="K159" i="17" s="1"/>
  <c r="K162" i="11"/>
  <c r="K162" i="17" s="1"/>
  <c r="I6" i="17"/>
  <c r="I6" i="13" s="1"/>
  <c r="I105" i="17"/>
  <c r="I105" i="13" s="1"/>
  <c r="I72" i="17"/>
  <c r="I72" i="13" s="1"/>
  <c r="I116" i="17"/>
  <c r="I116" i="13" s="1"/>
  <c r="I50" i="17"/>
  <c r="I50" i="13" s="1"/>
  <c r="I127" i="17"/>
  <c r="I129" i="17" s="1"/>
  <c r="I149" i="17"/>
  <c r="I149" i="13" s="1"/>
  <c r="I138" i="17"/>
  <c r="I138" i="13" s="1"/>
  <c r="I28" i="17"/>
  <c r="I28" i="13" s="1"/>
  <c r="J34" i="17"/>
  <c r="J34" i="13" s="1"/>
  <c r="I53" i="17"/>
  <c r="I130" i="17"/>
  <c r="I64" i="17"/>
  <c r="I164" i="13"/>
  <c r="I31" i="17"/>
  <c r="J153" i="17"/>
  <c r="J153" i="13" s="1"/>
  <c r="J109" i="17"/>
  <c r="J109" i="13" s="1"/>
  <c r="J65" i="17"/>
  <c r="J65" i="13" s="1"/>
  <c r="J142" i="17"/>
  <c r="J142" i="13" s="1"/>
  <c r="J10" i="17"/>
  <c r="J10" i="13" s="1"/>
  <c r="J32" i="17"/>
  <c r="J32" i="13" s="1"/>
  <c r="I36" i="17"/>
  <c r="I36" i="13" s="1"/>
  <c r="I38" i="13"/>
  <c r="I146" i="17"/>
  <c r="I146" i="13" s="1"/>
  <c r="I79" i="17"/>
  <c r="I79" i="13" s="1"/>
  <c r="I14" i="17"/>
  <c r="I14" i="13" s="1"/>
  <c r="I115" i="13"/>
  <c r="I97" i="17"/>
  <c r="J67" i="17"/>
  <c r="J67" i="13" s="1"/>
  <c r="I104" i="13"/>
  <c r="J111" i="17"/>
  <c r="J111" i="13" s="1"/>
  <c r="I46" i="17"/>
  <c r="I46" i="13" s="1"/>
  <c r="I75" i="17"/>
  <c r="I80" i="17"/>
  <c r="I80" i="13" s="1"/>
  <c r="I57" i="17"/>
  <c r="I57" i="13" s="1"/>
  <c r="I152" i="17"/>
  <c r="J98" i="17"/>
  <c r="J98" i="13" s="1"/>
  <c r="J56" i="17"/>
  <c r="J56" i="13" s="1"/>
  <c r="I82" i="13"/>
  <c r="I86" i="17"/>
  <c r="I69" i="17"/>
  <c r="I69" i="13" s="1"/>
  <c r="J21" i="17"/>
  <c r="J21" i="13" s="1"/>
  <c r="J12" i="17"/>
  <c r="J12" i="13" s="1"/>
  <c r="I108" i="17"/>
  <c r="I58" i="17"/>
  <c r="I58" i="13" s="1"/>
  <c r="J76" i="17"/>
  <c r="J76" i="13" s="1"/>
  <c r="J45" i="17"/>
  <c r="J45" i="13" s="1"/>
  <c r="I145" i="17"/>
  <c r="I145" i="13" s="1"/>
  <c r="I20" i="17"/>
  <c r="I124" i="17"/>
  <c r="I124" i="13" s="1"/>
  <c r="J120" i="17"/>
  <c r="J120" i="13" s="1"/>
  <c r="I42" i="17"/>
  <c r="I102" i="17"/>
  <c r="I102" i="13" s="1"/>
  <c r="J43" i="17"/>
  <c r="J43" i="13" s="1"/>
  <c r="J144" i="17"/>
  <c r="J144" i="13" s="1"/>
  <c r="I5" i="13"/>
  <c r="I135" i="17"/>
  <c r="I135" i="13" s="1"/>
  <c r="I47" i="17"/>
  <c r="I47" i="13" s="1"/>
  <c r="I119" i="17"/>
  <c r="I25" i="17"/>
  <c r="I25" i="13" s="1"/>
  <c r="J89" i="17"/>
  <c r="J89" i="13" s="1"/>
  <c r="J155" i="17"/>
  <c r="J155" i="13" s="1"/>
  <c r="I113" i="17"/>
  <c r="I113" i="13" s="1"/>
  <c r="J54" i="17"/>
  <c r="J54" i="13" s="1"/>
  <c r="J78" i="17"/>
  <c r="J78" i="13" s="1"/>
  <c r="I137" i="13"/>
  <c r="I9" i="17"/>
  <c r="I91" i="17"/>
  <c r="I91" i="13" s="1"/>
  <c r="J87" i="17"/>
  <c r="J87" i="13" s="1"/>
  <c r="I167" i="9"/>
  <c r="I167" i="18" s="1"/>
  <c r="I156" i="18" s="1"/>
  <c r="I163" i="9"/>
  <c r="I163" i="18" s="1"/>
  <c r="I31" i="18" s="1"/>
  <c r="I164" i="9"/>
  <c r="I164" i="18" s="1"/>
  <c r="I131" i="18" s="1"/>
  <c r="I131" i="6" s="1"/>
  <c r="I161" i="9"/>
  <c r="I161" i="18" s="1"/>
  <c r="I162" i="9"/>
  <c r="I162" i="18" s="1"/>
  <c r="I159" i="9"/>
  <c r="I159" i="18" s="1"/>
  <c r="I82" i="18" s="1"/>
  <c r="I160" i="9"/>
  <c r="I160" i="18" s="1"/>
  <c r="I39" i="18" s="1"/>
  <c r="I39" i="6" s="1"/>
  <c r="I168" i="9"/>
  <c r="I168" i="18" s="1"/>
  <c r="I157" i="18" s="1"/>
  <c r="I157" i="6" s="1"/>
  <c r="J131" i="16"/>
  <c r="J131" i="12" s="1"/>
  <c r="J120" i="16"/>
  <c r="J120" i="12" s="1"/>
  <c r="J89" i="16"/>
  <c r="J89" i="12" s="1"/>
  <c r="J54" i="16"/>
  <c r="J54" i="12" s="1"/>
  <c r="J109" i="16"/>
  <c r="J109" i="12" s="1"/>
  <c r="J34" i="16"/>
  <c r="J34" i="12" s="1"/>
  <c r="J56" i="16"/>
  <c r="J56" i="12" s="1"/>
  <c r="J32" i="16"/>
  <c r="J32" i="12" s="1"/>
  <c r="J12" i="16"/>
  <c r="J12" i="12" s="1"/>
  <c r="J21" i="16"/>
  <c r="J21" i="12" s="1"/>
  <c r="J98" i="16"/>
  <c r="J98" i="12" s="1"/>
  <c r="J145" i="16"/>
  <c r="J145" i="12" s="1"/>
  <c r="J123" i="16"/>
  <c r="J123" i="12" s="1"/>
  <c r="J79" i="16"/>
  <c r="J79" i="12" s="1"/>
  <c r="J156" i="16"/>
  <c r="J156" i="12" s="1"/>
  <c r="J134" i="16"/>
  <c r="J134" i="12" s="1"/>
  <c r="J112" i="16"/>
  <c r="J112" i="12" s="1"/>
  <c r="J68" i="16"/>
  <c r="J68" i="12" s="1"/>
  <c r="J46" i="16"/>
  <c r="J46" i="12" s="1"/>
  <c r="J90" i="16"/>
  <c r="J90" i="12" s="1"/>
  <c r="J57" i="16"/>
  <c r="J57" i="12" s="1"/>
  <c r="J35" i="16"/>
  <c r="J35" i="12" s="1"/>
  <c r="J13" i="16"/>
  <c r="J13" i="12" s="1"/>
  <c r="J101" i="16"/>
  <c r="J101" i="12" s="1"/>
  <c r="J45" i="16"/>
  <c r="J45" i="12" s="1"/>
  <c r="J60" i="17"/>
  <c r="B53" i="12"/>
  <c r="M170" i="9"/>
  <c r="B148" i="18"/>
  <c r="B148" i="6" s="1"/>
  <c r="B82" i="18"/>
  <c r="B82" i="6" s="1"/>
  <c r="B5" i="18"/>
  <c r="B5" i="6" s="1"/>
  <c r="B137" i="18"/>
  <c r="B137" i="6" s="1"/>
  <c r="B60" i="18"/>
  <c r="B60" i="6" s="1"/>
  <c r="B49" i="18"/>
  <c r="B49" i="6" s="1"/>
  <c r="B38" i="18"/>
  <c r="B38" i="6" s="1"/>
  <c r="B126" i="18"/>
  <c r="B126" i="6" s="1"/>
  <c r="B137" i="16"/>
  <c r="B38" i="16"/>
  <c r="B126" i="16"/>
  <c r="B5" i="16"/>
  <c r="M170" i="10"/>
  <c r="B82" i="16"/>
  <c r="B148" i="16"/>
  <c r="B71" i="16"/>
  <c r="B115" i="16"/>
  <c r="B49" i="16"/>
  <c r="B27" i="16"/>
  <c r="B104" i="16"/>
  <c r="B60" i="16"/>
  <c r="B101" i="18"/>
  <c r="B101" i="6" s="1"/>
  <c r="M178" i="9"/>
  <c r="B151" i="18"/>
  <c r="B151" i="6" s="1"/>
  <c r="M173" i="9"/>
  <c r="B50" i="18"/>
  <c r="B50" i="6" s="1"/>
  <c r="M171" i="9"/>
  <c r="B97" i="18"/>
  <c r="B97" i="6" s="1"/>
  <c r="M174" i="9"/>
  <c r="B128" i="18"/>
  <c r="B128" i="6" s="1"/>
  <c r="M172" i="9"/>
  <c r="B98" i="18"/>
  <c r="B98" i="6" s="1"/>
  <c r="M175" i="9"/>
  <c r="B102" i="18"/>
  <c r="B102" i="6" s="1"/>
  <c r="M179" i="9"/>
  <c r="B62" i="18"/>
  <c r="B62" i="6" s="1"/>
  <c r="B131" i="18"/>
  <c r="B131" i="6" s="1"/>
  <c r="B106" i="18"/>
  <c r="B106" i="6" s="1"/>
  <c r="B39" i="18"/>
  <c r="B39" i="6" s="1"/>
  <c r="B152" i="18"/>
  <c r="B152" i="6" s="1"/>
  <c r="B9" i="18"/>
  <c r="B9" i="6" s="1"/>
  <c r="B119" i="18"/>
  <c r="B119" i="6" s="1"/>
  <c r="B61" i="18"/>
  <c r="B61" i="6" s="1"/>
  <c r="B75" i="18"/>
  <c r="B75" i="6" s="1"/>
  <c r="B139" i="18"/>
  <c r="B139" i="6" s="1"/>
  <c r="B8" i="18"/>
  <c r="B8" i="6" s="1"/>
  <c r="B68" i="18"/>
  <c r="B68" i="6" s="1"/>
  <c r="B118" i="18"/>
  <c r="B118" i="6" s="1"/>
  <c r="B157" i="18"/>
  <c r="B157" i="6" s="1"/>
  <c r="B14" i="18"/>
  <c r="B14" i="6" s="1"/>
  <c r="B30" i="18"/>
  <c r="B30" i="6" s="1"/>
  <c r="B74" i="18"/>
  <c r="B74" i="6" s="1"/>
  <c r="B146" i="18"/>
  <c r="B146" i="6" s="1"/>
  <c r="B41" i="18"/>
  <c r="B41" i="6" s="1"/>
  <c r="B123" i="18"/>
  <c r="B123" i="6" s="1"/>
  <c r="B156" i="18"/>
  <c r="B156" i="6" s="1"/>
  <c r="B63" i="18"/>
  <c r="B63" i="6" s="1"/>
  <c r="B52" i="18"/>
  <c r="B52" i="6" s="1"/>
  <c r="B113" i="18"/>
  <c r="B113" i="6" s="1"/>
  <c r="B85" i="18"/>
  <c r="B85" i="6" s="1"/>
  <c r="B90" i="18"/>
  <c r="B90" i="6" s="1"/>
  <c r="B46" i="18"/>
  <c r="B46" i="6" s="1"/>
  <c r="B36" i="18"/>
  <c r="B36" i="6" s="1"/>
  <c r="B145" i="18"/>
  <c r="B145" i="6" s="1"/>
  <c r="B25" i="18"/>
  <c r="B25" i="6" s="1"/>
  <c r="B13" i="18"/>
  <c r="B13" i="6" s="1"/>
  <c r="B47" i="18"/>
  <c r="B47" i="6" s="1"/>
  <c r="B58" i="18"/>
  <c r="B58" i="6" s="1"/>
  <c r="B69" i="18"/>
  <c r="B69" i="6" s="1"/>
  <c r="B135" i="18"/>
  <c r="B135" i="6" s="1"/>
  <c r="B57" i="18"/>
  <c r="B57" i="6" s="1"/>
  <c r="B107" i="18"/>
  <c r="B107" i="6" s="1"/>
  <c r="B140" i="18"/>
  <c r="B140" i="6" s="1"/>
  <c r="B79" i="18"/>
  <c r="B79" i="6" s="1"/>
  <c r="B129" i="18"/>
  <c r="B129" i="6" s="1"/>
  <c r="B80" i="18"/>
  <c r="B80" i="6" s="1"/>
  <c r="B53" i="13"/>
  <c r="B163" i="13" s="1"/>
  <c r="B105" i="18"/>
  <c r="B105" i="6" s="1"/>
  <c r="B120" i="18"/>
  <c r="B120" i="6" s="1"/>
  <c r="B7" i="18"/>
  <c r="B7" i="6" s="1"/>
  <c r="B31" i="18"/>
  <c r="B31" i="6" s="1"/>
  <c r="B117" i="18"/>
  <c r="B117" i="6" s="1"/>
  <c r="B150" i="18"/>
  <c r="B150" i="6" s="1"/>
  <c r="B51" i="18"/>
  <c r="B51" i="6" s="1"/>
  <c r="B64" i="18"/>
  <c r="B64" i="6" s="1"/>
  <c r="B127" i="18"/>
  <c r="B127" i="6" s="1"/>
  <c r="B21" i="18"/>
  <c r="B21" i="6" s="1"/>
  <c r="B43" i="18"/>
  <c r="B43" i="6" s="1"/>
  <c r="B138" i="18"/>
  <c r="B138" i="6" s="1"/>
  <c r="B149" i="18"/>
  <c r="B149" i="6" s="1"/>
  <c r="B116" i="18"/>
  <c r="B116" i="6" s="1"/>
  <c r="B72" i="18"/>
  <c r="B72" i="6" s="1"/>
  <c r="B6" i="18"/>
  <c r="B6" i="6" s="1"/>
  <c r="B142" i="18"/>
  <c r="B142" i="6" s="1"/>
  <c r="B65" i="18"/>
  <c r="B65" i="6" s="1"/>
  <c r="B10" i="18"/>
  <c r="B10" i="6" s="1"/>
  <c r="B91" i="18"/>
  <c r="B91" i="6" s="1"/>
  <c r="B124" i="18"/>
  <c r="B124" i="6" s="1"/>
  <c r="B87" i="18"/>
  <c r="B87" i="6" s="1"/>
  <c r="B112" i="18"/>
  <c r="B112" i="6" s="1"/>
  <c r="B42" i="18"/>
  <c r="B42" i="6" s="1"/>
  <c r="B53" i="18"/>
  <c r="B20" i="18"/>
  <c r="B20" i="6" s="1"/>
  <c r="B134" i="18"/>
  <c r="B130" i="18"/>
  <c r="B130" i="6" s="1"/>
  <c r="B109" i="18"/>
  <c r="B109" i="6" s="1"/>
  <c r="B84" i="18"/>
  <c r="B84" i="6" s="1"/>
  <c r="B35" i="18"/>
  <c r="B35" i="6" s="1"/>
  <c r="B73" i="18"/>
  <c r="B73" i="6" s="1"/>
  <c r="B141" i="18"/>
  <c r="B141" i="6" s="1"/>
  <c r="B83" i="18"/>
  <c r="B83" i="6" s="1"/>
  <c r="B108" i="18"/>
  <c r="B108" i="6" s="1"/>
  <c r="B28" i="18"/>
  <c r="B28" i="6" s="1"/>
  <c r="B76" i="18"/>
  <c r="B76" i="6" s="1"/>
  <c r="B32" i="18"/>
  <c r="B32" i="6" s="1"/>
  <c r="B153" i="18"/>
  <c r="B153" i="6" s="1"/>
  <c r="B86" i="18"/>
  <c r="B86" i="6" s="1"/>
  <c r="B29" i="18"/>
  <c r="B29" i="6" s="1"/>
  <c r="B54" i="18"/>
  <c r="B54" i="6" s="1"/>
  <c r="B40" i="18"/>
  <c r="B40" i="6" s="1"/>
  <c r="B168" i="13"/>
  <c r="B104" i="18"/>
  <c r="B104" i="6" s="1"/>
  <c r="B71" i="18"/>
  <c r="B71" i="6" s="1"/>
  <c r="B27" i="18"/>
  <c r="B27" i="6" s="1"/>
  <c r="B168" i="12"/>
  <c r="B164" i="12"/>
  <c r="I30" i="17" l="1"/>
  <c r="I30" i="13" s="1"/>
  <c r="I62" i="17"/>
  <c r="I62" i="13" s="1"/>
  <c r="I84" i="17"/>
  <c r="I84" i="13" s="1"/>
  <c r="I63" i="17"/>
  <c r="I63" i="13" s="1"/>
  <c r="I35" i="18"/>
  <c r="I35" i="6" s="1"/>
  <c r="I116" i="18"/>
  <c r="I116" i="6" s="1"/>
  <c r="I134" i="18"/>
  <c r="I135" i="18"/>
  <c r="I135" i="6" s="1"/>
  <c r="I65" i="18"/>
  <c r="I65" i="6" s="1"/>
  <c r="I91" i="18"/>
  <c r="I91" i="6" s="1"/>
  <c r="I149" i="18"/>
  <c r="I149" i="6" s="1"/>
  <c r="I68" i="18"/>
  <c r="I68" i="6" s="1"/>
  <c r="I90" i="18"/>
  <c r="I90" i="6" s="1"/>
  <c r="I102" i="18"/>
  <c r="I102" i="6" s="1"/>
  <c r="I10" i="18"/>
  <c r="I10" i="6" s="1"/>
  <c r="I153" i="18"/>
  <c r="I153" i="6" s="1"/>
  <c r="I138" i="18"/>
  <c r="I138" i="6" s="1"/>
  <c r="I113" i="18"/>
  <c r="I113" i="6" s="1"/>
  <c r="I120" i="18"/>
  <c r="I120" i="6" s="1"/>
  <c r="I124" i="18"/>
  <c r="I124" i="6" s="1"/>
  <c r="I82" i="6"/>
  <c r="I156" i="6"/>
  <c r="I134" i="6"/>
  <c r="I115" i="18"/>
  <c r="I14" i="18"/>
  <c r="I14" i="6" s="1"/>
  <c r="I75" i="18"/>
  <c r="I6" i="18"/>
  <c r="I6" i="6" s="1"/>
  <c r="I142" i="18"/>
  <c r="I142" i="6" s="1"/>
  <c r="I38" i="18"/>
  <c r="I38" i="6" s="1"/>
  <c r="I25" i="18"/>
  <c r="I25" i="6" s="1"/>
  <c r="I83" i="18"/>
  <c r="I83" i="6" s="1"/>
  <c r="I57" i="18"/>
  <c r="I57" i="6" s="1"/>
  <c r="I86" i="18"/>
  <c r="I28" i="18"/>
  <c r="I28" i="6" s="1"/>
  <c r="I148" i="18"/>
  <c r="I80" i="18"/>
  <c r="I80" i="6" s="1"/>
  <c r="I76" i="18"/>
  <c r="I76" i="6" s="1"/>
  <c r="I101" i="18"/>
  <c r="I101" i="6" s="1"/>
  <c r="I141" i="18"/>
  <c r="I127" i="18"/>
  <c r="I54" i="18"/>
  <c r="I54" i="6" s="1"/>
  <c r="I137" i="18"/>
  <c r="I137" i="6" s="1"/>
  <c r="I9" i="18"/>
  <c r="I13" i="18"/>
  <c r="I13" i="6" s="1"/>
  <c r="I145" i="18"/>
  <c r="I145" i="6" s="1"/>
  <c r="I69" i="18"/>
  <c r="I69" i="6" s="1"/>
  <c r="I97" i="18"/>
  <c r="I50" i="18"/>
  <c r="I50" i="6" s="1"/>
  <c r="I60" i="18"/>
  <c r="I119" i="18"/>
  <c r="I109" i="18"/>
  <c r="I109" i="6" s="1"/>
  <c r="I123" i="18"/>
  <c r="I123" i="6" s="1"/>
  <c r="I47" i="18"/>
  <c r="I47" i="6" s="1"/>
  <c r="I108" i="18"/>
  <c r="I98" i="18"/>
  <c r="I98" i="6" s="1"/>
  <c r="I71" i="18"/>
  <c r="I64" i="18"/>
  <c r="I27" i="18"/>
  <c r="I27" i="6" s="1"/>
  <c r="I36" i="18"/>
  <c r="I36" i="6" s="1"/>
  <c r="I53" i="18"/>
  <c r="I72" i="18"/>
  <c r="I72" i="6" s="1"/>
  <c r="I21" i="18"/>
  <c r="I21" i="6" s="1"/>
  <c r="I126" i="18"/>
  <c r="I61" i="18"/>
  <c r="I61" i="6" s="1"/>
  <c r="I5" i="18"/>
  <c r="I20" i="18"/>
  <c r="I112" i="18"/>
  <c r="I112" i="6" s="1"/>
  <c r="I58" i="18"/>
  <c r="I58" i="6" s="1"/>
  <c r="I130" i="18"/>
  <c r="I43" i="18"/>
  <c r="I43" i="6" s="1"/>
  <c r="I104" i="18"/>
  <c r="I152" i="18"/>
  <c r="I49" i="18"/>
  <c r="I46" i="18"/>
  <c r="I46" i="6" s="1"/>
  <c r="I146" i="18"/>
  <c r="I146" i="6" s="1"/>
  <c r="I42" i="18"/>
  <c r="I32" i="18"/>
  <c r="I32" i="6" s="1"/>
  <c r="I105" i="18"/>
  <c r="I105" i="6" s="1"/>
  <c r="I79" i="18"/>
  <c r="I79" i="6" s="1"/>
  <c r="I87" i="18"/>
  <c r="I87" i="6" s="1"/>
  <c r="I85" i="17"/>
  <c r="I85" i="13" s="1"/>
  <c r="I13" i="17"/>
  <c r="I13" i="13" s="1"/>
  <c r="I112" i="17"/>
  <c r="I112" i="13" s="1"/>
  <c r="I35" i="17"/>
  <c r="I35" i="13" s="1"/>
  <c r="I90" i="17"/>
  <c r="I90" i="13" s="1"/>
  <c r="I123" i="17"/>
  <c r="I123" i="13" s="1"/>
  <c r="I156" i="17"/>
  <c r="I156" i="13" s="1"/>
  <c r="I41" i="17"/>
  <c r="I41" i="13" s="1"/>
  <c r="I68" i="17"/>
  <c r="I68" i="13" s="1"/>
  <c r="I101" i="17"/>
  <c r="I101" i="13" s="1"/>
  <c r="I40" i="17"/>
  <c r="I40" i="13" s="1"/>
  <c r="J116" i="17"/>
  <c r="J116" i="13" s="1"/>
  <c r="I51" i="17"/>
  <c r="I51" i="13" s="1"/>
  <c r="K161" i="11"/>
  <c r="K161" i="17" s="1"/>
  <c r="K160" i="11"/>
  <c r="K160" i="17" s="1"/>
  <c r="I8" i="17"/>
  <c r="I8" i="13" s="1"/>
  <c r="I52" i="17"/>
  <c r="I52" i="13" s="1"/>
  <c r="I29" i="17"/>
  <c r="I29" i="13" s="1"/>
  <c r="I107" i="17"/>
  <c r="I107" i="13" s="1"/>
  <c r="I106" i="17"/>
  <c r="I106" i="13" s="1"/>
  <c r="I7" i="17"/>
  <c r="I7" i="13" s="1"/>
  <c r="I128" i="17"/>
  <c r="I127" i="13" s="1"/>
  <c r="I151" i="17"/>
  <c r="I151" i="13" s="1"/>
  <c r="I139" i="17"/>
  <c r="I139" i="13" s="1"/>
  <c r="I140" i="17"/>
  <c r="I140" i="13" s="1"/>
  <c r="I73" i="17"/>
  <c r="I73" i="13" s="1"/>
  <c r="I118" i="17"/>
  <c r="I118" i="13" s="1"/>
  <c r="I150" i="17"/>
  <c r="I150" i="13" s="1"/>
  <c r="I74" i="17"/>
  <c r="I74" i="13" s="1"/>
  <c r="I117" i="17"/>
  <c r="I117" i="13" s="1"/>
  <c r="J82" i="17"/>
  <c r="J82" i="13" s="1"/>
  <c r="J115" i="17"/>
  <c r="J115" i="13" s="1"/>
  <c r="J49" i="17"/>
  <c r="J49" i="13" s="1"/>
  <c r="J148" i="17"/>
  <c r="J126" i="17"/>
  <c r="J28" i="17"/>
  <c r="J28" i="13" s="1"/>
  <c r="J6" i="17"/>
  <c r="J6" i="13" s="1"/>
  <c r="J60" i="13"/>
  <c r="J38" i="17"/>
  <c r="J27" i="17"/>
  <c r="I168" i="13"/>
  <c r="J5" i="17"/>
  <c r="J104" i="17"/>
  <c r="J137" i="17"/>
  <c r="J164" i="13"/>
  <c r="J71" i="17"/>
  <c r="J157" i="16"/>
  <c r="J157" i="12" s="1"/>
  <c r="J69" i="16"/>
  <c r="J69" i="12" s="1"/>
  <c r="J28" i="16"/>
  <c r="J28" i="12" s="1"/>
  <c r="J78" i="16"/>
  <c r="J78" i="12" s="1"/>
  <c r="J144" i="16"/>
  <c r="J144" i="12" s="1"/>
  <c r="J6" i="16"/>
  <c r="J6" i="12" s="1"/>
  <c r="J14" i="16"/>
  <c r="J14" i="12" s="1"/>
  <c r="J75" i="16"/>
  <c r="J65" i="16"/>
  <c r="J65" i="12" s="1"/>
  <c r="J122" i="16"/>
  <c r="J122" i="12" s="1"/>
  <c r="J87" i="16"/>
  <c r="J87" i="12" s="1"/>
  <c r="J76" i="16"/>
  <c r="J76" i="12" s="1"/>
  <c r="J153" i="16"/>
  <c r="J153" i="12" s="1"/>
  <c r="J67" i="16"/>
  <c r="J67" i="12" s="1"/>
  <c r="J50" i="16"/>
  <c r="J50" i="12" s="1"/>
  <c r="J146" i="16"/>
  <c r="J146" i="12" s="1"/>
  <c r="J31" i="16"/>
  <c r="J83" i="16"/>
  <c r="J83" i="12" s="1"/>
  <c r="J135" i="16"/>
  <c r="J135" i="12" s="1"/>
  <c r="J155" i="16"/>
  <c r="J155" i="12" s="1"/>
  <c r="J138" i="16"/>
  <c r="J138" i="12" s="1"/>
  <c r="J25" i="16"/>
  <c r="J25" i="12" s="1"/>
  <c r="J102" i="16"/>
  <c r="J102" i="12" s="1"/>
  <c r="J20" i="16"/>
  <c r="J10" i="16"/>
  <c r="J10" i="12" s="1"/>
  <c r="J111" i="16"/>
  <c r="J111" i="12" s="1"/>
  <c r="J142" i="16"/>
  <c r="J142" i="12" s="1"/>
  <c r="J43" i="16"/>
  <c r="J43" i="12" s="1"/>
  <c r="J91" i="16"/>
  <c r="J91" i="12" s="1"/>
  <c r="J152" i="16"/>
  <c r="J86" i="17"/>
  <c r="J146" i="17"/>
  <c r="J146" i="13" s="1"/>
  <c r="J112" i="17"/>
  <c r="J112" i="13" s="1"/>
  <c r="B163" i="12"/>
  <c r="B70" i="6"/>
  <c r="B114" i="6"/>
  <c r="B147" i="6"/>
  <c r="B136" i="6"/>
  <c r="B103" i="6"/>
  <c r="B81" i="6"/>
  <c r="B59" i="6"/>
  <c r="B26" i="6"/>
  <c r="B37" i="6"/>
  <c r="B4" i="6"/>
  <c r="B106" i="16"/>
  <c r="B106" i="12" s="1"/>
  <c r="B104" i="12"/>
  <c r="B107" i="16"/>
  <c r="B107" i="12" s="1"/>
  <c r="B71" i="12"/>
  <c r="B73" i="16"/>
  <c r="B73" i="12" s="1"/>
  <c r="B74" i="16"/>
  <c r="B74" i="12" s="1"/>
  <c r="B5" i="12"/>
  <c r="B7" i="16"/>
  <c r="B7" i="12" s="1"/>
  <c r="B8" i="16"/>
  <c r="B8" i="12" s="1"/>
  <c r="B148" i="12"/>
  <c r="B150" i="16"/>
  <c r="B150" i="12" s="1"/>
  <c r="B151" i="16"/>
  <c r="B151" i="12" s="1"/>
  <c r="B60" i="12"/>
  <c r="B63" i="16"/>
  <c r="B63" i="12" s="1"/>
  <c r="B62" i="16"/>
  <c r="B62" i="12" s="1"/>
  <c r="B115" i="12"/>
  <c r="B118" i="16"/>
  <c r="B118" i="12" s="1"/>
  <c r="B117" i="16"/>
  <c r="B117" i="12" s="1"/>
  <c r="B137" i="12"/>
  <c r="B140" i="16"/>
  <c r="B140" i="12" s="1"/>
  <c r="B139" i="16"/>
  <c r="B139" i="12" s="1"/>
  <c r="B27" i="12"/>
  <c r="B29" i="16"/>
  <c r="B29" i="12" s="1"/>
  <c r="B30" i="16"/>
  <c r="B30" i="12" s="1"/>
  <c r="B126" i="12"/>
  <c r="B129" i="16"/>
  <c r="B129" i="12" s="1"/>
  <c r="B128" i="16"/>
  <c r="B128" i="12" s="1"/>
  <c r="B49" i="12"/>
  <c r="B52" i="16"/>
  <c r="B51" i="16"/>
  <c r="B51" i="12" s="1"/>
  <c r="B82" i="12"/>
  <c r="B84" i="16"/>
  <c r="B84" i="12" s="1"/>
  <c r="B85" i="16"/>
  <c r="B85" i="12" s="1"/>
  <c r="B38" i="12"/>
  <c r="B41" i="16"/>
  <c r="B41" i="12" s="1"/>
  <c r="B40" i="16"/>
  <c r="B40" i="12" s="1"/>
  <c r="B134" i="6"/>
  <c r="B125" i="6" s="1"/>
  <c r="B53" i="6"/>
  <c r="B48" i="6" s="1"/>
  <c r="B168" i="6"/>
  <c r="I31" i="13" l="1"/>
  <c r="I151" i="18"/>
  <c r="I151" i="6" s="1"/>
  <c r="I53" i="13"/>
  <c r="I64" i="13"/>
  <c r="I86" i="13"/>
  <c r="I118" i="18"/>
  <c r="I118" i="6" s="1"/>
  <c r="I7" i="18"/>
  <c r="I7" i="6" s="1"/>
  <c r="I52" i="18"/>
  <c r="I84" i="18"/>
  <c r="I84" i="6" s="1"/>
  <c r="I74" i="18"/>
  <c r="I74" i="6" s="1"/>
  <c r="I128" i="18"/>
  <c r="I128" i="6" s="1"/>
  <c r="I164" i="6"/>
  <c r="I168" i="6"/>
  <c r="I104" i="6"/>
  <c r="I107" i="18"/>
  <c r="I107" i="6" s="1"/>
  <c r="I106" i="18"/>
  <c r="I106" i="6" s="1"/>
  <c r="I30" i="18"/>
  <c r="I30" i="6" s="1"/>
  <c r="I41" i="18"/>
  <c r="I41" i="6" s="1"/>
  <c r="I5" i="6"/>
  <c r="I8" i="18"/>
  <c r="I8" i="6" s="1"/>
  <c r="I60" i="6"/>
  <c r="I62" i="18"/>
  <c r="I62" i="6" s="1"/>
  <c r="I29" i="18"/>
  <c r="I29" i="6" s="1"/>
  <c r="I148" i="6"/>
  <c r="I150" i="18"/>
  <c r="I150" i="6" s="1"/>
  <c r="I129" i="18"/>
  <c r="I139" i="18"/>
  <c r="I139" i="6" s="1"/>
  <c r="I85" i="18"/>
  <c r="I85" i="6" s="1"/>
  <c r="I115" i="6"/>
  <c r="I117" i="18"/>
  <c r="I117" i="6" s="1"/>
  <c r="I49" i="6"/>
  <c r="I51" i="18"/>
  <c r="I51" i="6" s="1"/>
  <c r="I71" i="6"/>
  <c r="I73" i="18"/>
  <c r="I73" i="6" s="1"/>
  <c r="I40" i="18"/>
  <c r="I40" i="6" s="1"/>
  <c r="I63" i="18"/>
  <c r="I63" i="6" s="1"/>
  <c r="I140" i="18"/>
  <c r="I140" i="6" s="1"/>
  <c r="I108" i="13"/>
  <c r="I42" i="13"/>
  <c r="J127" i="17"/>
  <c r="J128" i="17" s="1"/>
  <c r="J61" i="17"/>
  <c r="J61" i="13" s="1"/>
  <c r="J105" i="17"/>
  <c r="J105" i="13" s="1"/>
  <c r="J83" i="17"/>
  <c r="J83" i="13" s="1"/>
  <c r="J50" i="17"/>
  <c r="J52" i="17" s="1"/>
  <c r="J52" i="13" s="1"/>
  <c r="J39" i="17"/>
  <c r="J39" i="13" s="1"/>
  <c r="J138" i="17"/>
  <c r="J138" i="13" s="1"/>
  <c r="J72" i="17"/>
  <c r="J72" i="13" s="1"/>
  <c r="J149" i="17"/>
  <c r="J149" i="13" s="1"/>
  <c r="I9" i="13"/>
  <c r="I141" i="13"/>
  <c r="I129" i="13"/>
  <c r="I128" i="13"/>
  <c r="I133" i="13"/>
  <c r="I126" i="13"/>
  <c r="I152" i="13"/>
  <c r="I119" i="13"/>
  <c r="I75" i="13"/>
  <c r="J118" i="17"/>
  <c r="J118" i="13" s="1"/>
  <c r="J157" i="17"/>
  <c r="J157" i="13" s="1"/>
  <c r="J145" i="17"/>
  <c r="J145" i="13" s="1"/>
  <c r="J57" i="17"/>
  <c r="J57" i="13" s="1"/>
  <c r="J58" i="17"/>
  <c r="J58" i="13" s="1"/>
  <c r="J35" i="17"/>
  <c r="J35" i="13" s="1"/>
  <c r="J25" i="17"/>
  <c r="J25" i="13" s="1"/>
  <c r="J148" i="13"/>
  <c r="J68" i="17"/>
  <c r="J68" i="13" s="1"/>
  <c r="J14" i="17"/>
  <c r="J14" i="13" s="1"/>
  <c r="J90" i="17"/>
  <c r="J90" i="13" s="1"/>
  <c r="J46" i="17"/>
  <c r="J46" i="13" s="1"/>
  <c r="J36" i="17"/>
  <c r="J36" i="13" s="1"/>
  <c r="J117" i="17"/>
  <c r="J117" i="13" s="1"/>
  <c r="J141" i="17"/>
  <c r="J71" i="13"/>
  <c r="J137" i="13"/>
  <c r="J97" i="17"/>
  <c r="J9" i="17"/>
  <c r="J5" i="13"/>
  <c r="J7" i="17"/>
  <c r="J7" i="13" s="1"/>
  <c r="J8" i="17"/>
  <c r="J8" i="13" s="1"/>
  <c r="J27" i="13"/>
  <c r="J30" i="17"/>
  <c r="J30" i="13" s="1"/>
  <c r="J29" i="17"/>
  <c r="J29" i="13" s="1"/>
  <c r="J80" i="17"/>
  <c r="J80" i="13" s="1"/>
  <c r="J75" i="17"/>
  <c r="J47" i="17"/>
  <c r="J47" i="13" s="1"/>
  <c r="J20" i="17"/>
  <c r="J119" i="17"/>
  <c r="J64" i="17"/>
  <c r="J101" i="17"/>
  <c r="J101" i="13" s="1"/>
  <c r="J134" i="17"/>
  <c r="J134" i="13" s="1"/>
  <c r="J113" i="17"/>
  <c r="J113" i="13" s="1"/>
  <c r="J108" i="17"/>
  <c r="J156" i="17"/>
  <c r="J156" i="13" s="1"/>
  <c r="J124" i="17"/>
  <c r="J124" i="13" s="1"/>
  <c r="J38" i="13"/>
  <c r="J31" i="17"/>
  <c r="J130" i="17"/>
  <c r="J79" i="17"/>
  <c r="J79" i="13" s="1"/>
  <c r="J69" i="17"/>
  <c r="J69" i="13" s="1"/>
  <c r="J104" i="13"/>
  <c r="J42" i="17"/>
  <c r="J91" i="17"/>
  <c r="J91" i="13" s="1"/>
  <c r="J53" i="17"/>
  <c r="J102" i="17"/>
  <c r="J102" i="13" s="1"/>
  <c r="J152" i="17"/>
  <c r="J13" i="17"/>
  <c r="J13" i="13" s="1"/>
  <c r="J135" i="17"/>
  <c r="J135" i="13" s="1"/>
  <c r="J123" i="17"/>
  <c r="J123" i="13" s="1"/>
  <c r="J164" i="12"/>
  <c r="J168" i="18"/>
  <c r="J113" i="18" s="1"/>
  <c r="J113" i="6" s="1"/>
  <c r="J159" i="18"/>
  <c r="J38" i="18" s="1"/>
  <c r="J167" i="18"/>
  <c r="J123" i="18" s="1"/>
  <c r="J123" i="6" s="1"/>
  <c r="J160" i="18"/>
  <c r="J72" i="18" s="1"/>
  <c r="J72" i="6" s="1"/>
  <c r="J161" i="18"/>
  <c r="J162" i="18"/>
  <c r="J163" i="18"/>
  <c r="J119" i="18" s="1"/>
  <c r="J164" i="18"/>
  <c r="J142" i="18" s="1"/>
  <c r="J142" i="6" s="1"/>
  <c r="J64" i="16"/>
  <c r="J105" i="16"/>
  <c r="J105" i="12" s="1"/>
  <c r="J149" i="16"/>
  <c r="J149" i="12" s="1"/>
  <c r="J97" i="16"/>
  <c r="J72" i="16"/>
  <c r="J72" i="12" s="1"/>
  <c r="J86" i="16"/>
  <c r="J47" i="16"/>
  <c r="J47" i="12" s="1"/>
  <c r="J127" i="16"/>
  <c r="J80" i="16"/>
  <c r="J80" i="12" s="1"/>
  <c r="J113" i="16"/>
  <c r="J113" i="12" s="1"/>
  <c r="J9" i="16"/>
  <c r="J124" i="16"/>
  <c r="J124" i="12" s="1"/>
  <c r="J130" i="16"/>
  <c r="J141" i="16"/>
  <c r="J61" i="16"/>
  <c r="J61" i="12" s="1"/>
  <c r="J27" i="16"/>
  <c r="J53" i="16"/>
  <c r="J39" i="16"/>
  <c r="J39" i="12" s="1"/>
  <c r="J126" i="16"/>
  <c r="J108" i="16"/>
  <c r="J36" i="16"/>
  <c r="J36" i="12" s="1"/>
  <c r="J58" i="16"/>
  <c r="J58" i="12" s="1"/>
  <c r="J116" i="16"/>
  <c r="J116" i="12" s="1"/>
  <c r="J119" i="16"/>
  <c r="J42" i="16"/>
  <c r="J115" i="16"/>
  <c r="J115" i="12" s="1"/>
  <c r="B52" i="12"/>
  <c r="I152" i="6" l="1"/>
  <c r="I9" i="6"/>
  <c r="I119" i="6"/>
  <c r="I133" i="6"/>
  <c r="I86" i="6"/>
  <c r="I52" i="6"/>
  <c r="I53" i="6" s="1"/>
  <c r="J50" i="13"/>
  <c r="J129" i="17"/>
  <c r="J129" i="13" s="1"/>
  <c r="J150" i="17"/>
  <c r="J150" i="13" s="1"/>
  <c r="I75" i="6"/>
  <c r="J139" i="17"/>
  <c r="J139" i="13" s="1"/>
  <c r="J106" i="17"/>
  <c r="J106" i="13" s="1"/>
  <c r="J107" i="17"/>
  <c r="J107" i="13" s="1"/>
  <c r="J140" i="17"/>
  <c r="J140" i="13" s="1"/>
  <c r="I108" i="6"/>
  <c r="J62" i="17"/>
  <c r="J62" i="13" s="1"/>
  <c r="J14" i="18"/>
  <c r="J14" i="6" s="1"/>
  <c r="I42" i="6"/>
  <c r="J80" i="18"/>
  <c r="J80" i="6" s="1"/>
  <c r="J39" i="18"/>
  <c r="J39" i="6" s="1"/>
  <c r="J86" i="18"/>
  <c r="J46" i="18"/>
  <c r="J46" i="6" s="1"/>
  <c r="J137" i="18"/>
  <c r="J137" i="6" s="1"/>
  <c r="J31" i="18"/>
  <c r="J112" i="18"/>
  <c r="J112" i="6" s="1"/>
  <c r="J131" i="18"/>
  <c r="J131" i="6" s="1"/>
  <c r="J141" i="18"/>
  <c r="J43" i="18"/>
  <c r="J43" i="6" s="1"/>
  <c r="J49" i="18"/>
  <c r="J49" i="6" s="1"/>
  <c r="J71" i="18"/>
  <c r="J71" i="6" s="1"/>
  <c r="J36" i="18"/>
  <c r="J36" i="6" s="1"/>
  <c r="J127" i="18"/>
  <c r="J102" i="18"/>
  <c r="J102" i="6" s="1"/>
  <c r="J28" i="18"/>
  <c r="J28" i="6" s="1"/>
  <c r="J10" i="18"/>
  <c r="J10" i="6" s="1"/>
  <c r="I64" i="6"/>
  <c r="J6" i="18"/>
  <c r="J6" i="6" s="1"/>
  <c r="J50" i="18"/>
  <c r="J50" i="6" s="1"/>
  <c r="J38" i="6"/>
  <c r="I126" i="6"/>
  <c r="J130" i="18"/>
  <c r="J148" i="18"/>
  <c r="J148" i="6" s="1"/>
  <c r="J109" i="18"/>
  <c r="J109" i="6" s="1"/>
  <c r="J83" i="18"/>
  <c r="J83" i="6" s="1"/>
  <c r="J90" i="18"/>
  <c r="J90" i="6" s="1"/>
  <c r="J152" i="18"/>
  <c r="J116" i="18"/>
  <c r="J116" i="6" s="1"/>
  <c r="J42" i="18"/>
  <c r="J76" i="18"/>
  <c r="J76" i="6" s="1"/>
  <c r="J91" i="18"/>
  <c r="J91" i="6" s="1"/>
  <c r="J149" i="18"/>
  <c r="J149" i="6" s="1"/>
  <c r="J101" i="18"/>
  <c r="J101" i="6" s="1"/>
  <c r="J82" i="18"/>
  <c r="J82" i="6" s="1"/>
  <c r="J156" i="18"/>
  <c r="J97" i="18"/>
  <c r="J5" i="18"/>
  <c r="J120" i="18"/>
  <c r="J120" i="6" s="1"/>
  <c r="J135" i="18"/>
  <c r="J135" i="6" s="1"/>
  <c r="J79" i="18"/>
  <c r="J79" i="6" s="1"/>
  <c r="J27" i="18"/>
  <c r="J35" i="18"/>
  <c r="J35" i="6" s="1"/>
  <c r="J75" i="18"/>
  <c r="J115" i="18"/>
  <c r="J146" i="18"/>
  <c r="J146" i="6" s="1"/>
  <c r="J138" i="18"/>
  <c r="J138" i="6" s="1"/>
  <c r="J57" i="18"/>
  <c r="J57" i="6" s="1"/>
  <c r="J60" i="18"/>
  <c r="J60" i="6" s="1"/>
  <c r="J9" i="18"/>
  <c r="J126" i="18"/>
  <c r="J54" i="18"/>
  <c r="J54" i="6" s="1"/>
  <c r="J25" i="18"/>
  <c r="J25" i="6" s="1"/>
  <c r="J105" i="18"/>
  <c r="J105" i="6" s="1"/>
  <c r="J13" i="18"/>
  <c r="J13" i="6" s="1"/>
  <c r="J21" i="18"/>
  <c r="J21" i="6" s="1"/>
  <c r="J68" i="18"/>
  <c r="J68" i="6" s="1"/>
  <c r="J20" i="18"/>
  <c r="J32" i="18"/>
  <c r="J32" i="6" s="1"/>
  <c r="J157" i="18"/>
  <c r="J157" i="6" s="1"/>
  <c r="J61" i="18"/>
  <c r="J61" i="6" s="1"/>
  <c r="J134" i="18"/>
  <c r="J65" i="18"/>
  <c r="J65" i="6" s="1"/>
  <c r="I127" i="6"/>
  <c r="I129" i="6"/>
  <c r="I130" i="6" s="1"/>
  <c r="I132" i="6"/>
  <c r="J53" i="18"/>
  <c r="J104" i="18"/>
  <c r="J87" i="18"/>
  <c r="J87" i="6" s="1"/>
  <c r="J124" i="18"/>
  <c r="J124" i="6" s="1"/>
  <c r="J145" i="18"/>
  <c r="J145" i="6" s="1"/>
  <c r="J98" i="18"/>
  <c r="J98" i="6" s="1"/>
  <c r="I141" i="6"/>
  <c r="I31" i="6"/>
  <c r="J64" i="18"/>
  <c r="J153" i="18"/>
  <c r="J153" i="6" s="1"/>
  <c r="J69" i="18"/>
  <c r="J69" i="6" s="1"/>
  <c r="J108" i="18"/>
  <c r="J58" i="18"/>
  <c r="J58" i="6" s="1"/>
  <c r="J47" i="18"/>
  <c r="J47" i="6" s="1"/>
  <c r="J41" i="17"/>
  <c r="J41" i="13" s="1"/>
  <c r="J40" i="17"/>
  <c r="J40" i="13" s="1"/>
  <c r="J51" i="17"/>
  <c r="J51" i="13" s="1"/>
  <c r="J53" i="13" s="1"/>
  <c r="J151" i="17"/>
  <c r="J151" i="13" s="1"/>
  <c r="J63" i="17"/>
  <c r="J63" i="13" s="1"/>
  <c r="I130" i="13"/>
  <c r="J84" i="17"/>
  <c r="J84" i="13" s="1"/>
  <c r="J73" i="17"/>
  <c r="J73" i="13" s="1"/>
  <c r="J74" i="17"/>
  <c r="J74" i="13" s="1"/>
  <c r="J85" i="17"/>
  <c r="J85" i="13" s="1"/>
  <c r="J119" i="13"/>
  <c r="J31" i="13"/>
  <c r="J128" i="13"/>
  <c r="J168" i="13"/>
  <c r="J9" i="13"/>
  <c r="J168" i="12"/>
  <c r="J129" i="16"/>
  <c r="J29" i="16"/>
  <c r="J29" i="12" s="1"/>
  <c r="J27" i="12"/>
  <c r="J118" i="16"/>
  <c r="J118" i="12" s="1"/>
  <c r="J117" i="16"/>
  <c r="J117" i="12" s="1"/>
  <c r="J82" i="16"/>
  <c r="J82" i="12" s="1"/>
  <c r="J49" i="16"/>
  <c r="J49" i="12" s="1"/>
  <c r="J30" i="16"/>
  <c r="J30" i="12" s="1"/>
  <c r="J128" i="16"/>
  <c r="J137" i="16"/>
  <c r="J137" i="12" s="1"/>
  <c r="J71" i="16"/>
  <c r="J71" i="12" s="1"/>
  <c r="J104" i="16"/>
  <c r="J104" i="12" s="1"/>
  <c r="J60" i="16"/>
  <c r="J60" i="12" s="1"/>
  <c r="J5" i="16"/>
  <c r="J5" i="12" s="1"/>
  <c r="J148" i="16"/>
  <c r="J148" i="12" s="1"/>
  <c r="J38" i="16"/>
  <c r="J38" i="12" s="1"/>
  <c r="B163" i="6"/>
  <c r="B164" i="6"/>
  <c r="J74" i="18" l="1"/>
  <c r="J74" i="6" s="1"/>
  <c r="J41" i="18"/>
  <c r="J41" i="6" s="1"/>
  <c r="J152" i="13"/>
  <c r="J141" i="13"/>
  <c r="J127" i="13"/>
  <c r="J133" i="13"/>
  <c r="J126" i="13"/>
  <c r="J108" i="13"/>
  <c r="J64" i="13"/>
  <c r="J150" i="18"/>
  <c r="J150" i="6" s="1"/>
  <c r="J128" i="18"/>
  <c r="J128" i="6" s="1"/>
  <c r="J40" i="18"/>
  <c r="J40" i="6" s="1"/>
  <c r="J42" i="13"/>
  <c r="J7" i="18"/>
  <c r="J7" i="6" s="1"/>
  <c r="J129" i="18"/>
  <c r="J117" i="18"/>
  <c r="J117" i="6" s="1"/>
  <c r="J51" i="18"/>
  <c r="J51" i="6" s="1"/>
  <c r="J52" i="18"/>
  <c r="J29" i="18"/>
  <c r="J29" i="6" s="1"/>
  <c r="J73" i="18"/>
  <c r="J73" i="6" s="1"/>
  <c r="J164" i="6"/>
  <c r="J168" i="6"/>
  <c r="J139" i="18"/>
  <c r="J139" i="6" s="1"/>
  <c r="J63" i="18"/>
  <c r="J63" i="6" s="1"/>
  <c r="J104" i="6"/>
  <c r="J107" i="18"/>
  <c r="J107" i="6" s="1"/>
  <c r="I125" i="6"/>
  <c r="J151" i="18"/>
  <c r="J151" i="6" s="1"/>
  <c r="J27" i="6"/>
  <c r="J30" i="18"/>
  <c r="J30" i="6" s="1"/>
  <c r="J5" i="6"/>
  <c r="J8" i="18"/>
  <c r="J8" i="6" s="1"/>
  <c r="J62" i="18"/>
  <c r="J62" i="6" s="1"/>
  <c r="J85" i="18"/>
  <c r="J85" i="6" s="1"/>
  <c r="J84" i="18"/>
  <c r="J84" i="6" s="1"/>
  <c r="J106" i="18"/>
  <c r="J106" i="6" s="1"/>
  <c r="J115" i="6"/>
  <c r="J118" i="18"/>
  <c r="J118" i="6" s="1"/>
  <c r="J134" i="6"/>
  <c r="J156" i="6"/>
  <c r="J140" i="18"/>
  <c r="J140" i="6" s="1"/>
  <c r="J75" i="13"/>
  <c r="J86" i="13"/>
  <c r="J130" i="13"/>
  <c r="J119" i="12"/>
  <c r="J31" i="12"/>
  <c r="J129" i="12"/>
  <c r="J127" i="12"/>
  <c r="J128" i="12"/>
  <c r="J133" i="12"/>
  <c r="J126" i="12"/>
  <c r="J106" i="16"/>
  <c r="J106" i="12" s="1"/>
  <c r="J107" i="16"/>
  <c r="J107" i="12" s="1"/>
  <c r="J73" i="16"/>
  <c r="J73" i="12" s="1"/>
  <c r="J74" i="16"/>
  <c r="J74" i="12" s="1"/>
  <c r="J40" i="16"/>
  <c r="J40" i="12" s="1"/>
  <c r="J41" i="16"/>
  <c r="J41" i="12" s="1"/>
  <c r="J139" i="16"/>
  <c r="J139" i="12" s="1"/>
  <c r="J140" i="16"/>
  <c r="J140" i="12" s="1"/>
  <c r="J150" i="16"/>
  <c r="J150" i="12" s="1"/>
  <c r="J151" i="16"/>
  <c r="J151" i="12" s="1"/>
  <c r="J84" i="16"/>
  <c r="J84" i="12" s="1"/>
  <c r="J85" i="16"/>
  <c r="J85" i="12" s="1"/>
  <c r="J8" i="16"/>
  <c r="J8" i="12" s="1"/>
  <c r="J7" i="16"/>
  <c r="J7" i="12" s="1"/>
  <c r="J62" i="16"/>
  <c r="J62" i="12" s="1"/>
  <c r="J63" i="16"/>
  <c r="J63" i="12" s="1"/>
  <c r="J51" i="16"/>
  <c r="J51" i="12" s="1"/>
  <c r="J52" i="16"/>
  <c r="J75" i="6" l="1"/>
  <c r="J42" i="6"/>
  <c r="J119" i="6"/>
  <c r="J127" i="6"/>
  <c r="J141" i="6"/>
  <c r="J9" i="6"/>
  <c r="J152" i="6"/>
  <c r="J133" i="6"/>
  <c r="J126" i="6"/>
  <c r="J132" i="6"/>
  <c r="J129" i="6"/>
  <c r="J130" i="6" s="1"/>
  <c r="J31" i="6"/>
  <c r="J52" i="6"/>
  <c r="J64" i="6"/>
  <c r="J108" i="6"/>
  <c r="J86" i="6"/>
  <c r="J152" i="12"/>
  <c r="J42" i="12"/>
  <c r="J130" i="12"/>
  <c r="J108" i="12"/>
  <c r="J64" i="12"/>
  <c r="J141" i="12"/>
  <c r="J75" i="12"/>
  <c r="J86" i="12"/>
  <c r="J52" i="12"/>
  <c r="J9" i="12"/>
  <c r="J53" i="12" l="1"/>
  <c r="J125" i="6"/>
  <c r="J53" i="6"/>
  <c r="K23" i="10" l="1"/>
  <c r="K22" i="9"/>
  <c r="I23" i="11"/>
  <c r="K23" i="9"/>
  <c r="I22" i="10"/>
  <c r="J22" i="11"/>
  <c r="I23" i="10"/>
  <c r="I23" i="9"/>
  <c r="J23" i="11"/>
  <c r="J23" i="10"/>
  <c r="J22" i="9"/>
  <c r="J23" i="9"/>
  <c r="K22" i="10"/>
  <c r="I22" i="11"/>
  <c r="K23" i="11"/>
  <c r="K22" i="11"/>
  <c r="I22" i="9"/>
  <c r="J22" i="10"/>
  <c r="I99" i="9"/>
  <c r="I99" i="11"/>
  <c r="K100" i="10"/>
  <c r="K99" i="9"/>
  <c r="K100" i="9"/>
  <c r="I100" i="11"/>
  <c r="K99" i="10"/>
  <c r="J100" i="9"/>
  <c r="K100" i="11"/>
  <c r="J99" i="10"/>
  <c r="I100" i="9"/>
  <c r="J100" i="10"/>
  <c r="J100" i="11"/>
  <c r="I99" i="10"/>
  <c r="K99" i="11"/>
  <c r="J99" i="9"/>
  <c r="J99" i="11"/>
  <c r="I100" i="10"/>
  <c r="I145" i="3"/>
  <c r="J145" i="3" s="1"/>
  <c r="K145" i="3" s="1"/>
  <c r="I143" i="4"/>
  <c r="J143" i="4" s="1"/>
  <c r="K143" i="4" s="1"/>
  <c r="I143" i="3"/>
  <c r="J143" i="3" s="1"/>
  <c r="K143" i="3" s="1"/>
  <c r="I145" i="4"/>
  <c r="J145" i="4" s="1"/>
  <c r="K145" i="4" s="1"/>
  <c r="I137" i="4"/>
  <c r="J137" i="4" s="1"/>
  <c r="K137" i="4" s="1"/>
  <c r="I141" i="4"/>
  <c r="J141" i="4" s="1"/>
  <c r="K141" i="4" s="1"/>
  <c r="I138" i="4"/>
  <c r="J138" i="4" s="1"/>
  <c r="K138" i="4" s="1"/>
  <c r="I144" i="4"/>
  <c r="J144" i="4" s="1"/>
  <c r="K144" i="4" s="1"/>
  <c r="I144" i="3"/>
  <c r="J144" i="3" s="1"/>
  <c r="K144" i="3" s="1"/>
  <c r="I139" i="3"/>
  <c r="J139" i="3" s="1"/>
  <c r="K139" i="3" s="1"/>
  <c r="I139" i="4"/>
  <c r="J139" i="4" s="1"/>
  <c r="K139" i="4" s="1"/>
  <c r="I146" i="3"/>
  <c r="J146" i="3" s="1"/>
  <c r="K146" i="3" s="1"/>
  <c r="I138" i="3"/>
  <c r="J138" i="3" s="1"/>
  <c r="K138" i="3" s="1"/>
  <c r="I141" i="3"/>
  <c r="J141" i="3" s="1"/>
  <c r="K141" i="3" s="1"/>
  <c r="I140" i="4"/>
  <c r="J140" i="4" s="1"/>
  <c r="K140" i="4" s="1"/>
  <c r="I142" i="4"/>
  <c r="J142" i="4" s="1"/>
  <c r="K142" i="4" s="1"/>
  <c r="I137" i="3"/>
  <c r="J137" i="3" s="1"/>
  <c r="K137" i="3" s="1"/>
  <c r="I142" i="3"/>
  <c r="J142" i="3" s="1"/>
  <c r="K142" i="3" s="1"/>
  <c r="I140" i="3"/>
  <c r="J140" i="3" s="1"/>
  <c r="K140" i="3" s="1"/>
  <c r="I146" i="4"/>
  <c r="J146" i="4" s="1"/>
  <c r="K146" i="4" s="1"/>
  <c r="I123" i="3"/>
  <c r="J123" i="3" s="1"/>
  <c r="K123" i="3" s="1"/>
  <c r="I121" i="3"/>
  <c r="J121" i="3" s="1"/>
  <c r="K121" i="3" s="1"/>
  <c r="I123" i="4"/>
  <c r="J123" i="4" s="1"/>
  <c r="K123" i="4" s="1"/>
  <c r="I121" i="4"/>
  <c r="J121" i="4" s="1"/>
  <c r="K121" i="4" s="1"/>
  <c r="I115" i="3"/>
  <c r="J115" i="3" s="1"/>
  <c r="K115" i="3" s="1"/>
  <c r="I119" i="4"/>
  <c r="J119" i="4" s="1"/>
  <c r="K119" i="4" s="1"/>
  <c r="I122" i="3"/>
  <c r="J122" i="3" s="1"/>
  <c r="K122" i="3" s="1"/>
  <c r="I117" i="3"/>
  <c r="J117" i="3" s="1"/>
  <c r="K117" i="3" s="1"/>
  <c r="I115" i="4"/>
  <c r="J115" i="4" s="1"/>
  <c r="K115" i="4" s="1"/>
  <c r="I116" i="4"/>
  <c r="J116" i="4" s="1"/>
  <c r="K116" i="4" s="1"/>
  <c r="I118" i="4"/>
  <c r="J118" i="4" s="1"/>
  <c r="K118" i="4" s="1"/>
  <c r="I124" i="4"/>
  <c r="J124" i="4" s="1"/>
  <c r="K124" i="4" s="1"/>
  <c r="I119" i="3"/>
  <c r="J119" i="3" s="1"/>
  <c r="K119" i="3" s="1"/>
  <c r="I120" i="3"/>
  <c r="J120" i="3" s="1"/>
  <c r="K120" i="3" s="1"/>
  <c r="I122" i="4"/>
  <c r="J122" i="4" s="1"/>
  <c r="K122" i="4" s="1"/>
  <c r="I118" i="3"/>
  <c r="J118" i="3" s="1"/>
  <c r="K118" i="3" s="1"/>
  <c r="I120" i="4"/>
  <c r="J120" i="4" s="1"/>
  <c r="K120" i="4" s="1"/>
  <c r="I124" i="3"/>
  <c r="J124" i="3" s="1"/>
  <c r="K124" i="3" s="1"/>
  <c r="I116" i="3"/>
  <c r="J116" i="3" s="1"/>
  <c r="K116" i="3" s="1"/>
  <c r="I117" i="4"/>
  <c r="J117" i="4" s="1"/>
  <c r="K117" i="4" s="1"/>
  <c r="I96" i="4"/>
  <c r="J96" i="4" s="1"/>
  <c r="K96" i="4" s="1"/>
  <c r="I95" i="3"/>
  <c r="J95" i="3" s="1"/>
  <c r="K95" i="3" s="1"/>
  <c r="I97" i="4"/>
  <c r="J97" i="4" s="1"/>
  <c r="K97" i="4" s="1"/>
  <c r="I93" i="4"/>
  <c r="J93" i="4" s="1"/>
  <c r="K93" i="4" s="1"/>
  <c r="I102" i="3"/>
  <c r="J102" i="3" s="1"/>
  <c r="K102" i="3" s="1"/>
  <c r="I97" i="3"/>
  <c r="J97" i="3" s="1"/>
  <c r="K97" i="3" s="1"/>
  <c r="I96" i="3"/>
  <c r="J96" i="3" s="1"/>
  <c r="K96" i="3" s="1"/>
  <c r="I95" i="4"/>
  <c r="J95" i="4" s="1"/>
  <c r="K95" i="4" s="1"/>
  <c r="I93" i="3"/>
  <c r="J93" i="3" s="1"/>
  <c r="K93" i="3" s="1"/>
  <c r="I94" i="4"/>
  <c r="J94" i="4" s="1"/>
  <c r="K94" i="4" s="1"/>
  <c r="I101" i="3"/>
  <c r="J101" i="3" s="1"/>
  <c r="K101" i="3" s="1"/>
  <c r="I94" i="3"/>
  <c r="J94" i="3" s="1"/>
  <c r="K94" i="3" s="1"/>
  <c r="I98" i="4"/>
  <c r="J98" i="4" s="1"/>
  <c r="K98" i="4" s="1"/>
  <c r="I102" i="4"/>
  <c r="J102" i="4" s="1"/>
  <c r="K102" i="4" s="1"/>
  <c r="I98" i="3"/>
  <c r="J98" i="3" s="1"/>
  <c r="K98" i="3" s="1"/>
  <c r="I101" i="4"/>
  <c r="J101" i="4" s="1"/>
  <c r="K101" i="4" s="1"/>
  <c r="I99" i="4"/>
  <c r="I99" i="3"/>
  <c r="I100" i="3"/>
  <c r="I100" i="4"/>
  <c r="I79" i="4"/>
  <c r="J79" i="4" s="1"/>
  <c r="K79" i="4" s="1"/>
  <c r="I79" i="3"/>
  <c r="J79" i="3" s="1"/>
  <c r="K79" i="3" s="1"/>
  <c r="I72" i="3"/>
  <c r="J72" i="3" s="1"/>
  <c r="K72" i="3" s="1"/>
  <c r="I74" i="4"/>
  <c r="J74" i="4" s="1"/>
  <c r="K74" i="4" s="1"/>
  <c r="I71" i="3"/>
  <c r="J71" i="3" s="1"/>
  <c r="K71" i="3" s="1"/>
  <c r="I78" i="3"/>
  <c r="J78" i="3" s="1"/>
  <c r="K78" i="3" s="1"/>
  <c r="I75" i="3"/>
  <c r="J75" i="3" s="1"/>
  <c r="K75" i="3" s="1"/>
  <c r="I71" i="4"/>
  <c r="J71" i="4" s="1"/>
  <c r="K71" i="4" s="1"/>
  <c r="I78" i="4"/>
  <c r="J78" i="4" s="1"/>
  <c r="K78" i="4" s="1"/>
  <c r="I76" i="3"/>
  <c r="J76" i="3" s="1"/>
  <c r="K76" i="3" s="1"/>
  <c r="I76" i="4"/>
  <c r="J76" i="4" s="1"/>
  <c r="K76" i="4" s="1"/>
  <c r="I80" i="3"/>
  <c r="J80" i="3" s="1"/>
  <c r="K80" i="3" s="1"/>
  <c r="I77" i="4"/>
  <c r="J77" i="4" s="1"/>
  <c r="K77" i="4" s="1"/>
  <c r="I72" i="4"/>
  <c r="J72" i="4" s="1"/>
  <c r="K72" i="4" s="1"/>
  <c r="I74" i="3"/>
  <c r="J74" i="3" s="1"/>
  <c r="K74" i="3" s="1"/>
  <c r="I73" i="3"/>
  <c r="J73" i="3" s="1"/>
  <c r="K73" i="3" s="1"/>
  <c r="I77" i="3"/>
  <c r="J77" i="3" s="1"/>
  <c r="K77" i="3" s="1"/>
  <c r="I80" i="4"/>
  <c r="J80" i="4" s="1"/>
  <c r="K80" i="4" s="1"/>
  <c r="I73" i="4"/>
  <c r="J73" i="4" s="1"/>
  <c r="K73" i="4" s="1"/>
  <c r="I75" i="4"/>
  <c r="J75" i="4" s="1"/>
  <c r="K75" i="4" s="1"/>
  <c r="I11" i="4"/>
  <c r="I11" i="3"/>
  <c r="I13" i="3"/>
  <c r="I7" i="4"/>
  <c r="I10" i="3"/>
  <c r="I5" i="4"/>
  <c r="I12" i="3"/>
  <c r="I5" i="3"/>
  <c r="I9" i="3"/>
  <c r="I13" i="4"/>
  <c r="I14" i="3"/>
  <c r="I6" i="3"/>
  <c r="I12" i="4"/>
  <c r="I9" i="4"/>
  <c r="I10" i="4"/>
  <c r="I14" i="4"/>
  <c r="I8" i="3"/>
  <c r="I6" i="4"/>
  <c r="I7" i="3"/>
  <c r="I8" i="4"/>
  <c r="I156" i="3"/>
  <c r="J156" i="3" s="1"/>
  <c r="K156" i="3" s="1"/>
  <c r="I154" i="4"/>
  <c r="J154" i="4" s="1"/>
  <c r="K154" i="4" s="1"/>
  <c r="I156" i="4"/>
  <c r="J156" i="4" s="1"/>
  <c r="K156" i="4" s="1"/>
  <c r="I154" i="3"/>
  <c r="J154" i="3" s="1"/>
  <c r="K154" i="3" s="1"/>
  <c r="I149" i="3"/>
  <c r="J149" i="3" s="1"/>
  <c r="K149" i="3" s="1"/>
  <c r="I148" i="4"/>
  <c r="J148" i="4" s="1"/>
  <c r="K148" i="4" s="1"/>
  <c r="I155" i="4"/>
  <c r="J155" i="4" s="1"/>
  <c r="K155" i="4" s="1"/>
  <c r="I152" i="3"/>
  <c r="J152" i="3" s="1"/>
  <c r="K152" i="3" s="1"/>
  <c r="I155" i="3"/>
  <c r="J155" i="3" s="1"/>
  <c r="K155" i="3" s="1"/>
  <c r="I150" i="3"/>
  <c r="J150" i="3" s="1"/>
  <c r="K150" i="3" s="1"/>
  <c r="I149" i="4"/>
  <c r="J149" i="4" s="1"/>
  <c r="K149" i="4" s="1"/>
  <c r="I153" i="3"/>
  <c r="J153" i="3" s="1"/>
  <c r="K153" i="3" s="1"/>
  <c r="I157" i="3"/>
  <c r="J157" i="3" s="1"/>
  <c r="K157" i="3" s="1"/>
  <c r="I157" i="4"/>
  <c r="J157" i="4" s="1"/>
  <c r="K157" i="4" s="1"/>
  <c r="I153" i="4"/>
  <c r="J153" i="4" s="1"/>
  <c r="K153" i="4" s="1"/>
  <c r="I151" i="3"/>
  <c r="J151" i="3" s="1"/>
  <c r="K151" i="3" s="1"/>
  <c r="I151" i="4"/>
  <c r="J151" i="4" s="1"/>
  <c r="K151" i="4" s="1"/>
  <c r="I150" i="4"/>
  <c r="J150" i="4" s="1"/>
  <c r="K150" i="4" s="1"/>
  <c r="I152" i="4"/>
  <c r="J152" i="4" s="1"/>
  <c r="K152" i="4" s="1"/>
  <c r="I148" i="3"/>
  <c r="J148" i="3" s="1"/>
  <c r="K148" i="3" s="1"/>
  <c r="I134" i="4"/>
  <c r="J134" i="4" s="1"/>
  <c r="K134" i="4" s="1"/>
  <c r="I134" i="3"/>
  <c r="J134" i="3" s="1"/>
  <c r="K134" i="3" s="1"/>
  <c r="I129" i="4"/>
  <c r="J129" i="4" s="1"/>
  <c r="K129" i="4" s="1"/>
  <c r="I135" i="3"/>
  <c r="J135" i="3" s="1"/>
  <c r="K135" i="3" s="1"/>
  <c r="I130" i="4"/>
  <c r="J130" i="4" s="1"/>
  <c r="K130" i="4" s="1"/>
  <c r="I127" i="3"/>
  <c r="J127" i="3" s="1"/>
  <c r="K127" i="3" s="1"/>
  <c r="I129" i="3"/>
  <c r="J129" i="3" s="1"/>
  <c r="K129" i="3" s="1"/>
  <c r="I130" i="3"/>
  <c r="J130" i="3" s="1"/>
  <c r="K130" i="3" s="1"/>
  <c r="I131" i="4"/>
  <c r="J131" i="4" s="1"/>
  <c r="K131" i="4" s="1"/>
  <c r="I126" i="3"/>
  <c r="J126" i="3" s="1"/>
  <c r="K126" i="3" s="1"/>
  <c r="I131" i="3"/>
  <c r="J131" i="3" s="1"/>
  <c r="K131" i="3" s="1"/>
  <c r="I135" i="4"/>
  <c r="J135" i="4" s="1"/>
  <c r="K135" i="4" s="1"/>
  <c r="I127" i="4"/>
  <c r="J127" i="4" s="1"/>
  <c r="K127" i="4" s="1"/>
  <c r="I128" i="4"/>
  <c r="J128" i="4" s="1"/>
  <c r="K128" i="4" s="1"/>
  <c r="I126" i="4"/>
  <c r="J126" i="4" s="1"/>
  <c r="K126" i="4" s="1"/>
  <c r="I128" i="3"/>
  <c r="J128" i="3" s="1"/>
  <c r="K128" i="3" s="1"/>
  <c r="I133" i="3"/>
  <c r="J133" i="3" s="1"/>
  <c r="K133" i="3" s="1"/>
  <c r="I132" i="4"/>
  <c r="J132" i="4" s="1"/>
  <c r="K132" i="4" s="1"/>
  <c r="I133" i="4"/>
  <c r="J133" i="4" s="1"/>
  <c r="K133" i="4" s="1"/>
  <c r="I132" i="3"/>
  <c r="J132" i="3" s="1"/>
  <c r="K132" i="3" s="1"/>
  <c r="I112" i="3"/>
  <c r="J112" i="3" s="1"/>
  <c r="K112" i="3" s="1"/>
  <c r="I112" i="4"/>
  <c r="J112" i="4" s="1"/>
  <c r="K112" i="4" s="1"/>
  <c r="I105" i="4"/>
  <c r="J105" i="4" s="1"/>
  <c r="K105" i="4" s="1"/>
  <c r="I106" i="3"/>
  <c r="J106" i="3" s="1"/>
  <c r="K106" i="3" s="1"/>
  <c r="I113" i="4"/>
  <c r="J113" i="4" s="1"/>
  <c r="K113" i="4" s="1"/>
  <c r="I108" i="4"/>
  <c r="J108" i="4" s="1"/>
  <c r="K108" i="4" s="1"/>
  <c r="I107" i="3"/>
  <c r="J107" i="3" s="1"/>
  <c r="K107" i="3" s="1"/>
  <c r="I104" i="3"/>
  <c r="J104" i="3" s="1"/>
  <c r="K104" i="3" s="1"/>
  <c r="I107" i="4"/>
  <c r="J107" i="4" s="1"/>
  <c r="K107" i="4" s="1"/>
  <c r="I104" i="4"/>
  <c r="J104" i="4" s="1"/>
  <c r="K104" i="4" s="1"/>
  <c r="I105" i="3"/>
  <c r="J105" i="3" s="1"/>
  <c r="K105" i="3" s="1"/>
  <c r="I113" i="3"/>
  <c r="J113" i="3" s="1"/>
  <c r="K113" i="3" s="1"/>
  <c r="I111" i="3"/>
  <c r="J111" i="3" s="1"/>
  <c r="K111" i="3" s="1"/>
  <c r="I108" i="3"/>
  <c r="J108" i="3" s="1"/>
  <c r="K108" i="3" s="1"/>
  <c r="I110" i="4"/>
  <c r="J110" i="4" s="1"/>
  <c r="K110" i="4" s="1"/>
  <c r="I109" i="3"/>
  <c r="J109" i="3" s="1"/>
  <c r="K109" i="3" s="1"/>
  <c r="I110" i="3"/>
  <c r="J110" i="3" s="1"/>
  <c r="K110" i="3" s="1"/>
  <c r="I109" i="4"/>
  <c r="J109" i="4" s="1"/>
  <c r="K109" i="4" s="1"/>
  <c r="I106" i="4"/>
  <c r="J106" i="4" s="1"/>
  <c r="K106" i="4" s="1"/>
  <c r="I111" i="4"/>
  <c r="J111" i="4" s="1"/>
  <c r="K111" i="4" s="1"/>
  <c r="I88" i="4"/>
  <c r="J88" i="4" s="1"/>
  <c r="K88" i="4" s="1"/>
  <c r="I88" i="3"/>
  <c r="J88" i="3" s="1"/>
  <c r="K88" i="3" s="1"/>
  <c r="I90" i="4"/>
  <c r="J90" i="4" s="1"/>
  <c r="K90" i="4" s="1"/>
  <c r="I91" i="3"/>
  <c r="J91" i="3" s="1"/>
  <c r="K91" i="3" s="1"/>
  <c r="I91" i="4"/>
  <c r="J91" i="4" s="1"/>
  <c r="K91" i="4" s="1"/>
  <c r="I87" i="3"/>
  <c r="J87" i="3" s="1"/>
  <c r="K87" i="3" s="1"/>
  <c r="I82" i="3"/>
  <c r="J82" i="3" s="1"/>
  <c r="K82" i="3" s="1"/>
  <c r="I87" i="4"/>
  <c r="J87" i="4" s="1"/>
  <c r="K87" i="4" s="1"/>
  <c r="I84" i="4"/>
  <c r="J84" i="4" s="1"/>
  <c r="K84" i="4" s="1"/>
  <c r="I86" i="4"/>
  <c r="J86" i="4" s="1"/>
  <c r="K86" i="4" s="1"/>
  <c r="I84" i="3"/>
  <c r="J84" i="3" s="1"/>
  <c r="K84" i="3" s="1"/>
  <c r="I89" i="3"/>
  <c r="J89" i="3" s="1"/>
  <c r="K89" i="3" s="1"/>
  <c r="I89" i="4"/>
  <c r="J89" i="4" s="1"/>
  <c r="K89" i="4" s="1"/>
  <c r="I83" i="3"/>
  <c r="J83" i="3" s="1"/>
  <c r="K83" i="3" s="1"/>
  <c r="I90" i="3"/>
  <c r="J90" i="3" s="1"/>
  <c r="K90" i="3" s="1"/>
  <c r="I83" i="4"/>
  <c r="J83" i="4" s="1"/>
  <c r="K83" i="4" s="1"/>
  <c r="I85" i="4"/>
  <c r="J85" i="4" s="1"/>
  <c r="K85" i="4" s="1"/>
  <c r="I85" i="3"/>
  <c r="J85" i="3" s="1"/>
  <c r="K85" i="3" s="1"/>
  <c r="I82" i="4"/>
  <c r="J82" i="4" s="1"/>
  <c r="K82" i="4" s="1"/>
  <c r="I86" i="3"/>
  <c r="J86" i="3" s="1"/>
  <c r="K86" i="3" s="1"/>
  <c r="I68" i="4"/>
  <c r="J68" i="4" s="1"/>
  <c r="K68" i="4" s="1"/>
  <c r="I66" i="4"/>
  <c r="J66" i="4" s="1"/>
  <c r="K66" i="4" s="1"/>
  <c r="I66" i="3"/>
  <c r="J66" i="3" s="1"/>
  <c r="K66" i="3" s="1"/>
  <c r="I68" i="3"/>
  <c r="J68" i="3" s="1"/>
  <c r="K68" i="3" s="1"/>
  <c r="I65" i="3"/>
  <c r="J65" i="3" s="1"/>
  <c r="K65" i="3" s="1"/>
  <c r="I60" i="3"/>
  <c r="J60" i="3" s="1"/>
  <c r="K60" i="3" s="1"/>
  <c r="I62" i="3"/>
  <c r="J62" i="3" s="1"/>
  <c r="K62" i="3" s="1"/>
  <c r="I67" i="4"/>
  <c r="J67" i="4" s="1"/>
  <c r="K67" i="4" s="1"/>
  <c r="I67" i="3"/>
  <c r="J67" i="3" s="1"/>
  <c r="K67" i="3" s="1"/>
  <c r="I63" i="4"/>
  <c r="J63" i="4" s="1"/>
  <c r="K63" i="4" s="1"/>
  <c r="I64" i="4"/>
  <c r="J64" i="4" s="1"/>
  <c r="K64" i="4" s="1"/>
  <c r="I61" i="3"/>
  <c r="J61" i="3" s="1"/>
  <c r="K61" i="3" s="1"/>
  <c r="I65" i="4"/>
  <c r="J65" i="4" s="1"/>
  <c r="K65" i="4" s="1"/>
  <c r="I61" i="4"/>
  <c r="J61" i="4" s="1"/>
  <c r="K61" i="4" s="1"/>
  <c r="I63" i="3"/>
  <c r="J63" i="3" s="1"/>
  <c r="K63" i="3" s="1"/>
  <c r="I60" i="4"/>
  <c r="J60" i="4" s="1"/>
  <c r="K60" i="4" s="1"/>
  <c r="I62" i="4"/>
  <c r="J62" i="4" s="1"/>
  <c r="K62" i="4" s="1"/>
  <c r="I69" i="3"/>
  <c r="J69" i="3" s="1"/>
  <c r="K69" i="3" s="1"/>
  <c r="I69" i="4"/>
  <c r="J69" i="4" s="1"/>
  <c r="K69" i="4" s="1"/>
  <c r="I64" i="3"/>
  <c r="J64" i="3" s="1"/>
  <c r="K64" i="3" s="1"/>
  <c r="I46" i="3"/>
  <c r="J46" i="3" s="1"/>
  <c r="K46" i="3" s="1"/>
  <c r="I46" i="4"/>
  <c r="J46" i="4" s="1"/>
  <c r="K46" i="4" s="1"/>
  <c r="I44" i="3"/>
  <c r="J44" i="3" s="1"/>
  <c r="K44" i="3" s="1"/>
  <c r="I44" i="4"/>
  <c r="J44" i="4" s="1"/>
  <c r="K44" i="4" s="1"/>
  <c r="I38" i="3"/>
  <c r="J38" i="3" s="1"/>
  <c r="K38" i="3" s="1"/>
  <c r="I43" i="3"/>
  <c r="J43" i="3" s="1"/>
  <c r="K43" i="3" s="1"/>
  <c r="I42" i="4"/>
  <c r="J42" i="4" s="1"/>
  <c r="K42" i="4" s="1"/>
  <c r="I40" i="3"/>
  <c r="J40" i="3" s="1"/>
  <c r="K40" i="3" s="1"/>
  <c r="I39" i="4"/>
  <c r="J39" i="4" s="1"/>
  <c r="K39" i="4" s="1"/>
  <c r="I45" i="3"/>
  <c r="J45" i="3" s="1"/>
  <c r="K45" i="3" s="1"/>
  <c r="I43" i="4"/>
  <c r="J43" i="4" s="1"/>
  <c r="K43" i="4" s="1"/>
  <c r="I47" i="3"/>
  <c r="J47" i="3" s="1"/>
  <c r="K47" i="3" s="1"/>
  <c r="I41" i="3"/>
  <c r="J41" i="3" s="1"/>
  <c r="K41" i="3" s="1"/>
  <c r="I41" i="4"/>
  <c r="J41" i="4" s="1"/>
  <c r="K41" i="4" s="1"/>
  <c r="I39" i="3"/>
  <c r="J39" i="3" s="1"/>
  <c r="K39" i="3" s="1"/>
  <c r="I38" i="4"/>
  <c r="J38" i="4" s="1"/>
  <c r="K38" i="4" s="1"/>
  <c r="I45" i="4"/>
  <c r="J45" i="4" s="1"/>
  <c r="K45" i="4" s="1"/>
  <c r="I47" i="4"/>
  <c r="J47" i="4" s="1"/>
  <c r="K47" i="4" s="1"/>
  <c r="I42" i="3"/>
  <c r="J42" i="3" s="1"/>
  <c r="K42" i="3" s="1"/>
  <c r="I40" i="4"/>
  <c r="J40" i="4" s="1"/>
  <c r="K40" i="4" s="1"/>
  <c r="I18" i="4"/>
  <c r="J18" i="4" s="1"/>
  <c r="K18" i="4" s="1"/>
  <c r="I17" i="3"/>
  <c r="J17" i="3" s="1"/>
  <c r="K17" i="3" s="1"/>
  <c r="I25" i="3"/>
  <c r="J25" i="3" s="1"/>
  <c r="K25" i="3" s="1"/>
  <c r="I17" i="4"/>
  <c r="J17" i="4" s="1"/>
  <c r="K17" i="4" s="1"/>
  <c r="I25" i="4"/>
  <c r="J25" i="4" s="1"/>
  <c r="K25" i="4" s="1"/>
  <c r="I24" i="3"/>
  <c r="J24" i="3" s="1"/>
  <c r="K24" i="3" s="1"/>
  <c r="I19" i="4"/>
  <c r="J19" i="4" s="1"/>
  <c r="K19" i="4" s="1"/>
  <c r="I24" i="4"/>
  <c r="J24" i="4" s="1"/>
  <c r="K24" i="4" s="1"/>
  <c r="I19" i="3"/>
  <c r="J19" i="3" s="1"/>
  <c r="K19" i="3" s="1"/>
  <c r="I18" i="3"/>
  <c r="J18" i="3" s="1"/>
  <c r="K18" i="3" s="1"/>
  <c r="I20" i="3"/>
  <c r="J20" i="3" s="1"/>
  <c r="K20" i="3" s="1"/>
  <c r="I20" i="4"/>
  <c r="J20" i="4" s="1"/>
  <c r="K20" i="4" s="1"/>
  <c r="I16" i="4"/>
  <c r="J16" i="4" s="1"/>
  <c r="K16" i="4" s="1"/>
  <c r="I21" i="3"/>
  <c r="J21" i="3" s="1"/>
  <c r="K21" i="3" s="1"/>
  <c r="I16" i="3"/>
  <c r="J16" i="3" s="1"/>
  <c r="K16" i="3" s="1"/>
  <c r="I21" i="4"/>
  <c r="J21" i="4" s="1"/>
  <c r="K21" i="4" s="1"/>
  <c r="I23" i="4"/>
  <c r="I23" i="3"/>
  <c r="I22" i="3"/>
  <c r="I22" i="4"/>
  <c r="I57" i="3"/>
  <c r="J57" i="3" s="1"/>
  <c r="K57" i="3" s="1"/>
  <c r="I50" i="4"/>
  <c r="J50" i="4" s="1"/>
  <c r="K50" i="4" s="1"/>
  <c r="I57" i="4"/>
  <c r="J57" i="4" s="1"/>
  <c r="K57" i="4" s="1"/>
  <c r="I52" i="3"/>
  <c r="J52" i="3" s="1"/>
  <c r="K52" i="3" s="1"/>
  <c r="I54" i="3"/>
  <c r="J54" i="3" s="1"/>
  <c r="K54" i="3" s="1"/>
  <c r="I56" i="3"/>
  <c r="I55" i="4"/>
  <c r="J55" i="4" s="1"/>
  <c r="K55" i="4" s="1"/>
  <c r="I58" i="3"/>
  <c r="J58" i="3" s="1"/>
  <c r="K58" i="3" s="1"/>
  <c r="I53" i="4"/>
  <c r="J53" i="4" s="1"/>
  <c r="K53" i="4" s="1"/>
  <c r="I51" i="3"/>
  <c r="J51" i="3" s="1"/>
  <c r="K51" i="3" s="1"/>
  <c r="I55" i="3"/>
  <c r="J55" i="3" s="1"/>
  <c r="K55" i="3" s="1"/>
  <c r="I53" i="3"/>
  <c r="J53" i="3" s="1"/>
  <c r="K53" i="3" s="1"/>
  <c r="I54" i="4"/>
  <c r="J54" i="4" s="1"/>
  <c r="K54" i="4" s="1"/>
  <c r="I56" i="4"/>
  <c r="J56" i="4" s="1"/>
  <c r="K56" i="4" s="1"/>
  <c r="I51" i="4"/>
  <c r="J51" i="4" s="1"/>
  <c r="K51" i="4" s="1"/>
  <c r="I50" i="3"/>
  <c r="J50" i="3" s="1"/>
  <c r="K50" i="3" s="1"/>
  <c r="I49" i="4"/>
  <c r="J49" i="4" s="1"/>
  <c r="K49" i="4" s="1"/>
  <c r="I49" i="3"/>
  <c r="J49" i="3" s="1"/>
  <c r="K49" i="3" s="1"/>
  <c r="I58" i="4"/>
  <c r="J58" i="4" s="1"/>
  <c r="K58" i="4" s="1"/>
  <c r="I52" i="4"/>
  <c r="J52" i="4" s="1"/>
  <c r="K52" i="4" s="1"/>
  <c r="I33" i="4"/>
  <c r="J33" i="4" s="1"/>
  <c r="K33" i="4" s="1"/>
  <c r="I27" i="4"/>
  <c r="J27" i="4" s="1"/>
  <c r="K27" i="4" s="1"/>
  <c r="I31" i="3"/>
  <c r="J31" i="3" s="1"/>
  <c r="K31" i="3" s="1"/>
  <c r="I29" i="3"/>
  <c r="J29" i="3" s="1"/>
  <c r="K29" i="3" s="1"/>
  <c r="I28" i="3"/>
  <c r="J28" i="3" s="1"/>
  <c r="K28" i="3" s="1"/>
  <c r="I29" i="4"/>
  <c r="J29" i="4" s="1"/>
  <c r="K29" i="4" s="1"/>
  <c r="I34" i="4"/>
  <c r="J34" i="4" s="1"/>
  <c r="K34" i="4" s="1"/>
  <c r="I28" i="4"/>
  <c r="J28" i="4" s="1"/>
  <c r="K28" i="4" s="1"/>
  <c r="I32" i="3"/>
  <c r="J32" i="3" s="1"/>
  <c r="K32" i="3" s="1"/>
  <c r="I33" i="3"/>
  <c r="J33" i="3" s="1"/>
  <c r="K33" i="3" s="1"/>
  <c r="I30" i="4"/>
  <c r="J30" i="4" s="1"/>
  <c r="K30" i="4" s="1"/>
  <c r="I31" i="4"/>
  <c r="J31" i="4" s="1"/>
  <c r="K31" i="4" s="1"/>
  <c r="I35" i="3"/>
  <c r="J35" i="3" s="1"/>
  <c r="K35" i="3" s="1"/>
  <c r="I35" i="4"/>
  <c r="J35" i="4" s="1"/>
  <c r="K35" i="4" s="1"/>
  <c r="I30" i="3"/>
  <c r="J30" i="3" s="1"/>
  <c r="K30" i="3" s="1"/>
  <c r="I34" i="3"/>
  <c r="J34" i="3" s="1"/>
  <c r="K34" i="3" s="1"/>
  <c r="I32" i="4"/>
  <c r="J32" i="4" s="1"/>
  <c r="K32" i="4" s="1"/>
  <c r="I27" i="3"/>
  <c r="J27" i="3" s="1"/>
  <c r="K27" i="3" s="1"/>
  <c r="I36" i="3"/>
  <c r="J36" i="3" s="1"/>
  <c r="K36" i="3" s="1"/>
  <c r="I36" i="4"/>
  <c r="J36" i="4" s="1"/>
  <c r="K36" i="4" s="1"/>
  <c r="I145" i="5"/>
  <c r="J145" i="5" s="1"/>
  <c r="K145" i="5" s="1"/>
  <c r="I143" i="5"/>
  <c r="J143" i="5" s="1"/>
  <c r="K143" i="5" s="1"/>
  <c r="I142" i="5"/>
  <c r="J142" i="5" s="1"/>
  <c r="K142" i="5" s="1"/>
  <c r="I137" i="5"/>
  <c r="J137" i="5" s="1"/>
  <c r="K137" i="5" s="1"/>
  <c r="I146" i="5"/>
  <c r="J146" i="5" s="1"/>
  <c r="K146" i="5" s="1"/>
  <c r="I139" i="5"/>
  <c r="J139" i="5" s="1"/>
  <c r="K139" i="5" s="1"/>
  <c r="I140" i="5"/>
  <c r="J140" i="5" s="1"/>
  <c r="K140" i="5" s="1"/>
  <c r="I141" i="5"/>
  <c r="J141" i="5" s="1"/>
  <c r="K141" i="5" s="1"/>
  <c r="I138" i="5"/>
  <c r="J138" i="5" s="1"/>
  <c r="K138" i="5" s="1"/>
  <c r="I144" i="5"/>
  <c r="J144" i="5" s="1"/>
  <c r="K144" i="5" s="1"/>
  <c r="I123" i="5"/>
  <c r="J123" i="5" s="1"/>
  <c r="K123" i="5" s="1"/>
  <c r="I121" i="5"/>
  <c r="J121" i="5" s="1"/>
  <c r="K121" i="5" s="1"/>
  <c r="I117" i="5"/>
  <c r="J117" i="5" s="1"/>
  <c r="K117" i="5" s="1"/>
  <c r="I116" i="5"/>
  <c r="J116" i="5" s="1"/>
  <c r="K116" i="5" s="1"/>
  <c r="I124" i="5"/>
  <c r="J124" i="5" s="1"/>
  <c r="K124" i="5" s="1"/>
  <c r="I115" i="5"/>
  <c r="J115" i="5" s="1"/>
  <c r="K115" i="5" s="1"/>
  <c r="I119" i="5"/>
  <c r="J119" i="5" s="1"/>
  <c r="K119" i="5" s="1"/>
  <c r="I120" i="5"/>
  <c r="J120" i="5" s="1"/>
  <c r="K120" i="5" s="1"/>
  <c r="I118" i="5"/>
  <c r="J118" i="5" s="1"/>
  <c r="K118" i="5" s="1"/>
  <c r="I122" i="5"/>
  <c r="J122" i="5" s="1"/>
  <c r="K122" i="5" s="1"/>
  <c r="I94" i="5"/>
  <c r="J94" i="5" s="1"/>
  <c r="K94" i="5" s="1"/>
  <c r="I96" i="5"/>
  <c r="J96" i="5" s="1"/>
  <c r="K96" i="5" s="1"/>
  <c r="I97" i="5"/>
  <c r="J97" i="5" s="1"/>
  <c r="K97" i="5" s="1"/>
  <c r="I98" i="5"/>
  <c r="J98" i="5" s="1"/>
  <c r="K98" i="5" s="1"/>
  <c r="I101" i="5"/>
  <c r="J101" i="5" s="1"/>
  <c r="K101" i="5" s="1"/>
  <c r="I102" i="5"/>
  <c r="J102" i="5" s="1"/>
  <c r="K102" i="5" s="1"/>
  <c r="I95" i="5"/>
  <c r="J95" i="5" s="1"/>
  <c r="K95" i="5" s="1"/>
  <c r="I93" i="5"/>
  <c r="J93" i="5" s="1"/>
  <c r="K93" i="5" s="1"/>
  <c r="I100" i="5"/>
  <c r="I99" i="5"/>
  <c r="I79" i="5"/>
  <c r="J79" i="5" s="1"/>
  <c r="K79" i="5" s="1"/>
  <c r="I73" i="5"/>
  <c r="J73" i="5" s="1"/>
  <c r="K73" i="5" s="1"/>
  <c r="I76" i="5"/>
  <c r="J76" i="5" s="1"/>
  <c r="K76" i="5" s="1"/>
  <c r="I77" i="5"/>
  <c r="J77" i="5" s="1"/>
  <c r="K77" i="5" s="1"/>
  <c r="I74" i="5"/>
  <c r="J74" i="5" s="1"/>
  <c r="K74" i="5" s="1"/>
  <c r="I78" i="5"/>
  <c r="J78" i="5" s="1"/>
  <c r="K78" i="5" s="1"/>
  <c r="I75" i="5"/>
  <c r="J75" i="5" s="1"/>
  <c r="K75" i="5" s="1"/>
  <c r="I72" i="5"/>
  <c r="J72" i="5" s="1"/>
  <c r="K72" i="5" s="1"/>
  <c r="I71" i="5"/>
  <c r="J71" i="5" s="1"/>
  <c r="K71" i="5" s="1"/>
  <c r="I80" i="5"/>
  <c r="J80" i="5" s="1"/>
  <c r="K80" i="5" s="1"/>
  <c r="I52" i="5"/>
  <c r="J52" i="5" s="1"/>
  <c r="K52" i="5" s="1"/>
  <c r="I50" i="5"/>
  <c r="J50" i="5" s="1"/>
  <c r="K50" i="5" s="1"/>
  <c r="I55" i="5"/>
  <c r="J55" i="5" s="1"/>
  <c r="K55" i="5" s="1"/>
  <c r="I49" i="5"/>
  <c r="J49" i="5" s="1"/>
  <c r="K49" i="5" s="1"/>
  <c r="I57" i="5"/>
  <c r="J57" i="5" s="1"/>
  <c r="K57" i="5" s="1"/>
  <c r="I53" i="5"/>
  <c r="J53" i="5" s="1"/>
  <c r="K53" i="5" s="1"/>
  <c r="I56" i="5"/>
  <c r="J56" i="5" s="1"/>
  <c r="K56" i="5" s="1"/>
  <c r="I51" i="5"/>
  <c r="J51" i="5" s="1"/>
  <c r="K51" i="5" s="1"/>
  <c r="I58" i="5"/>
  <c r="J58" i="5" s="1"/>
  <c r="K58" i="5" s="1"/>
  <c r="I54" i="5"/>
  <c r="J54" i="5" s="1"/>
  <c r="K54" i="5" s="1"/>
  <c r="I32" i="5"/>
  <c r="J32" i="5" s="1"/>
  <c r="K32" i="5" s="1"/>
  <c r="I31" i="5"/>
  <c r="J31" i="5" s="1"/>
  <c r="K31" i="5" s="1"/>
  <c r="I35" i="5"/>
  <c r="J35" i="5" s="1"/>
  <c r="K35" i="5" s="1"/>
  <c r="I29" i="5"/>
  <c r="J29" i="5" s="1"/>
  <c r="K29" i="5" s="1"/>
  <c r="I27" i="5"/>
  <c r="J27" i="5" s="1"/>
  <c r="K27" i="5" s="1"/>
  <c r="I36" i="5"/>
  <c r="J36" i="5" s="1"/>
  <c r="K36" i="5" s="1"/>
  <c r="I33" i="5"/>
  <c r="J33" i="5" s="1"/>
  <c r="K33" i="5" s="1"/>
  <c r="I30" i="5"/>
  <c r="J30" i="5" s="1"/>
  <c r="K30" i="5" s="1"/>
  <c r="I28" i="5"/>
  <c r="J28" i="5" s="1"/>
  <c r="K28" i="5" s="1"/>
  <c r="I34" i="5"/>
  <c r="J34" i="5" s="1"/>
  <c r="K34" i="5" s="1"/>
  <c r="I11" i="5"/>
  <c r="I8" i="5"/>
  <c r="I7" i="5"/>
  <c r="I13" i="5"/>
  <c r="I12" i="5"/>
  <c r="I10" i="5"/>
  <c r="I14" i="5"/>
  <c r="I5" i="5"/>
  <c r="I9" i="5"/>
  <c r="I6" i="5"/>
  <c r="I156" i="5"/>
  <c r="J156" i="5" s="1"/>
  <c r="K156" i="5" s="1"/>
  <c r="I154" i="5"/>
  <c r="J154" i="5" s="1"/>
  <c r="K154" i="5" s="1"/>
  <c r="I153" i="5"/>
  <c r="J153" i="5" s="1"/>
  <c r="K153" i="5" s="1"/>
  <c r="I149" i="5"/>
  <c r="J149" i="5" s="1"/>
  <c r="K149" i="5" s="1"/>
  <c r="I155" i="5"/>
  <c r="J155" i="5" s="1"/>
  <c r="K155" i="5" s="1"/>
  <c r="I151" i="5"/>
  <c r="J151" i="5" s="1"/>
  <c r="K151" i="5" s="1"/>
  <c r="I150" i="5"/>
  <c r="J150" i="5" s="1"/>
  <c r="K150" i="5" s="1"/>
  <c r="I157" i="5"/>
  <c r="J157" i="5" s="1"/>
  <c r="K157" i="5" s="1"/>
  <c r="I152" i="5"/>
  <c r="J152" i="5" s="1"/>
  <c r="K152" i="5" s="1"/>
  <c r="I148" i="5"/>
  <c r="J148" i="5" s="1"/>
  <c r="K148" i="5" s="1"/>
  <c r="I134" i="5"/>
  <c r="J134" i="5" s="1"/>
  <c r="K134" i="5" s="1"/>
  <c r="I130" i="5"/>
  <c r="J130" i="5" s="1"/>
  <c r="K130" i="5" s="1"/>
  <c r="I131" i="5"/>
  <c r="J131" i="5" s="1"/>
  <c r="K131" i="5" s="1"/>
  <c r="I127" i="5"/>
  <c r="J127" i="5" s="1"/>
  <c r="K127" i="5" s="1"/>
  <c r="I126" i="5"/>
  <c r="J126" i="5" s="1"/>
  <c r="K126" i="5" s="1"/>
  <c r="I129" i="5"/>
  <c r="J129" i="5" s="1"/>
  <c r="K129" i="5" s="1"/>
  <c r="I128" i="5"/>
  <c r="J128" i="5" s="1"/>
  <c r="K128" i="5" s="1"/>
  <c r="I135" i="5"/>
  <c r="J135" i="5" s="1"/>
  <c r="K135" i="5" s="1"/>
  <c r="I132" i="5"/>
  <c r="J132" i="5" s="1"/>
  <c r="K132" i="5" s="1"/>
  <c r="I133" i="5"/>
  <c r="J133" i="5" s="1"/>
  <c r="K133" i="5" s="1"/>
  <c r="I112" i="5"/>
  <c r="J112" i="5" s="1"/>
  <c r="K112" i="5" s="1"/>
  <c r="I105" i="5"/>
  <c r="J105" i="5" s="1"/>
  <c r="K105" i="5" s="1"/>
  <c r="I109" i="5"/>
  <c r="J109" i="5" s="1"/>
  <c r="K109" i="5" s="1"/>
  <c r="I107" i="5"/>
  <c r="J107" i="5" s="1"/>
  <c r="K107" i="5" s="1"/>
  <c r="I111" i="5"/>
  <c r="J111" i="5" s="1"/>
  <c r="K111" i="5" s="1"/>
  <c r="I113" i="5"/>
  <c r="J113" i="5" s="1"/>
  <c r="K113" i="5" s="1"/>
  <c r="I106" i="5"/>
  <c r="J106" i="5" s="1"/>
  <c r="K106" i="5" s="1"/>
  <c r="I110" i="5"/>
  <c r="J110" i="5" s="1"/>
  <c r="K110" i="5" s="1"/>
  <c r="I104" i="5"/>
  <c r="J104" i="5" s="1"/>
  <c r="K104" i="5" s="1"/>
  <c r="I108" i="5"/>
  <c r="J108" i="5" s="1"/>
  <c r="K108" i="5" s="1"/>
  <c r="I88" i="5"/>
  <c r="J88" i="5" s="1"/>
  <c r="K88" i="5" s="1"/>
  <c r="I84" i="5"/>
  <c r="J84" i="5" s="1"/>
  <c r="K84" i="5" s="1"/>
  <c r="I87" i="5"/>
  <c r="J87" i="5" s="1"/>
  <c r="K87" i="5" s="1"/>
  <c r="I90" i="5"/>
  <c r="J90" i="5" s="1"/>
  <c r="K90" i="5" s="1"/>
  <c r="I82" i="5"/>
  <c r="J82" i="5" s="1"/>
  <c r="K82" i="5" s="1"/>
  <c r="I86" i="5"/>
  <c r="J86" i="5" s="1"/>
  <c r="K86" i="5" s="1"/>
  <c r="I91" i="5"/>
  <c r="J91" i="5" s="1"/>
  <c r="K91" i="5" s="1"/>
  <c r="I83" i="5"/>
  <c r="J83" i="5" s="1"/>
  <c r="K83" i="5" s="1"/>
  <c r="I89" i="5"/>
  <c r="J89" i="5" s="1"/>
  <c r="K89" i="5" s="1"/>
  <c r="I85" i="5"/>
  <c r="J85" i="5" s="1"/>
  <c r="K85" i="5" s="1"/>
  <c r="I66" i="5"/>
  <c r="J66" i="5" s="1"/>
  <c r="K66" i="5" s="1"/>
  <c r="I68" i="5"/>
  <c r="J68" i="5" s="1"/>
  <c r="K68" i="5" s="1"/>
  <c r="I63" i="5"/>
  <c r="J63" i="5" s="1"/>
  <c r="K63" i="5" s="1"/>
  <c r="I62" i="5"/>
  <c r="J62" i="5" s="1"/>
  <c r="K62" i="5" s="1"/>
  <c r="I64" i="5"/>
  <c r="J64" i="5" s="1"/>
  <c r="K64" i="5" s="1"/>
  <c r="I65" i="5"/>
  <c r="J65" i="5" s="1"/>
  <c r="K65" i="5" s="1"/>
  <c r="I60" i="5"/>
  <c r="J60" i="5" s="1"/>
  <c r="K60" i="5" s="1"/>
  <c r="I61" i="5"/>
  <c r="J61" i="5" s="1"/>
  <c r="K61" i="5" s="1"/>
  <c r="I67" i="5"/>
  <c r="J67" i="5" s="1"/>
  <c r="K67" i="5" s="1"/>
  <c r="I69" i="5"/>
  <c r="J69" i="5" s="1"/>
  <c r="K69" i="5" s="1"/>
  <c r="I44" i="5"/>
  <c r="J44" i="5" s="1"/>
  <c r="K44" i="5" s="1"/>
  <c r="I46" i="5"/>
  <c r="J46" i="5" s="1"/>
  <c r="K46" i="5" s="1"/>
  <c r="I40" i="5"/>
  <c r="J40" i="5" s="1"/>
  <c r="K40" i="5" s="1"/>
  <c r="I45" i="5"/>
  <c r="J45" i="5" s="1"/>
  <c r="K45" i="5" s="1"/>
  <c r="I39" i="5"/>
  <c r="J39" i="5" s="1"/>
  <c r="K39" i="5" s="1"/>
  <c r="I47" i="5"/>
  <c r="J47" i="5" s="1"/>
  <c r="K47" i="5" s="1"/>
  <c r="I42" i="5"/>
  <c r="J42" i="5" s="1"/>
  <c r="K42" i="5" s="1"/>
  <c r="I41" i="5"/>
  <c r="J41" i="5" s="1"/>
  <c r="K41" i="5" s="1"/>
  <c r="I38" i="5"/>
  <c r="J38" i="5" s="1"/>
  <c r="K38" i="5" s="1"/>
  <c r="I43" i="5"/>
  <c r="J43" i="5" s="1"/>
  <c r="K43" i="5" s="1"/>
  <c r="I16" i="5"/>
  <c r="J16" i="5" s="1"/>
  <c r="K16" i="5" s="1"/>
  <c r="I20" i="5"/>
  <c r="J20" i="5" s="1"/>
  <c r="K20" i="5" s="1"/>
  <c r="I24" i="5"/>
  <c r="J24" i="5" s="1"/>
  <c r="K24" i="5" s="1"/>
  <c r="I21" i="5"/>
  <c r="J21" i="5" s="1"/>
  <c r="K21" i="5" s="1"/>
  <c r="I19" i="5"/>
  <c r="J19" i="5" s="1"/>
  <c r="K19" i="5" s="1"/>
  <c r="I18" i="5"/>
  <c r="J18" i="5" s="1"/>
  <c r="K18" i="5" s="1"/>
  <c r="I17" i="5"/>
  <c r="J17" i="5" s="1"/>
  <c r="K17" i="5" s="1"/>
  <c r="I25" i="5"/>
  <c r="J25" i="5" s="1"/>
  <c r="K25" i="5" s="1"/>
  <c r="I23" i="5"/>
  <c r="I22" i="5"/>
  <c r="G110" i="11"/>
  <c r="G108" i="10"/>
  <c r="G111" i="9"/>
  <c r="G112" i="10"/>
  <c r="G112" i="16" s="1"/>
  <c r="G112" i="12" s="1"/>
  <c r="G111" i="11"/>
  <c r="G109" i="10"/>
  <c r="G104" i="10"/>
  <c r="G111" i="10"/>
  <c r="G113" i="10"/>
  <c r="G106" i="10"/>
  <c r="G107" i="10"/>
  <c r="G105" i="10"/>
  <c r="G110" i="10"/>
  <c r="G110" i="9"/>
  <c r="G105" i="11"/>
  <c r="G104" i="11"/>
  <c r="G109" i="11"/>
  <c r="G113" i="11"/>
  <c r="G108" i="11"/>
  <c r="G106" i="9"/>
  <c r="G108" i="9"/>
  <c r="G112" i="11"/>
  <c r="G109" i="9"/>
  <c r="G113" i="9"/>
  <c r="G107" i="9"/>
  <c r="G104" i="9"/>
  <c r="G105" i="9"/>
  <c r="G112" i="9"/>
  <c r="G106" i="11"/>
  <c r="G107" i="11"/>
  <c r="G79" i="10"/>
  <c r="G79" i="16" s="1"/>
  <c r="G79" i="12" s="1"/>
  <c r="G73" i="10"/>
  <c r="G76" i="10"/>
  <c r="G77" i="10"/>
  <c r="G71" i="10"/>
  <c r="G78" i="9"/>
  <c r="G76" i="11"/>
  <c r="G75" i="10"/>
  <c r="G80" i="10"/>
  <c r="G72" i="10"/>
  <c r="G72" i="11"/>
  <c r="G78" i="11"/>
  <c r="G74" i="10"/>
  <c r="G71" i="11"/>
  <c r="G77" i="11"/>
  <c r="G78" i="10"/>
  <c r="G77" i="9"/>
  <c r="G79" i="9"/>
  <c r="G75" i="11"/>
  <c r="G73" i="9"/>
  <c r="G79" i="11"/>
  <c r="G72" i="9"/>
  <c r="G76" i="9"/>
  <c r="G80" i="9"/>
  <c r="G80" i="11"/>
  <c r="G75" i="9"/>
  <c r="G74" i="9"/>
  <c r="G71" i="9"/>
  <c r="G73" i="11"/>
  <c r="G74" i="11"/>
  <c r="G169" i="7"/>
  <c r="G11" i="11"/>
  <c r="G10" i="10"/>
  <c r="G14" i="10"/>
  <c r="G5" i="10"/>
  <c r="G11" i="10"/>
  <c r="G12" i="9"/>
  <c r="G5" i="11"/>
  <c r="G12" i="11"/>
  <c r="G7" i="10"/>
  <c r="G8" i="10"/>
  <c r="G6" i="10"/>
  <c r="G9" i="10"/>
  <c r="G6" i="11"/>
  <c r="G13" i="10"/>
  <c r="G12" i="10"/>
  <c r="G10" i="11"/>
  <c r="G11" i="9"/>
  <c r="G14" i="11"/>
  <c r="G8" i="9"/>
  <c r="G13" i="9"/>
  <c r="G10" i="9"/>
  <c r="G9" i="11"/>
  <c r="G5" i="9"/>
  <c r="G14" i="9"/>
  <c r="G13" i="11"/>
  <c r="G9" i="9"/>
  <c r="G6" i="9"/>
  <c r="G7" i="9"/>
  <c r="G7" i="11"/>
  <c r="G8" i="11"/>
  <c r="G156" i="10"/>
  <c r="G156" i="16" s="1"/>
  <c r="G156" i="12" s="1"/>
  <c r="G157" i="10"/>
  <c r="G151" i="10"/>
  <c r="G153" i="10"/>
  <c r="G148" i="11"/>
  <c r="G150" i="10"/>
  <c r="G148" i="10"/>
  <c r="G149" i="10"/>
  <c r="G154" i="11"/>
  <c r="G154" i="9"/>
  <c r="G155" i="9"/>
  <c r="G149" i="11"/>
  <c r="G153" i="11"/>
  <c r="G155" i="11"/>
  <c r="G155" i="10"/>
  <c r="G154" i="10"/>
  <c r="G152" i="10"/>
  <c r="G152" i="11"/>
  <c r="G152" i="9"/>
  <c r="G156" i="9"/>
  <c r="G148" i="9"/>
  <c r="G153" i="9"/>
  <c r="G149" i="9"/>
  <c r="G150" i="9"/>
  <c r="G157" i="9"/>
  <c r="G157" i="11"/>
  <c r="G156" i="11"/>
  <c r="G151" i="9"/>
  <c r="G150" i="11"/>
  <c r="G151" i="11"/>
  <c r="G134" i="10"/>
  <c r="G134" i="16" s="1"/>
  <c r="G134" i="12" s="1"/>
  <c r="G135" i="10"/>
  <c r="G131" i="11"/>
  <c r="G127" i="11"/>
  <c r="G131" i="10"/>
  <c r="G126" i="10"/>
  <c r="G130" i="10"/>
  <c r="G129" i="10"/>
  <c r="G126" i="11"/>
  <c r="G127" i="10"/>
  <c r="G128" i="10"/>
  <c r="G134" i="11"/>
  <c r="G129" i="9"/>
  <c r="G128" i="9"/>
  <c r="G131" i="9"/>
  <c r="G134" i="9"/>
  <c r="G135" i="11"/>
  <c r="G135" i="9"/>
  <c r="G126" i="9"/>
  <c r="G127" i="9"/>
  <c r="G130" i="11"/>
  <c r="G130" i="9"/>
  <c r="G128" i="11"/>
  <c r="G129" i="11"/>
  <c r="G89" i="11"/>
  <c r="G88" i="11"/>
  <c r="G86" i="10"/>
  <c r="G87" i="10"/>
  <c r="G89" i="10"/>
  <c r="G83" i="10"/>
  <c r="G83" i="11"/>
  <c r="G87" i="11"/>
  <c r="G90" i="10"/>
  <c r="G90" i="16" s="1"/>
  <c r="G90" i="12" s="1"/>
  <c r="G84" i="10"/>
  <c r="G85" i="10"/>
  <c r="G89" i="9"/>
  <c r="G82" i="11"/>
  <c r="G82" i="10"/>
  <c r="G88" i="10"/>
  <c r="G91" i="10"/>
  <c r="G88" i="9"/>
  <c r="G90" i="9"/>
  <c r="G91" i="11"/>
  <c r="G83" i="9"/>
  <c r="G84" i="9"/>
  <c r="G86" i="9"/>
  <c r="G82" i="9"/>
  <c r="G85" i="9"/>
  <c r="G86" i="11"/>
  <c r="G90" i="11"/>
  <c r="G87" i="9"/>
  <c r="G91" i="9"/>
  <c r="G84" i="11"/>
  <c r="G85" i="11"/>
  <c r="G34" i="11"/>
  <c r="G33" i="11"/>
  <c r="G30" i="10"/>
  <c r="G36" i="10"/>
  <c r="G33" i="9"/>
  <c r="G27" i="11"/>
  <c r="G35" i="10"/>
  <c r="G35" i="16" s="1"/>
  <c r="G35" i="12" s="1"/>
  <c r="G32" i="10"/>
  <c r="G28" i="10"/>
  <c r="G34" i="10"/>
  <c r="G34" i="9"/>
  <c r="G33" i="10"/>
  <c r="G27" i="10"/>
  <c r="G28" i="11"/>
  <c r="G32" i="11"/>
  <c r="G29" i="10"/>
  <c r="G31" i="10"/>
  <c r="G35" i="11"/>
  <c r="G35" i="9"/>
  <c r="G27" i="9"/>
  <c r="G31" i="9"/>
  <c r="G29" i="9"/>
  <c r="G36" i="9"/>
  <c r="G29" i="11"/>
  <c r="G36" i="11"/>
  <c r="G28" i="9"/>
  <c r="G30" i="9"/>
  <c r="G31" i="11"/>
  <c r="G32" i="9"/>
  <c r="G30" i="11"/>
  <c r="G145" i="10"/>
  <c r="G145" i="16" s="1"/>
  <c r="G145" i="12" s="1"/>
  <c r="G146" i="10"/>
  <c r="G137" i="10"/>
  <c r="G143" i="11"/>
  <c r="G142" i="10"/>
  <c r="G143" i="9"/>
  <c r="G142" i="11"/>
  <c r="G139" i="10"/>
  <c r="G140" i="10"/>
  <c r="G143" i="10"/>
  <c r="G141" i="10"/>
  <c r="G138" i="10"/>
  <c r="G144" i="9"/>
  <c r="G144" i="11"/>
  <c r="G144" i="10"/>
  <c r="G138" i="11"/>
  <c r="G137" i="11"/>
  <c r="G141" i="9"/>
  <c r="G138" i="9"/>
  <c r="G146" i="11"/>
  <c r="G145" i="11"/>
  <c r="G140" i="9"/>
  <c r="G142" i="9"/>
  <c r="G145" i="9"/>
  <c r="G141" i="11"/>
  <c r="G139" i="9"/>
  <c r="G137" i="9"/>
  <c r="G146" i="9"/>
  <c r="G139" i="11"/>
  <c r="G140" i="11"/>
  <c r="G95" i="10"/>
  <c r="G101" i="10"/>
  <c r="G101" i="16" s="1"/>
  <c r="G101" i="12" s="1"/>
  <c r="G94" i="10"/>
  <c r="G94" i="11"/>
  <c r="G98" i="10"/>
  <c r="G93" i="10"/>
  <c r="G97" i="10"/>
  <c r="G93" i="11"/>
  <c r="G96" i="10"/>
  <c r="G102" i="10"/>
  <c r="G98" i="11"/>
  <c r="G96" i="9"/>
  <c r="G102" i="9"/>
  <c r="G97" i="11"/>
  <c r="G98" i="9"/>
  <c r="G101" i="11"/>
  <c r="G93" i="9"/>
  <c r="G95" i="9"/>
  <c r="G102" i="11"/>
  <c r="G97" i="9"/>
  <c r="G94" i="9"/>
  <c r="G101" i="9"/>
  <c r="G95" i="11"/>
  <c r="G96" i="11"/>
  <c r="G61" i="10"/>
  <c r="G66" i="9"/>
  <c r="G67" i="11"/>
  <c r="G62" i="10"/>
  <c r="G63" i="10"/>
  <c r="G69" i="10"/>
  <c r="G60" i="11"/>
  <c r="G67" i="10"/>
  <c r="G67" i="9"/>
  <c r="G68" i="10"/>
  <c r="G68" i="16" s="1"/>
  <c r="G68" i="12" s="1"/>
  <c r="G66" i="11"/>
  <c r="G60" i="10"/>
  <c r="G65" i="10"/>
  <c r="G66" i="10"/>
  <c r="G64" i="10"/>
  <c r="G61" i="11"/>
  <c r="G65" i="11"/>
  <c r="G69" i="9"/>
  <c r="G68" i="9"/>
  <c r="G64" i="11"/>
  <c r="G69" i="11"/>
  <c r="G64" i="9"/>
  <c r="G63" i="9"/>
  <c r="G68" i="11"/>
  <c r="G62" i="9"/>
  <c r="G65" i="9"/>
  <c r="G61" i="9"/>
  <c r="G60" i="9"/>
  <c r="G62" i="11"/>
  <c r="G63" i="11"/>
  <c r="G46" i="10"/>
  <c r="G46" i="16" s="1"/>
  <c r="G46" i="12" s="1"/>
  <c r="G47" i="10"/>
  <c r="G42" i="10"/>
  <c r="G44" i="10"/>
  <c r="G38" i="10"/>
  <c r="G44" i="9"/>
  <c r="G45" i="9"/>
  <c r="G38" i="11"/>
  <c r="G43" i="11"/>
  <c r="G44" i="11"/>
  <c r="G39" i="10"/>
  <c r="G40" i="10"/>
  <c r="G41" i="10"/>
  <c r="G45" i="11"/>
  <c r="G43" i="10"/>
  <c r="G45" i="10"/>
  <c r="G39" i="11"/>
  <c r="G47" i="11"/>
  <c r="G46" i="11"/>
  <c r="G38" i="9"/>
  <c r="G40" i="9"/>
  <c r="G42" i="11"/>
  <c r="G43" i="9"/>
  <c r="G47" i="9"/>
  <c r="G39" i="9"/>
  <c r="G46" i="9"/>
  <c r="G42" i="9"/>
  <c r="G41" i="9"/>
  <c r="G40" i="11"/>
  <c r="G41" i="11"/>
  <c r="G115" i="10"/>
  <c r="G116" i="10"/>
  <c r="G121" i="11"/>
  <c r="G117" i="10"/>
  <c r="G120" i="10"/>
  <c r="G121" i="10"/>
  <c r="G124" i="10"/>
  <c r="G120" i="11"/>
  <c r="G123" i="10"/>
  <c r="G123" i="16" s="1"/>
  <c r="G123" i="12" s="1"/>
  <c r="G122" i="11"/>
  <c r="G118" i="10"/>
  <c r="G122" i="10"/>
  <c r="G121" i="9"/>
  <c r="G116" i="11"/>
  <c r="G119" i="10"/>
  <c r="G122" i="9"/>
  <c r="G115" i="11"/>
  <c r="G119" i="11"/>
  <c r="G116" i="9"/>
  <c r="G123" i="11"/>
  <c r="G124" i="9"/>
  <c r="G119" i="9"/>
  <c r="G124" i="11"/>
  <c r="G118" i="9"/>
  <c r="G115" i="9"/>
  <c r="G117" i="9"/>
  <c r="G120" i="9"/>
  <c r="G123" i="9"/>
  <c r="G117" i="11"/>
  <c r="G118" i="11"/>
  <c r="G53" i="10"/>
  <c r="G50" i="10"/>
  <c r="G56" i="10"/>
  <c r="G52" i="10"/>
  <c r="G56" i="9"/>
  <c r="G50" i="11"/>
  <c r="G55" i="9"/>
  <c r="G49" i="11"/>
  <c r="G57" i="10"/>
  <c r="G57" i="16" s="1"/>
  <c r="G57" i="12" s="1"/>
  <c r="G55" i="11"/>
  <c r="G54" i="10"/>
  <c r="G55" i="10"/>
  <c r="G54" i="11"/>
  <c r="G56" i="11"/>
  <c r="G51" i="10"/>
  <c r="G58" i="10"/>
  <c r="G49" i="10"/>
  <c r="G53" i="9"/>
  <c r="G57" i="9"/>
  <c r="G57" i="11"/>
  <c r="G49" i="9"/>
  <c r="G58" i="11"/>
  <c r="G58" i="9"/>
  <c r="G52" i="9"/>
  <c r="G53" i="11"/>
  <c r="G50" i="9"/>
  <c r="G51" i="9"/>
  <c r="G54" i="9"/>
  <c r="G51" i="11"/>
  <c r="G52" i="11"/>
  <c r="G21" i="10"/>
  <c r="G17" i="11"/>
  <c r="G16" i="11"/>
  <c r="G20" i="10"/>
  <c r="G19" i="10"/>
  <c r="G25" i="10"/>
  <c r="G21" i="11"/>
  <c r="G24" i="10"/>
  <c r="G18" i="10"/>
  <c r="G16" i="10"/>
  <c r="G17" i="10"/>
  <c r="G24" i="11"/>
  <c r="G17" i="9"/>
  <c r="G21" i="9"/>
  <c r="G19" i="9"/>
  <c r="G20" i="11"/>
  <c r="G25" i="9"/>
  <c r="G20" i="9"/>
  <c r="G18" i="9"/>
  <c r="G25" i="11"/>
  <c r="G24" i="9"/>
  <c r="G16" i="9"/>
  <c r="G18" i="11"/>
  <c r="G19" i="11"/>
  <c r="F122" i="11"/>
  <c r="F120" i="10"/>
  <c r="F122" i="10"/>
  <c r="F117" i="10"/>
  <c r="F118" i="10"/>
  <c r="F124" i="10"/>
  <c r="F122" i="9"/>
  <c r="F115" i="10"/>
  <c r="F116" i="11"/>
  <c r="F123" i="10"/>
  <c r="F123" i="16" s="1"/>
  <c r="F123" i="12" s="1"/>
  <c r="F119" i="10"/>
  <c r="F121" i="10"/>
  <c r="F121" i="9"/>
  <c r="F115" i="11"/>
  <c r="F121" i="11"/>
  <c r="F116" i="10"/>
  <c r="F120" i="11"/>
  <c r="F115" i="9"/>
  <c r="F116" i="9"/>
  <c r="F117" i="9"/>
  <c r="F123" i="11"/>
  <c r="F119" i="9"/>
  <c r="F118" i="9"/>
  <c r="F124" i="11"/>
  <c r="F119" i="11"/>
  <c r="F123" i="9"/>
  <c r="F124" i="9"/>
  <c r="F120" i="9"/>
  <c r="F117" i="11"/>
  <c r="F118" i="11"/>
  <c r="F50" i="10"/>
  <c r="F54" i="10"/>
  <c r="F51" i="10"/>
  <c r="F52" i="10"/>
  <c r="F55" i="10"/>
  <c r="F49" i="11"/>
  <c r="F54" i="11"/>
  <c r="F55" i="11"/>
  <c r="F58" i="10"/>
  <c r="F55" i="9"/>
  <c r="F50" i="11"/>
  <c r="F53" i="10"/>
  <c r="F56" i="9"/>
  <c r="F57" i="10"/>
  <c r="F57" i="16" s="1"/>
  <c r="F57" i="12" s="1"/>
  <c r="F56" i="11"/>
  <c r="F49" i="10"/>
  <c r="F56" i="10"/>
  <c r="F50" i="9"/>
  <c r="F52" i="9"/>
  <c r="F58" i="9"/>
  <c r="F57" i="9"/>
  <c r="F58" i="11"/>
  <c r="F53" i="11"/>
  <c r="F57" i="11"/>
  <c r="F53" i="9"/>
  <c r="F49" i="9"/>
  <c r="F51" i="9"/>
  <c r="F54" i="9"/>
  <c r="F51" i="11"/>
  <c r="F52" i="11"/>
  <c r="F169" i="7"/>
  <c r="F6" i="10"/>
  <c r="F13" i="10"/>
  <c r="F7" i="10"/>
  <c r="F12" i="9"/>
  <c r="F10" i="11"/>
  <c r="F11" i="11"/>
  <c r="F6" i="11"/>
  <c r="F5" i="11"/>
  <c r="F10" i="10"/>
  <c r="F11" i="10"/>
  <c r="F8" i="10"/>
  <c r="F14" i="10"/>
  <c r="F11" i="9"/>
  <c r="F12" i="11"/>
  <c r="F5" i="10"/>
  <c r="F12" i="10"/>
  <c r="F9" i="10"/>
  <c r="F13" i="9"/>
  <c r="F9" i="11"/>
  <c r="F13" i="11"/>
  <c r="F7" i="9"/>
  <c r="F10" i="9"/>
  <c r="F9" i="9"/>
  <c r="F8" i="9"/>
  <c r="F14" i="11"/>
  <c r="F14" i="9"/>
  <c r="F6" i="9"/>
  <c r="F5" i="9"/>
  <c r="F7" i="11"/>
  <c r="F8" i="11"/>
  <c r="F142" i="10"/>
  <c r="F145" i="10"/>
  <c r="F145" i="16" s="1"/>
  <c r="F145" i="12" s="1"/>
  <c r="F143" i="11"/>
  <c r="F138" i="10"/>
  <c r="F142" i="11"/>
  <c r="F139" i="10"/>
  <c r="F138" i="11"/>
  <c r="F137" i="10"/>
  <c r="F143" i="9"/>
  <c r="F137" i="11"/>
  <c r="F144" i="11"/>
  <c r="F146" i="10"/>
  <c r="F143" i="10"/>
  <c r="F141" i="10"/>
  <c r="F140" i="10"/>
  <c r="F144" i="10"/>
  <c r="F144" i="9"/>
  <c r="F145" i="11"/>
  <c r="F140" i="9"/>
  <c r="F145" i="9"/>
  <c r="F146" i="9"/>
  <c r="F141" i="11"/>
  <c r="F138" i="9"/>
  <c r="F142" i="9"/>
  <c r="F146" i="11"/>
  <c r="F141" i="9"/>
  <c r="F137" i="9"/>
  <c r="F139" i="9"/>
  <c r="F139" i="11"/>
  <c r="F140" i="11"/>
  <c r="F94" i="10"/>
  <c r="F95" i="10"/>
  <c r="F97" i="10"/>
  <c r="F93" i="11"/>
  <c r="F93" i="10"/>
  <c r="F96" i="10"/>
  <c r="F94" i="11"/>
  <c r="F101" i="10"/>
  <c r="F101" i="16" s="1"/>
  <c r="F101" i="12" s="1"/>
  <c r="F98" i="11"/>
  <c r="F102" i="10"/>
  <c r="F98" i="10"/>
  <c r="F97" i="11"/>
  <c r="F102" i="11"/>
  <c r="F98" i="9"/>
  <c r="F101" i="9"/>
  <c r="F101" i="11"/>
  <c r="F95" i="9"/>
  <c r="F96" i="9"/>
  <c r="F94" i="9"/>
  <c r="F97" i="9"/>
  <c r="F102" i="9"/>
  <c r="F93" i="9"/>
  <c r="F95" i="11"/>
  <c r="F96" i="11"/>
  <c r="F68" i="10"/>
  <c r="F68" i="16" s="1"/>
  <c r="F68" i="12" s="1"/>
  <c r="F61" i="10"/>
  <c r="F60" i="10"/>
  <c r="F67" i="9"/>
  <c r="F67" i="11"/>
  <c r="F66" i="11"/>
  <c r="F62" i="10"/>
  <c r="F66" i="10"/>
  <c r="F65" i="11"/>
  <c r="F64" i="10"/>
  <c r="F65" i="10"/>
  <c r="F61" i="11"/>
  <c r="F63" i="10"/>
  <c r="F69" i="10"/>
  <c r="F67" i="10"/>
  <c r="F66" i="9"/>
  <c r="F60" i="11"/>
  <c r="F64" i="9"/>
  <c r="F61" i="9"/>
  <c r="F69" i="11"/>
  <c r="F68" i="9"/>
  <c r="F69" i="9"/>
  <c r="F60" i="9"/>
  <c r="F62" i="9"/>
  <c r="F64" i="11"/>
  <c r="F68" i="11"/>
  <c r="F63" i="9"/>
  <c r="F65" i="9"/>
  <c r="F62" i="11"/>
  <c r="F63" i="11"/>
  <c r="F30" i="10"/>
  <c r="F34" i="9"/>
  <c r="F28" i="11"/>
  <c r="F34" i="11"/>
  <c r="F33" i="11"/>
  <c r="F29" i="10"/>
  <c r="F35" i="10"/>
  <c r="F35" i="16" s="1"/>
  <c r="F35" i="12" s="1"/>
  <c r="F28" i="10"/>
  <c r="F34" i="10"/>
  <c r="F31" i="10"/>
  <c r="F33" i="9"/>
  <c r="F27" i="11"/>
  <c r="F33" i="10"/>
  <c r="F32" i="10"/>
  <c r="F27" i="10"/>
  <c r="F36" i="10"/>
  <c r="F32" i="11"/>
  <c r="F29" i="9"/>
  <c r="F36" i="9"/>
  <c r="F36" i="11"/>
  <c r="F31" i="9"/>
  <c r="F27" i="9"/>
  <c r="F35" i="9"/>
  <c r="F30" i="9"/>
  <c r="F31" i="11"/>
  <c r="F35" i="11"/>
  <c r="F28" i="9"/>
  <c r="F32" i="9"/>
  <c r="F29" i="11"/>
  <c r="F30" i="11"/>
  <c r="F109" i="10"/>
  <c r="F108" i="10"/>
  <c r="F111" i="10"/>
  <c r="F104" i="11"/>
  <c r="F106" i="10"/>
  <c r="F107" i="10"/>
  <c r="F113" i="10"/>
  <c r="F110" i="10"/>
  <c r="F111" i="9"/>
  <c r="F109" i="11"/>
  <c r="F112" i="10"/>
  <c r="F112" i="16" s="1"/>
  <c r="F112" i="12" s="1"/>
  <c r="F110" i="11"/>
  <c r="F111" i="11"/>
  <c r="F105" i="10"/>
  <c r="F104" i="10"/>
  <c r="F105" i="11"/>
  <c r="F110" i="9"/>
  <c r="F108" i="9"/>
  <c r="F106" i="9"/>
  <c r="F112" i="11"/>
  <c r="F104" i="9"/>
  <c r="F112" i="9"/>
  <c r="F109" i="9"/>
  <c r="F108" i="11"/>
  <c r="F113" i="11"/>
  <c r="F113" i="9"/>
  <c r="F107" i="9"/>
  <c r="F105" i="9"/>
  <c r="F106" i="11"/>
  <c r="F107" i="11"/>
  <c r="F85" i="10"/>
  <c r="F87" i="10"/>
  <c r="F91" i="10"/>
  <c r="F88" i="9"/>
  <c r="F87" i="11"/>
  <c r="F83" i="10"/>
  <c r="F83" i="11"/>
  <c r="F82" i="11"/>
  <c r="F90" i="10"/>
  <c r="F90" i="16" s="1"/>
  <c r="F90" i="12" s="1"/>
  <c r="F88" i="11"/>
  <c r="F89" i="11"/>
  <c r="F82" i="10"/>
  <c r="F89" i="10"/>
  <c r="F88" i="10"/>
  <c r="F89" i="9"/>
  <c r="F84" i="10"/>
  <c r="F86" i="10"/>
  <c r="F86" i="11"/>
  <c r="F90" i="11"/>
  <c r="F82" i="9"/>
  <c r="F90" i="9"/>
  <c r="F85" i="9"/>
  <c r="F87" i="9"/>
  <c r="F83" i="9"/>
  <c r="F84" i="9"/>
  <c r="F91" i="11"/>
  <c r="F91" i="9"/>
  <c r="F86" i="9"/>
  <c r="F84" i="11"/>
  <c r="F85" i="11"/>
  <c r="F20" i="10"/>
  <c r="F18" i="10"/>
  <c r="F17" i="11"/>
  <c r="F24" i="10"/>
  <c r="F21" i="10"/>
  <c r="F17" i="10"/>
  <c r="F16" i="10"/>
  <c r="F21" i="11"/>
  <c r="F25" i="10"/>
  <c r="F19" i="10"/>
  <c r="F16" i="11"/>
  <c r="F25" i="11"/>
  <c r="F18" i="9"/>
  <c r="F20" i="11"/>
  <c r="F16" i="9"/>
  <c r="F24" i="11"/>
  <c r="F17" i="9"/>
  <c r="F19" i="9"/>
  <c r="F25" i="9"/>
  <c r="F18" i="11"/>
  <c r="F20" i="9"/>
  <c r="F24" i="9"/>
  <c r="F21" i="9"/>
  <c r="F19" i="11"/>
  <c r="F156" i="10"/>
  <c r="F156" i="16" s="1"/>
  <c r="F156" i="12" s="1"/>
  <c r="F155" i="11"/>
  <c r="F150" i="10"/>
  <c r="F148" i="10"/>
  <c r="F149" i="10"/>
  <c r="F154" i="9"/>
  <c r="F149" i="11"/>
  <c r="F154" i="10"/>
  <c r="F152" i="10"/>
  <c r="F155" i="9"/>
  <c r="F153" i="11"/>
  <c r="F154" i="11"/>
  <c r="F153" i="10"/>
  <c r="F157" i="10"/>
  <c r="F151" i="10"/>
  <c r="F155" i="10"/>
  <c r="F148" i="11"/>
  <c r="F152" i="11"/>
  <c r="F156" i="11"/>
  <c r="F153" i="9"/>
  <c r="F149" i="9"/>
  <c r="F157" i="11"/>
  <c r="F157" i="9"/>
  <c r="F156" i="9"/>
  <c r="F152" i="9"/>
  <c r="F150" i="9"/>
  <c r="F148" i="9"/>
  <c r="F151" i="9"/>
  <c r="F150" i="11"/>
  <c r="F151" i="11"/>
  <c r="F126" i="10"/>
  <c r="F129" i="10"/>
  <c r="F127" i="11"/>
  <c r="F128" i="10"/>
  <c r="F130" i="10"/>
  <c r="F126" i="11"/>
  <c r="F131" i="11"/>
  <c r="F134" i="10"/>
  <c r="F134" i="16" s="1"/>
  <c r="F134" i="12" s="1"/>
  <c r="F127" i="10"/>
  <c r="F131" i="10"/>
  <c r="F135" i="10"/>
  <c r="F135" i="11"/>
  <c r="F130" i="9"/>
  <c r="F131" i="9"/>
  <c r="F135" i="9"/>
  <c r="F134" i="9"/>
  <c r="F126" i="9"/>
  <c r="F130" i="11"/>
  <c r="F129" i="9"/>
  <c r="F134" i="11"/>
  <c r="F127" i="9"/>
  <c r="F128" i="9"/>
  <c r="F128" i="11"/>
  <c r="F129" i="11"/>
  <c r="F77" i="10"/>
  <c r="F71" i="10"/>
  <c r="F71" i="11"/>
  <c r="F78" i="11"/>
  <c r="F75" i="10"/>
  <c r="F78" i="9"/>
  <c r="F77" i="9"/>
  <c r="F79" i="10"/>
  <c r="F79" i="16" s="1"/>
  <c r="F79" i="12" s="1"/>
  <c r="F77" i="11"/>
  <c r="F76" i="10"/>
  <c r="F80" i="10"/>
  <c r="F78" i="10"/>
  <c r="F74" i="10"/>
  <c r="F76" i="11"/>
  <c r="F73" i="10"/>
  <c r="F72" i="10"/>
  <c r="F72" i="11"/>
  <c r="F80" i="11"/>
  <c r="F75" i="9"/>
  <c r="F75" i="11"/>
  <c r="F72" i="9"/>
  <c r="F71" i="9"/>
  <c r="F80" i="9"/>
  <c r="F79" i="11"/>
  <c r="F74" i="9"/>
  <c r="F73" i="9"/>
  <c r="F79" i="9"/>
  <c r="F76" i="9"/>
  <c r="F73" i="11"/>
  <c r="F74" i="11"/>
  <c r="F45" i="11"/>
  <c r="F46" i="10"/>
  <c r="F46" i="16" s="1"/>
  <c r="F46" i="12" s="1"/>
  <c r="F43" i="10"/>
  <c r="F47" i="10"/>
  <c r="F45" i="9"/>
  <c r="F44" i="10"/>
  <c r="F38" i="11"/>
  <c r="F44" i="11"/>
  <c r="F42" i="10"/>
  <c r="F45" i="10"/>
  <c r="F38" i="10"/>
  <c r="F44" i="9"/>
  <c r="F39" i="11"/>
  <c r="F43" i="11"/>
  <c r="F40" i="10"/>
  <c r="F41" i="10"/>
  <c r="F39" i="10"/>
  <c r="F42" i="11"/>
  <c r="F47" i="11"/>
  <c r="F42" i="9"/>
  <c r="F43" i="9"/>
  <c r="F47" i="9"/>
  <c r="F46" i="11"/>
  <c r="F40" i="9"/>
  <c r="F41" i="9"/>
  <c r="F38" i="9"/>
  <c r="F39" i="9"/>
  <c r="F46" i="9"/>
  <c r="F40" i="11"/>
  <c r="F41" i="11"/>
  <c r="E144" i="9"/>
  <c r="E137" i="11"/>
  <c r="E142" i="11"/>
  <c r="E143" i="10"/>
  <c r="E142" i="10"/>
  <c r="E140" i="10"/>
  <c r="E144" i="10"/>
  <c r="E141" i="10"/>
  <c r="E145" i="10"/>
  <c r="E145" i="16" s="1"/>
  <c r="E145" i="12" s="1"/>
  <c r="E144" i="11"/>
  <c r="E139" i="10"/>
  <c r="E146" i="10"/>
  <c r="E143" i="9"/>
  <c r="E138" i="11"/>
  <c r="E143" i="11"/>
  <c r="E137" i="10"/>
  <c r="E138" i="10"/>
  <c r="E141" i="9"/>
  <c r="E142" i="9"/>
  <c r="E141" i="11"/>
  <c r="E145" i="11"/>
  <c r="E145" i="9"/>
  <c r="E138" i="9"/>
  <c r="E140" i="9"/>
  <c r="E146" i="9"/>
  <c r="E139" i="9"/>
  <c r="E146" i="11"/>
  <c r="E137" i="9"/>
  <c r="E139" i="11"/>
  <c r="E140" i="11"/>
  <c r="E111" i="11"/>
  <c r="E104" i="10"/>
  <c r="E108" i="10"/>
  <c r="E112" i="10"/>
  <c r="E112" i="16" s="1"/>
  <c r="E112" i="12" s="1"/>
  <c r="E106" i="10"/>
  <c r="E105" i="10"/>
  <c r="E110" i="9"/>
  <c r="E109" i="11"/>
  <c r="E110" i="11"/>
  <c r="E111" i="10"/>
  <c r="E113" i="10"/>
  <c r="E110" i="10"/>
  <c r="E111" i="9"/>
  <c r="E109" i="10"/>
  <c r="E107" i="10"/>
  <c r="E105" i="11"/>
  <c r="E104" i="11"/>
  <c r="E108" i="11"/>
  <c r="E105" i="9"/>
  <c r="E112" i="9"/>
  <c r="E106" i="9"/>
  <c r="E113" i="9"/>
  <c r="E107" i="9"/>
  <c r="E104" i="9"/>
  <c r="E113" i="11"/>
  <c r="E112" i="11"/>
  <c r="E108" i="9"/>
  <c r="E109" i="9"/>
  <c r="E106" i="11"/>
  <c r="E107" i="11"/>
  <c r="E156" i="10"/>
  <c r="E156" i="16" s="1"/>
  <c r="E156" i="12" s="1"/>
  <c r="E153" i="10"/>
  <c r="E155" i="9"/>
  <c r="E154" i="9"/>
  <c r="E149" i="11"/>
  <c r="E148" i="11"/>
  <c r="E150" i="10"/>
  <c r="E154" i="10"/>
  <c r="E152" i="10"/>
  <c r="E148" i="10"/>
  <c r="E155" i="11"/>
  <c r="E154" i="11"/>
  <c r="E157" i="10"/>
  <c r="E155" i="10"/>
  <c r="E153" i="11"/>
  <c r="E149" i="10"/>
  <c r="E151" i="10"/>
  <c r="E150" i="9"/>
  <c r="E156" i="9"/>
  <c r="E153" i="9"/>
  <c r="E157" i="11"/>
  <c r="E156" i="11"/>
  <c r="E152" i="9"/>
  <c r="E152" i="11"/>
  <c r="E151" i="9"/>
  <c r="E149" i="9"/>
  <c r="E157" i="9"/>
  <c r="E148" i="9"/>
  <c r="E150" i="11"/>
  <c r="E151" i="11"/>
  <c r="E90" i="10"/>
  <c r="E90" i="16" s="1"/>
  <c r="E90" i="12" s="1"/>
  <c r="E88" i="11"/>
  <c r="E88" i="10"/>
  <c r="E87" i="10"/>
  <c r="E86" i="10"/>
  <c r="E82" i="11"/>
  <c r="E85" i="10"/>
  <c r="E91" i="10"/>
  <c r="E89" i="10"/>
  <c r="E84" i="10"/>
  <c r="E89" i="9"/>
  <c r="E88" i="9"/>
  <c r="E83" i="11"/>
  <c r="E89" i="11"/>
  <c r="E82" i="10"/>
  <c r="E83" i="10"/>
  <c r="E87" i="11"/>
  <c r="E86" i="11"/>
  <c r="E84" i="9"/>
  <c r="E83" i="9"/>
  <c r="E85" i="9"/>
  <c r="E82" i="9"/>
  <c r="E91" i="11"/>
  <c r="E90" i="11"/>
  <c r="E91" i="9"/>
  <c r="E87" i="9"/>
  <c r="E86" i="9"/>
  <c r="E90" i="9"/>
  <c r="E84" i="11"/>
  <c r="E85" i="11"/>
  <c r="E123" i="10"/>
  <c r="E123" i="16" s="1"/>
  <c r="E123" i="12" s="1"/>
  <c r="E121" i="11"/>
  <c r="E117" i="10"/>
  <c r="E122" i="10"/>
  <c r="E122" i="9"/>
  <c r="E115" i="11"/>
  <c r="E116" i="10"/>
  <c r="E118" i="10"/>
  <c r="E121" i="9"/>
  <c r="E116" i="11"/>
  <c r="E120" i="11"/>
  <c r="E122" i="11"/>
  <c r="E121" i="10"/>
  <c r="E124" i="10"/>
  <c r="E115" i="10"/>
  <c r="E120" i="10"/>
  <c r="E119" i="10"/>
  <c r="E124" i="9"/>
  <c r="E117" i="9"/>
  <c r="E123" i="11"/>
  <c r="E119" i="9"/>
  <c r="E116" i="9"/>
  <c r="E118" i="9"/>
  <c r="E124" i="11"/>
  <c r="E119" i="11"/>
  <c r="E115" i="9"/>
  <c r="E123" i="9"/>
  <c r="E120" i="9"/>
  <c r="E117" i="11"/>
  <c r="E118" i="11"/>
  <c r="E75" i="10"/>
  <c r="E71" i="10"/>
  <c r="E78" i="11"/>
  <c r="E77" i="10"/>
  <c r="E74" i="10"/>
  <c r="E78" i="9"/>
  <c r="E72" i="11"/>
  <c r="E71" i="11"/>
  <c r="E79" i="10"/>
  <c r="E79" i="16" s="1"/>
  <c r="E79" i="12" s="1"/>
  <c r="E76" i="10"/>
  <c r="E73" i="10"/>
  <c r="E72" i="10"/>
  <c r="E78" i="10"/>
  <c r="E80" i="10"/>
  <c r="E77" i="9"/>
  <c r="E77" i="11"/>
  <c r="E76" i="11"/>
  <c r="E79" i="11"/>
  <c r="E71" i="9"/>
  <c r="E74" i="9"/>
  <c r="E80" i="11"/>
  <c r="E75" i="9"/>
  <c r="E80" i="9"/>
  <c r="E76" i="9"/>
  <c r="E75" i="11"/>
  <c r="E79" i="9"/>
  <c r="E73" i="9"/>
  <c r="E72" i="9"/>
  <c r="E73" i="11"/>
  <c r="E74" i="11"/>
  <c r="E134" i="10"/>
  <c r="E134" i="16" s="1"/>
  <c r="E134" i="12" s="1"/>
  <c r="E127" i="10"/>
  <c r="E130" i="10"/>
  <c r="E135" i="10"/>
  <c r="E126" i="11"/>
  <c r="E131" i="10"/>
  <c r="E129" i="10"/>
  <c r="E126" i="10"/>
  <c r="E128" i="10"/>
  <c r="E127" i="11"/>
  <c r="E131" i="11"/>
  <c r="E135" i="11"/>
  <c r="E129" i="9"/>
  <c r="E130" i="11"/>
  <c r="E135" i="9"/>
  <c r="E130" i="9"/>
  <c r="E134" i="9"/>
  <c r="E127" i="9"/>
  <c r="E131" i="9"/>
  <c r="E134" i="11"/>
  <c r="E128" i="9"/>
  <c r="E126" i="9"/>
  <c r="E128" i="11"/>
  <c r="E129" i="11"/>
  <c r="E102" i="10"/>
  <c r="E98" i="10"/>
  <c r="E96" i="10"/>
  <c r="E98" i="11"/>
  <c r="E101" i="10"/>
  <c r="E101" i="16" s="1"/>
  <c r="E101" i="12" s="1"/>
  <c r="E93" i="10"/>
  <c r="E97" i="10"/>
  <c r="E95" i="10"/>
  <c r="E94" i="10"/>
  <c r="E94" i="11"/>
  <c r="E93" i="11"/>
  <c r="E101" i="11"/>
  <c r="E101" i="9"/>
  <c r="E98" i="9"/>
  <c r="E102" i="11"/>
  <c r="E95" i="9"/>
  <c r="E93" i="9"/>
  <c r="E97" i="11"/>
  <c r="E97" i="9"/>
  <c r="E94" i="9"/>
  <c r="E102" i="9"/>
  <c r="E96" i="9"/>
  <c r="E95" i="11"/>
  <c r="E96" i="11"/>
  <c r="E67" i="11"/>
  <c r="E64" i="10"/>
  <c r="E66" i="10"/>
  <c r="E62" i="10"/>
  <c r="E67" i="10"/>
  <c r="E69" i="10"/>
  <c r="E67" i="9"/>
  <c r="E63" i="10"/>
  <c r="E61" i="10"/>
  <c r="E61" i="11"/>
  <c r="E68" i="10"/>
  <c r="E68" i="16" s="1"/>
  <c r="E68" i="12" s="1"/>
  <c r="E66" i="11"/>
  <c r="E65" i="10"/>
  <c r="E60" i="10"/>
  <c r="E66" i="9"/>
  <c r="E60" i="11"/>
  <c r="E65" i="11"/>
  <c r="E68" i="11"/>
  <c r="E64" i="9"/>
  <c r="E61" i="9"/>
  <c r="E62" i="9"/>
  <c r="E60" i="9"/>
  <c r="E65" i="9"/>
  <c r="E69" i="11"/>
  <c r="E64" i="11"/>
  <c r="E69" i="9"/>
  <c r="E68" i="9"/>
  <c r="E63" i="9"/>
  <c r="E62" i="11"/>
  <c r="E63" i="11"/>
  <c r="E55" i="11"/>
  <c r="E56" i="11"/>
  <c r="E49" i="10"/>
  <c r="E52" i="10"/>
  <c r="E54" i="10"/>
  <c r="E56" i="9"/>
  <c r="E56" i="10"/>
  <c r="E50" i="10"/>
  <c r="E55" i="10"/>
  <c r="E53" i="10"/>
  <c r="E55" i="9"/>
  <c r="E49" i="11"/>
  <c r="E51" i="10"/>
  <c r="E54" i="11"/>
  <c r="E57" i="11"/>
  <c r="E57" i="10"/>
  <c r="E57" i="16" s="1"/>
  <c r="E57" i="12" s="1"/>
  <c r="E58" i="10"/>
  <c r="E50" i="11"/>
  <c r="E53" i="11"/>
  <c r="E58" i="9"/>
  <c r="E54" i="9"/>
  <c r="E49" i="9"/>
  <c r="E50" i="9"/>
  <c r="E58" i="11"/>
  <c r="E53" i="9"/>
  <c r="E57" i="9"/>
  <c r="E52" i="9"/>
  <c r="E51" i="9"/>
  <c r="E51" i="11"/>
  <c r="E52" i="11"/>
  <c r="E40" i="10"/>
  <c r="E39" i="10"/>
  <c r="E45" i="9"/>
  <c r="E47" i="10"/>
  <c r="E39" i="11"/>
  <c r="E38" i="11"/>
  <c r="E46" i="10"/>
  <c r="E46" i="16" s="1"/>
  <c r="E46" i="12" s="1"/>
  <c r="E44" i="11"/>
  <c r="E45" i="11"/>
  <c r="E43" i="10"/>
  <c r="E41" i="10"/>
  <c r="E42" i="10"/>
  <c r="E43" i="11"/>
  <c r="E44" i="10"/>
  <c r="E38" i="10"/>
  <c r="E45" i="10"/>
  <c r="E44" i="9"/>
  <c r="E47" i="9"/>
  <c r="E41" i="9"/>
  <c r="E46" i="11"/>
  <c r="E42" i="9"/>
  <c r="E43" i="9"/>
  <c r="E38" i="9"/>
  <c r="E39" i="9"/>
  <c r="E46" i="9"/>
  <c r="E47" i="11"/>
  <c r="E42" i="11"/>
  <c r="E40" i="9"/>
  <c r="E40" i="11"/>
  <c r="E41" i="11"/>
  <c r="E35" i="10"/>
  <c r="E35" i="16" s="1"/>
  <c r="E35" i="12" s="1"/>
  <c r="E34" i="11"/>
  <c r="E34" i="10"/>
  <c r="E32" i="10"/>
  <c r="E30" i="10"/>
  <c r="E36" i="10"/>
  <c r="E28" i="10"/>
  <c r="E33" i="9"/>
  <c r="E28" i="11"/>
  <c r="E32" i="11"/>
  <c r="E33" i="11"/>
  <c r="E33" i="10"/>
  <c r="E31" i="10"/>
  <c r="E27" i="10"/>
  <c r="E29" i="10"/>
  <c r="E34" i="9"/>
  <c r="E27" i="11"/>
  <c r="E31" i="9"/>
  <c r="E35" i="9"/>
  <c r="E32" i="9"/>
  <c r="E30" i="9"/>
  <c r="E27" i="9"/>
  <c r="E28" i="9"/>
  <c r="E29" i="9"/>
  <c r="E31" i="11"/>
  <c r="E35" i="11"/>
  <c r="E36" i="9"/>
  <c r="E36" i="11"/>
  <c r="E29" i="11"/>
  <c r="E30" i="11"/>
  <c r="E16" i="10"/>
  <c r="E18" i="10"/>
  <c r="E17" i="11"/>
  <c r="E21" i="10"/>
  <c r="E25" i="10"/>
  <c r="E16" i="11"/>
  <c r="E24" i="10"/>
  <c r="E19" i="10"/>
  <c r="E20" i="10"/>
  <c r="E21" i="11"/>
  <c r="E17" i="10"/>
  <c r="E18" i="11"/>
  <c r="E20" i="11"/>
  <c r="E25" i="11"/>
  <c r="E19" i="9"/>
  <c r="E24" i="11"/>
  <c r="E20" i="9"/>
  <c r="E17" i="9"/>
  <c r="E16" i="9"/>
  <c r="E18" i="9"/>
  <c r="E25" i="9"/>
  <c r="E21" i="9"/>
  <c r="E24" i="9"/>
  <c r="E19" i="11"/>
  <c r="E169" i="7"/>
  <c r="E13" i="10"/>
  <c r="E11" i="11"/>
  <c r="E12" i="11"/>
  <c r="E6" i="10"/>
  <c r="E11" i="10"/>
  <c r="E12" i="10"/>
  <c r="E11" i="9"/>
  <c r="E12" i="9"/>
  <c r="E6" i="11"/>
  <c r="E10" i="11"/>
  <c r="E14" i="10"/>
  <c r="E7" i="10"/>
  <c r="E9" i="10"/>
  <c r="E5" i="11"/>
  <c r="E10" i="10"/>
  <c r="E5" i="10"/>
  <c r="E8" i="10"/>
  <c r="E8" i="9"/>
  <c r="E10" i="9"/>
  <c r="E13" i="11"/>
  <c r="E7" i="9"/>
  <c r="E6" i="9"/>
  <c r="E14" i="9"/>
  <c r="E5" i="9"/>
  <c r="E9" i="11"/>
  <c r="E14" i="11"/>
  <c r="E9" i="9"/>
  <c r="E13" i="9"/>
  <c r="E7" i="11"/>
  <c r="E8" i="11"/>
  <c r="D154" i="11"/>
  <c r="D148" i="10"/>
  <c r="D149" i="10"/>
  <c r="D152" i="10"/>
  <c r="D155" i="9"/>
  <c r="D155" i="10"/>
  <c r="D154" i="10"/>
  <c r="D148" i="11"/>
  <c r="D153" i="10"/>
  <c r="D157" i="10"/>
  <c r="D151" i="10"/>
  <c r="D154" i="9"/>
  <c r="D149" i="11"/>
  <c r="D153" i="11"/>
  <c r="D156" i="10"/>
  <c r="D156" i="16" s="1"/>
  <c r="D156" i="12" s="1"/>
  <c r="D155" i="11"/>
  <c r="D150" i="10"/>
  <c r="D150" i="11"/>
  <c r="D157" i="11"/>
  <c r="D151" i="9"/>
  <c r="D148" i="9"/>
  <c r="D150" i="9"/>
  <c r="D152" i="11"/>
  <c r="D152" i="9"/>
  <c r="D149" i="9"/>
  <c r="D153" i="9"/>
  <c r="D156" i="9"/>
  <c r="D157" i="9"/>
  <c r="D156" i="11"/>
  <c r="D151" i="11"/>
  <c r="D145" i="10"/>
  <c r="D145" i="16" s="1"/>
  <c r="D145" i="12" s="1"/>
  <c r="D140" i="10"/>
  <c r="D139" i="10"/>
  <c r="D144" i="10"/>
  <c r="D143" i="11"/>
  <c r="D143" i="10"/>
  <c r="D138" i="10"/>
  <c r="D141" i="10"/>
  <c r="D137" i="11"/>
  <c r="D142" i="11"/>
  <c r="D137" i="10"/>
  <c r="D146" i="10"/>
  <c r="D144" i="11"/>
  <c r="D142" i="10"/>
  <c r="D144" i="9"/>
  <c r="D143" i="9"/>
  <c r="D138" i="11"/>
  <c r="D139" i="11"/>
  <c r="D141" i="11"/>
  <c r="D145" i="9"/>
  <c r="D146" i="11"/>
  <c r="D146" i="9"/>
  <c r="D145" i="11"/>
  <c r="D141" i="9"/>
  <c r="D138" i="9"/>
  <c r="D139" i="9"/>
  <c r="D142" i="9"/>
  <c r="D140" i="9"/>
  <c r="D137" i="9"/>
  <c r="D140" i="11"/>
  <c r="D134" i="10"/>
  <c r="D134" i="16" s="1"/>
  <c r="D134" i="12" s="1"/>
  <c r="D130" i="10"/>
  <c r="D135" i="10"/>
  <c r="D127" i="11"/>
  <c r="D126" i="11"/>
  <c r="D131" i="10"/>
  <c r="D127" i="10"/>
  <c r="D131" i="11"/>
  <c r="D129" i="10"/>
  <c r="D128" i="10"/>
  <c r="D126" i="10"/>
  <c r="D134" i="11"/>
  <c r="D127" i="9"/>
  <c r="D131" i="9"/>
  <c r="D135" i="9"/>
  <c r="D130" i="9"/>
  <c r="D126" i="9"/>
  <c r="D128" i="9"/>
  <c r="D135" i="11"/>
  <c r="D128" i="11"/>
  <c r="D130" i="11"/>
  <c r="D134" i="9"/>
  <c r="D129" i="9"/>
  <c r="D129" i="11"/>
  <c r="D116" i="10"/>
  <c r="D121" i="10"/>
  <c r="D124" i="10"/>
  <c r="D122" i="9"/>
  <c r="D123" i="10"/>
  <c r="D123" i="16" s="1"/>
  <c r="D123" i="12" s="1"/>
  <c r="D120" i="10"/>
  <c r="D115" i="10"/>
  <c r="D118" i="10"/>
  <c r="D122" i="11"/>
  <c r="D119" i="10"/>
  <c r="D117" i="10"/>
  <c r="D122" i="10"/>
  <c r="D121" i="11"/>
  <c r="D121" i="9"/>
  <c r="D116" i="11"/>
  <c r="D115" i="11"/>
  <c r="D120" i="11"/>
  <c r="D123" i="11"/>
  <c r="D119" i="9"/>
  <c r="D123" i="9"/>
  <c r="D115" i="9"/>
  <c r="D117" i="9"/>
  <c r="D120" i="9"/>
  <c r="D124" i="9"/>
  <c r="D119" i="11"/>
  <c r="D124" i="11"/>
  <c r="D116" i="9"/>
  <c r="D118" i="9"/>
  <c r="D117" i="11"/>
  <c r="D118" i="11"/>
  <c r="D106" i="10"/>
  <c r="D108" i="10"/>
  <c r="D109" i="10"/>
  <c r="D104" i="10"/>
  <c r="D104" i="11"/>
  <c r="D110" i="11"/>
  <c r="D111" i="11"/>
  <c r="D110" i="10"/>
  <c r="D105" i="10"/>
  <c r="D113" i="10"/>
  <c r="D111" i="10"/>
  <c r="D111" i="9"/>
  <c r="D109" i="11"/>
  <c r="D112" i="10"/>
  <c r="D112" i="16" s="1"/>
  <c r="D112" i="12" s="1"/>
  <c r="D107" i="10"/>
  <c r="D110" i="9"/>
  <c r="D105" i="11"/>
  <c r="D105" i="9"/>
  <c r="D106" i="9"/>
  <c r="D107" i="9"/>
  <c r="D112" i="11"/>
  <c r="D108" i="9"/>
  <c r="D109" i="9"/>
  <c r="D106" i="11"/>
  <c r="D113" i="11"/>
  <c r="D112" i="9"/>
  <c r="D104" i="9"/>
  <c r="D108" i="11"/>
  <c r="D113" i="9"/>
  <c r="D107" i="11"/>
  <c r="D101" i="10"/>
  <c r="D101" i="16" s="1"/>
  <c r="D101" i="12" s="1"/>
  <c r="D95" i="10"/>
  <c r="D98" i="10"/>
  <c r="D94" i="10"/>
  <c r="D98" i="11"/>
  <c r="D96" i="10"/>
  <c r="D93" i="10"/>
  <c r="D93" i="11"/>
  <c r="D97" i="10"/>
  <c r="D94" i="11"/>
  <c r="D102" i="10"/>
  <c r="D102" i="9"/>
  <c r="D97" i="9"/>
  <c r="D94" i="9"/>
  <c r="D96" i="9"/>
  <c r="D101" i="9"/>
  <c r="D98" i="9"/>
  <c r="D93" i="9"/>
  <c r="D95" i="11"/>
  <c r="D102" i="11"/>
  <c r="D97" i="11"/>
  <c r="D101" i="11"/>
  <c r="D95" i="9"/>
  <c r="D96" i="11"/>
  <c r="D90" i="10"/>
  <c r="D90" i="16" s="1"/>
  <c r="D90" i="12" s="1"/>
  <c r="D89" i="10"/>
  <c r="D91" i="10"/>
  <c r="D89" i="9"/>
  <c r="D88" i="9"/>
  <c r="D83" i="11"/>
  <c r="D88" i="10"/>
  <c r="D86" i="10"/>
  <c r="D86" i="11"/>
  <c r="D89" i="11"/>
  <c r="D82" i="10"/>
  <c r="D87" i="10"/>
  <c r="D85" i="10"/>
  <c r="D83" i="10"/>
  <c r="D82" i="11"/>
  <c r="D88" i="11"/>
  <c r="D84" i="10"/>
  <c r="D87" i="11"/>
  <c r="D90" i="11"/>
  <c r="D91" i="9"/>
  <c r="D83" i="9"/>
  <c r="D87" i="9"/>
  <c r="D84" i="11"/>
  <c r="D91" i="11"/>
  <c r="D84" i="9"/>
  <c r="D86" i="9"/>
  <c r="D82" i="9"/>
  <c r="D90" i="9"/>
  <c r="D85" i="9"/>
  <c r="D85" i="11"/>
  <c r="D78" i="10"/>
  <c r="D76" i="11"/>
  <c r="D77" i="11"/>
  <c r="D78" i="11"/>
  <c r="D71" i="10"/>
  <c r="D72" i="10"/>
  <c r="D80" i="10"/>
  <c r="D72" i="11"/>
  <c r="D79" i="10"/>
  <c r="D79" i="16" s="1"/>
  <c r="D79" i="12" s="1"/>
  <c r="D75" i="10"/>
  <c r="D76" i="10"/>
  <c r="D78" i="9"/>
  <c r="D74" i="10"/>
  <c r="D73" i="10"/>
  <c r="D77" i="10"/>
  <c r="D77" i="9"/>
  <c r="D71" i="11"/>
  <c r="D75" i="11"/>
  <c r="D72" i="9"/>
  <c r="D74" i="9"/>
  <c r="D75" i="9"/>
  <c r="D73" i="11"/>
  <c r="D71" i="9"/>
  <c r="D73" i="9"/>
  <c r="D79" i="9"/>
  <c r="D80" i="11"/>
  <c r="D79" i="11"/>
  <c r="D80" i="9"/>
  <c r="D76" i="9"/>
  <c r="D74" i="11"/>
  <c r="D68" i="10"/>
  <c r="D68" i="16" s="1"/>
  <c r="D68" i="12" s="1"/>
  <c r="D66" i="11"/>
  <c r="D60" i="10"/>
  <c r="D61" i="10"/>
  <c r="D66" i="9"/>
  <c r="D61" i="11"/>
  <c r="D65" i="11"/>
  <c r="D69" i="10"/>
  <c r="D67" i="9"/>
  <c r="D63" i="10"/>
  <c r="D62" i="10"/>
  <c r="D65" i="10"/>
  <c r="D64" i="10"/>
  <c r="D67" i="11"/>
  <c r="D66" i="10"/>
  <c r="D67" i="10"/>
  <c r="D60" i="11"/>
  <c r="D68" i="11"/>
  <c r="D69" i="9"/>
  <c r="D68" i="9"/>
  <c r="D65" i="9"/>
  <c r="D64" i="9"/>
  <c r="D62" i="11"/>
  <c r="D61" i="9"/>
  <c r="D62" i="9"/>
  <c r="D69" i="11"/>
  <c r="D64" i="11"/>
  <c r="D63" i="9"/>
  <c r="D60" i="9"/>
  <c r="D63" i="11"/>
  <c r="D56" i="11"/>
  <c r="D49" i="11"/>
  <c r="D54" i="11"/>
  <c r="D55" i="11"/>
  <c r="D51" i="10"/>
  <c r="D52" i="10"/>
  <c r="D56" i="10"/>
  <c r="D53" i="10"/>
  <c r="D50" i="10"/>
  <c r="D55" i="9"/>
  <c r="D57" i="10"/>
  <c r="D57" i="16" s="1"/>
  <c r="D57" i="12" s="1"/>
  <c r="D58" i="10"/>
  <c r="D54" i="10"/>
  <c r="D55" i="10"/>
  <c r="D49" i="10"/>
  <c r="D56" i="9"/>
  <c r="D50" i="11"/>
  <c r="D58" i="11"/>
  <c r="D50" i="9"/>
  <c r="D49" i="9"/>
  <c r="D54" i="9"/>
  <c r="D51" i="11"/>
  <c r="D58" i="9"/>
  <c r="D52" i="9"/>
  <c r="D53" i="9"/>
  <c r="D51" i="9"/>
  <c r="D57" i="9"/>
  <c r="D53" i="11"/>
  <c r="D57" i="11"/>
  <c r="D52" i="11"/>
  <c r="D45" i="11"/>
  <c r="D44" i="10"/>
  <c r="D40" i="10"/>
  <c r="D41" i="10"/>
  <c r="D42" i="10"/>
  <c r="D38" i="10"/>
  <c r="D38" i="11"/>
  <c r="D46" i="10"/>
  <c r="D46" i="16" s="1"/>
  <c r="D46" i="12" s="1"/>
  <c r="D43" i="10"/>
  <c r="D44" i="9"/>
  <c r="D39" i="11"/>
  <c r="D43" i="11"/>
  <c r="D44" i="11"/>
  <c r="D39" i="10"/>
  <c r="D45" i="9"/>
  <c r="D47" i="10"/>
  <c r="D45" i="10"/>
  <c r="D38" i="9"/>
  <c r="D47" i="11"/>
  <c r="D40" i="9"/>
  <c r="D42" i="11"/>
  <c r="D39" i="9"/>
  <c r="D46" i="9"/>
  <c r="D47" i="9"/>
  <c r="D40" i="11"/>
  <c r="D46" i="11"/>
  <c r="D42" i="9"/>
  <c r="D41" i="9"/>
  <c r="D43" i="9"/>
  <c r="D41" i="11"/>
  <c r="D35" i="10"/>
  <c r="D35" i="16" s="1"/>
  <c r="D35" i="12" s="1"/>
  <c r="D33" i="11"/>
  <c r="D29" i="10"/>
  <c r="D34" i="10"/>
  <c r="D32" i="10"/>
  <c r="D33" i="9"/>
  <c r="D27" i="11"/>
  <c r="D32" i="11"/>
  <c r="D33" i="10"/>
  <c r="D36" i="10"/>
  <c r="D34" i="9"/>
  <c r="D28" i="11"/>
  <c r="D34" i="11"/>
  <c r="D31" i="10"/>
  <c r="D27" i="10"/>
  <c r="D28" i="10"/>
  <c r="D30" i="10"/>
  <c r="D29" i="11"/>
  <c r="D35" i="11"/>
  <c r="D31" i="11"/>
  <c r="D30" i="9"/>
  <c r="D31" i="9"/>
  <c r="D35" i="9"/>
  <c r="D29" i="9"/>
  <c r="D36" i="9"/>
  <c r="D36" i="11"/>
  <c r="D27" i="9"/>
  <c r="D28" i="9"/>
  <c r="D32" i="9"/>
  <c r="D30" i="11"/>
  <c r="D18" i="10"/>
  <c r="D19" i="10"/>
  <c r="D17" i="11"/>
  <c r="D21" i="11"/>
  <c r="D21" i="10"/>
  <c r="D25" i="10"/>
  <c r="D17" i="10"/>
  <c r="D24" i="10"/>
  <c r="D16" i="10"/>
  <c r="D20" i="10"/>
  <c r="D16" i="11"/>
  <c r="D18" i="11"/>
  <c r="D25" i="11"/>
  <c r="D20" i="9"/>
  <c r="D18" i="9"/>
  <c r="D21" i="9"/>
  <c r="D19" i="9"/>
  <c r="D17" i="9"/>
  <c r="D24" i="9"/>
  <c r="D20" i="11"/>
  <c r="D24" i="11"/>
  <c r="D25" i="9"/>
  <c r="D16" i="9"/>
  <c r="D19" i="11"/>
  <c r="D169" i="7"/>
  <c r="D11" i="11"/>
  <c r="D9" i="10"/>
  <c r="D12" i="9"/>
  <c r="D10" i="10"/>
  <c r="D7" i="10"/>
  <c r="D12" i="10"/>
  <c r="D6" i="10"/>
  <c r="D14" i="10"/>
  <c r="D11" i="9"/>
  <c r="D6" i="11"/>
  <c r="D12" i="11"/>
  <c r="D11" i="10"/>
  <c r="D5" i="10"/>
  <c r="D10" i="11"/>
  <c r="D13" i="10"/>
  <c r="D8" i="10"/>
  <c r="D5" i="11"/>
  <c r="D9" i="11"/>
  <c r="D9" i="9"/>
  <c r="D10" i="9"/>
  <c r="D7" i="11"/>
  <c r="D14" i="11"/>
  <c r="D14" i="9"/>
  <c r="D5" i="9"/>
  <c r="D7" i="9"/>
  <c r="D13" i="11"/>
  <c r="D6" i="9"/>
  <c r="D8" i="9"/>
  <c r="D13" i="9"/>
  <c r="D8" i="11"/>
  <c r="C145" i="10"/>
  <c r="C145" i="16" s="1"/>
  <c r="C145" i="12" s="1"/>
  <c r="C146" i="10"/>
  <c r="C138" i="10"/>
  <c r="C144" i="9"/>
  <c r="C143" i="9"/>
  <c r="C139" i="10"/>
  <c r="C142" i="11"/>
  <c r="C144" i="11"/>
  <c r="C142" i="10"/>
  <c r="C143" i="10"/>
  <c r="C144" i="10"/>
  <c r="C140" i="10"/>
  <c r="C141" i="10"/>
  <c r="C137" i="10"/>
  <c r="C138" i="11"/>
  <c r="C137" i="11"/>
  <c r="C143" i="11"/>
  <c r="C146" i="11"/>
  <c r="C145" i="11"/>
  <c r="C146" i="9"/>
  <c r="C141" i="9"/>
  <c r="C138" i="9"/>
  <c r="C145" i="9"/>
  <c r="C142" i="9"/>
  <c r="C137" i="9"/>
  <c r="C139" i="11"/>
  <c r="C141" i="11"/>
  <c r="C139" i="9"/>
  <c r="C140" i="9"/>
  <c r="C140" i="11"/>
  <c r="C90" i="10"/>
  <c r="C90" i="16" s="1"/>
  <c r="C90" i="12" s="1"/>
  <c r="C89" i="11"/>
  <c r="C88" i="10"/>
  <c r="C87" i="10"/>
  <c r="C85" i="10"/>
  <c r="C86" i="10"/>
  <c r="C91" i="10"/>
  <c r="C88" i="11"/>
  <c r="C89" i="9"/>
  <c r="C83" i="10"/>
  <c r="C82" i="10"/>
  <c r="C88" i="9"/>
  <c r="C89" i="10"/>
  <c r="C84" i="10"/>
  <c r="C83" i="11"/>
  <c r="C82" i="11"/>
  <c r="C87" i="11"/>
  <c r="C87" i="9"/>
  <c r="C86" i="11"/>
  <c r="C91" i="11"/>
  <c r="C90" i="11"/>
  <c r="C83" i="9"/>
  <c r="C84" i="11"/>
  <c r="C82" i="9"/>
  <c r="C85" i="9"/>
  <c r="C90" i="9"/>
  <c r="C91" i="9"/>
  <c r="C86" i="9"/>
  <c r="C84" i="9"/>
  <c r="C85" i="11"/>
  <c r="C69" i="10"/>
  <c r="C67" i="11"/>
  <c r="C66" i="10"/>
  <c r="C65" i="10"/>
  <c r="C60" i="10"/>
  <c r="C61" i="10"/>
  <c r="C65" i="11"/>
  <c r="C66" i="9"/>
  <c r="C60" i="11"/>
  <c r="C61" i="11"/>
  <c r="C68" i="10"/>
  <c r="C68" i="16" s="1"/>
  <c r="C68" i="12" s="1"/>
  <c r="C67" i="9"/>
  <c r="C62" i="10"/>
  <c r="C63" i="10"/>
  <c r="C67" i="10"/>
  <c r="C64" i="10"/>
  <c r="C66" i="11"/>
  <c r="C64" i="11"/>
  <c r="C64" i="9"/>
  <c r="C63" i="9"/>
  <c r="C65" i="9"/>
  <c r="C62" i="9"/>
  <c r="C62" i="11"/>
  <c r="C68" i="11"/>
  <c r="C69" i="9"/>
  <c r="C69" i="11"/>
  <c r="C68" i="9"/>
  <c r="C61" i="9"/>
  <c r="C60" i="9"/>
  <c r="C63" i="11"/>
  <c r="C33" i="10"/>
  <c r="C33" i="11"/>
  <c r="C34" i="11"/>
  <c r="C36" i="10"/>
  <c r="C31" i="10"/>
  <c r="C27" i="10"/>
  <c r="C28" i="11"/>
  <c r="C32" i="11"/>
  <c r="C29" i="11"/>
  <c r="C32" i="10"/>
  <c r="C34" i="10"/>
  <c r="C28" i="10"/>
  <c r="C34" i="9"/>
  <c r="C27" i="11"/>
  <c r="C35" i="10"/>
  <c r="C35" i="16" s="1"/>
  <c r="C35" i="12" s="1"/>
  <c r="C29" i="10"/>
  <c r="C30" i="10"/>
  <c r="C33" i="9"/>
  <c r="C36" i="11"/>
  <c r="C36" i="9"/>
  <c r="C29" i="9"/>
  <c r="C28" i="9"/>
  <c r="C35" i="9"/>
  <c r="C31" i="11"/>
  <c r="C35" i="11"/>
  <c r="C30" i="9"/>
  <c r="C27" i="9"/>
  <c r="C32" i="9"/>
  <c r="C31" i="9"/>
  <c r="C30" i="11"/>
  <c r="C169" i="7"/>
  <c r="C12" i="10"/>
  <c r="C6" i="10"/>
  <c r="C14" i="10"/>
  <c r="C7" i="10"/>
  <c r="C6" i="11"/>
  <c r="C8" i="10"/>
  <c r="C11" i="9"/>
  <c r="C5" i="11"/>
  <c r="C13" i="10"/>
  <c r="C12" i="11"/>
  <c r="C11" i="10"/>
  <c r="C10" i="10"/>
  <c r="C9" i="10"/>
  <c r="C5" i="10"/>
  <c r="C11" i="11"/>
  <c r="C12" i="9"/>
  <c r="C10" i="11"/>
  <c r="C13" i="9"/>
  <c r="C13" i="11"/>
  <c r="C9" i="9"/>
  <c r="C5" i="9"/>
  <c r="C7" i="9"/>
  <c r="C10" i="9"/>
  <c r="C7" i="11"/>
  <c r="C14" i="11"/>
  <c r="C14" i="9"/>
  <c r="C6" i="9"/>
  <c r="C9" i="11"/>
  <c r="C8" i="9"/>
  <c r="C8" i="11"/>
  <c r="C109" i="10"/>
  <c r="C105" i="10"/>
  <c r="C108" i="10"/>
  <c r="C104" i="10"/>
  <c r="C111" i="10"/>
  <c r="C110" i="11"/>
  <c r="C110" i="9"/>
  <c r="C104" i="11"/>
  <c r="C109" i="11"/>
  <c r="C111" i="9"/>
  <c r="C106" i="10"/>
  <c r="C107" i="10"/>
  <c r="C105" i="11"/>
  <c r="C112" i="10"/>
  <c r="C112" i="16" s="1"/>
  <c r="C112" i="12" s="1"/>
  <c r="C111" i="11"/>
  <c r="C113" i="10"/>
  <c r="C110" i="10"/>
  <c r="C112" i="11"/>
  <c r="C106" i="9"/>
  <c r="C109" i="9"/>
  <c r="C106" i="11"/>
  <c r="C113" i="11"/>
  <c r="C104" i="9"/>
  <c r="C113" i="9"/>
  <c r="C108" i="9"/>
  <c r="C107" i="9"/>
  <c r="C108" i="11"/>
  <c r="C105" i="9"/>
  <c r="C112" i="9"/>
  <c r="C107" i="11"/>
  <c r="C53" i="10"/>
  <c r="C50" i="10"/>
  <c r="C54" i="10"/>
  <c r="C55" i="10"/>
  <c r="C56" i="10"/>
  <c r="C49" i="10"/>
  <c r="C56" i="9"/>
  <c r="C57" i="10"/>
  <c r="C57" i="16" s="1"/>
  <c r="C57" i="12" s="1"/>
  <c r="C52" i="10"/>
  <c r="C50" i="11"/>
  <c r="C49" i="11"/>
  <c r="C58" i="10"/>
  <c r="C55" i="11"/>
  <c r="C55" i="9"/>
  <c r="C56" i="11"/>
  <c r="C51" i="10"/>
  <c r="C54" i="11"/>
  <c r="C51" i="9"/>
  <c r="C58" i="9"/>
  <c r="C52" i="9"/>
  <c r="C51" i="11"/>
  <c r="C57" i="9"/>
  <c r="C53" i="11"/>
  <c r="C53" i="9"/>
  <c r="C50" i="9"/>
  <c r="C54" i="9"/>
  <c r="C58" i="11"/>
  <c r="C57" i="11"/>
  <c r="C49" i="9"/>
  <c r="C52" i="11"/>
  <c r="C150" i="10"/>
  <c r="C155" i="10"/>
  <c r="C155" i="9"/>
  <c r="C152" i="10"/>
  <c r="C148" i="10"/>
  <c r="C154" i="11"/>
  <c r="C148" i="11"/>
  <c r="C154" i="10"/>
  <c r="C157" i="10"/>
  <c r="C149" i="10"/>
  <c r="C151" i="10"/>
  <c r="C156" i="10"/>
  <c r="C156" i="16" s="1"/>
  <c r="C156" i="12" s="1"/>
  <c r="C155" i="11"/>
  <c r="C153" i="10"/>
  <c r="C154" i="9"/>
  <c r="C149" i="11"/>
  <c r="C153" i="11"/>
  <c r="C152" i="11"/>
  <c r="C156" i="11"/>
  <c r="C156" i="9"/>
  <c r="C153" i="9"/>
  <c r="C157" i="11"/>
  <c r="C152" i="9"/>
  <c r="C149" i="9"/>
  <c r="C148" i="9"/>
  <c r="C157" i="9"/>
  <c r="C151" i="9"/>
  <c r="C150" i="11"/>
  <c r="C150" i="9"/>
  <c r="C151" i="11"/>
  <c r="C134" i="10"/>
  <c r="C134" i="16" s="1"/>
  <c r="C134" i="12" s="1"/>
  <c r="C126" i="10"/>
  <c r="C128" i="10"/>
  <c r="C135" i="10"/>
  <c r="C131" i="10"/>
  <c r="C129" i="10"/>
  <c r="C130" i="10"/>
  <c r="C127" i="11"/>
  <c r="C127" i="10"/>
  <c r="C126" i="11"/>
  <c r="C131" i="11"/>
  <c r="C128" i="11"/>
  <c r="C134" i="11"/>
  <c r="C129" i="9"/>
  <c r="C134" i="9"/>
  <c r="C127" i="9"/>
  <c r="C126" i="9"/>
  <c r="C128" i="9"/>
  <c r="C130" i="11"/>
  <c r="C135" i="11"/>
  <c r="C135" i="9"/>
  <c r="C130" i="9"/>
  <c r="C131" i="9"/>
  <c r="C129" i="11"/>
  <c r="C101" i="10"/>
  <c r="C101" i="16" s="1"/>
  <c r="C101" i="12" s="1"/>
  <c r="C98" i="10"/>
  <c r="C93" i="10"/>
  <c r="C94" i="11"/>
  <c r="C95" i="10"/>
  <c r="C94" i="10"/>
  <c r="C96" i="10"/>
  <c r="C93" i="11"/>
  <c r="C97" i="10"/>
  <c r="C102" i="10"/>
  <c r="C98" i="11"/>
  <c r="C95" i="11"/>
  <c r="C97" i="11"/>
  <c r="C94" i="9"/>
  <c r="C95" i="9"/>
  <c r="C101" i="11"/>
  <c r="C102" i="11"/>
  <c r="C97" i="9"/>
  <c r="C102" i="9"/>
  <c r="C101" i="9"/>
  <c r="C98" i="9"/>
  <c r="C96" i="9"/>
  <c r="C93" i="9"/>
  <c r="C96" i="11"/>
  <c r="C79" i="10"/>
  <c r="C79" i="16" s="1"/>
  <c r="C79" i="12" s="1"/>
  <c r="C78" i="10"/>
  <c r="C72" i="11"/>
  <c r="C77" i="11"/>
  <c r="C76" i="10"/>
  <c r="C80" i="10"/>
  <c r="C77" i="9"/>
  <c r="C78" i="11"/>
  <c r="C77" i="10"/>
  <c r="C71" i="10"/>
  <c r="C74" i="10"/>
  <c r="C73" i="10"/>
  <c r="C75" i="10"/>
  <c r="C72" i="10"/>
  <c r="C78" i="9"/>
  <c r="C71" i="11"/>
  <c r="C76" i="11"/>
  <c r="C79" i="11"/>
  <c r="C74" i="9"/>
  <c r="C75" i="11"/>
  <c r="C72" i="9"/>
  <c r="C73" i="9"/>
  <c r="C73" i="11"/>
  <c r="C79" i="9"/>
  <c r="C76" i="9"/>
  <c r="C80" i="9"/>
  <c r="C80" i="11"/>
  <c r="C75" i="9"/>
  <c r="C71" i="9"/>
  <c r="C74" i="11"/>
  <c r="C43" i="10"/>
  <c r="C39" i="11"/>
  <c r="C38" i="11"/>
  <c r="C46" i="10"/>
  <c r="C46" i="16" s="1"/>
  <c r="C46" i="12" s="1"/>
  <c r="C45" i="11"/>
  <c r="C40" i="10"/>
  <c r="C42" i="10"/>
  <c r="C47" i="10"/>
  <c r="C41" i="10"/>
  <c r="C44" i="10"/>
  <c r="C39" i="10"/>
  <c r="C44" i="11"/>
  <c r="C44" i="9"/>
  <c r="C43" i="11"/>
  <c r="C45" i="10"/>
  <c r="C38" i="10"/>
  <c r="C45" i="9"/>
  <c r="C43" i="9"/>
  <c r="C47" i="11"/>
  <c r="C42" i="9"/>
  <c r="C46" i="9"/>
  <c r="C38" i="9"/>
  <c r="C40" i="9"/>
  <c r="C47" i="9"/>
  <c r="C41" i="9"/>
  <c r="C46" i="11"/>
  <c r="C39" i="9"/>
  <c r="C40" i="11"/>
  <c r="C42" i="11"/>
  <c r="C41" i="11"/>
  <c r="C20" i="10"/>
  <c r="C16" i="10"/>
  <c r="C19" i="10"/>
  <c r="C16" i="11"/>
  <c r="C21" i="11"/>
  <c r="C24" i="10"/>
  <c r="C21" i="10"/>
  <c r="C25" i="10"/>
  <c r="C17" i="11"/>
  <c r="C18" i="10"/>
  <c r="C17" i="10"/>
  <c r="C24" i="9"/>
  <c r="C18" i="11"/>
  <c r="C21" i="9"/>
  <c r="C25" i="9"/>
  <c r="C25" i="11"/>
  <c r="C20" i="11"/>
  <c r="C24" i="11"/>
  <c r="C20" i="9"/>
  <c r="C19" i="9"/>
  <c r="C18" i="9"/>
  <c r="C17" i="9"/>
  <c r="C16" i="9"/>
  <c r="C19" i="11"/>
  <c r="C115" i="10"/>
  <c r="C122" i="9"/>
  <c r="C119" i="10"/>
  <c r="C122" i="10"/>
  <c r="C116" i="10"/>
  <c r="C121" i="9"/>
  <c r="C120" i="11"/>
  <c r="C123" i="10"/>
  <c r="C123" i="16" s="1"/>
  <c r="C123" i="12" s="1"/>
  <c r="C120" i="10"/>
  <c r="C118" i="10"/>
  <c r="C121" i="11"/>
  <c r="C116" i="11"/>
  <c r="C115" i="11"/>
  <c r="C122" i="11"/>
  <c r="C117" i="10"/>
  <c r="C121" i="10"/>
  <c r="C124" i="10"/>
  <c r="C117" i="11"/>
  <c r="C124" i="11"/>
  <c r="C115" i="9"/>
  <c r="C124" i="9"/>
  <c r="C118" i="9"/>
  <c r="C123" i="9"/>
  <c r="C119" i="11"/>
  <c r="C123" i="11"/>
  <c r="C119" i="9"/>
  <c r="C116" i="9"/>
  <c r="C117" i="9"/>
  <c r="C120" i="9"/>
  <c r="C118" i="11"/>
  <c r="H110" i="10"/>
  <c r="H111" i="10"/>
  <c r="H108" i="10"/>
  <c r="H105" i="10"/>
  <c r="H109" i="11"/>
  <c r="H109" i="10"/>
  <c r="H113" i="10"/>
  <c r="H112" i="10"/>
  <c r="H112" i="16" s="1"/>
  <c r="H112" i="12" s="1"/>
  <c r="H110" i="11"/>
  <c r="H111" i="9"/>
  <c r="H105" i="11"/>
  <c r="H111" i="11"/>
  <c r="H106" i="10"/>
  <c r="H104" i="10"/>
  <c r="H107" i="10"/>
  <c r="H110" i="9"/>
  <c r="H104" i="11"/>
  <c r="H108" i="11"/>
  <c r="H108" i="9"/>
  <c r="H107" i="9"/>
  <c r="H109" i="9"/>
  <c r="H104" i="9"/>
  <c r="H112" i="9"/>
  <c r="H106" i="11"/>
  <c r="H113" i="11"/>
  <c r="H106" i="9"/>
  <c r="H112" i="11"/>
  <c r="H105" i="9"/>
  <c r="H113" i="9"/>
  <c r="H107" i="11"/>
  <c r="H66" i="11"/>
  <c r="H61" i="10"/>
  <c r="H60" i="10"/>
  <c r="H69" i="10"/>
  <c r="H64" i="10"/>
  <c r="H61" i="11"/>
  <c r="H63" i="10"/>
  <c r="H65" i="10"/>
  <c r="H68" i="10"/>
  <c r="H68" i="16" s="1"/>
  <c r="H68" i="12" s="1"/>
  <c r="H67" i="11"/>
  <c r="H67" i="10"/>
  <c r="H66" i="10"/>
  <c r="H62" i="10"/>
  <c r="H66" i="9"/>
  <c r="H67" i="9"/>
  <c r="H60" i="11"/>
  <c r="H65" i="11"/>
  <c r="H62" i="11"/>
  <c r="H64" i="11"/>
  <c r="H69" i="9"/>
  <c r="H62" i="9"/>
  <c r="H68" i="9"/>
  <c r="H68" i="11"/>
  <c r="H61" i="9"/>
  <c r="H63" i="9"/>
  <c r="H69" i="11"/>
  <c r="H60" i="9"/>
  <c r="H65" i="9"/>
  <c r="H64" i="9"/>
  <c r="H63" i="11"/>
  <c r="H46" i="10"/>
  <c r="H46" i="16" s="1"/>
  <c r="H46" i="12" s="1"/>
  <c r="H43" i="10"/>
  <c r="H41" i="10"/>
  <c r="H39" i="11"/>
  <c r="H38" i="10"/>
  <c r="H45" i="11"/>
  <c r="H44" i="11"/>
  <c r="H44" i="10"/>
  <c r="H39" i="10"/>
  <c r="H45" i="9"/>
  <c r="H43" i="11"/>
  <c r="H42" i="10"/>
  <c r="H40" i="10"/>
  <c r="H45" i="10"/>
  <c r="H47" i="10"/>
  <c r="H44" i="9"/>
  <c r="H38" i="11"/>
  <c r="H39" i="9"/>
  <c r="H43" i="9"/>
  <c r="H40" i="9"/>
  <c r="H46" i="9"/>
  <c r="H47" i="9"/>
  <c r="H42" i="11"/>
  <c r="H42" i="9"/>
  <c r="H41" i="9"/>
  <c r="H47" i="11"/>
  <c r="H46" i="11"/>
  <c r="H38" i="9"/>
  <c r="H40" i="11"/>
  <c r="H41" i="11"/>
  <c r="H142" i="10"/>
  <c r="H137" i="11"/>
  <c r="H137" i="10"/>
  <c r="H145" i="10"/>
  <c r="H145" i="16" s="1"/>
  <c r="H145" i="12" s="1"/>
  <c r="H143" i="11"/>
  <c r="H144" i="11"/>
  <c r="H146" i="10"/>
  <c r="H139" i="10"/>
  <c r="H144" i="10"/>
  <c r="H138" i="10"/>
  <c r="H141" i="10"/>
  <c r="H143" i="9"/>
  <c r="H142" i="11"/>
  <c r="H143" i="10"/>
  <c r="H140" i="10"/>
  <c r="H144" i="9"/>
  <c r="H138" i="11"/>
  <c r="H139" i="9"/>
  <c r="H139" i="11"/>
  <c r="H141" i="11"/>
  <c r="H141" i="9"/>
  <c r="H140" i="9"/>
  <c r="H145" i="9"/>
  <c r="H146" i="11"/>
  <c r="H146" i="9"/>
  <c r="H137" i="9"/>
  <c r="H142" i="9"/>
  <c r="H145" i="11"/>
  <c r="H138" i="9"/>
  <c r="H140" i="11"/>
  <c r="H94" i="10"/>
  <c r="H98" i="11"/>
  <c r="H93" i="10"/>
  <c r="H102" i="10"/>
  <c r="H101" i="10"/>
  <c r="H101" i="16" s="1"/>
  <c r="H101" i="12" s="1"/>
  <c r="H96" i="10"/>
  <c r="H95" i="10"/>
  <c r="H98" i="10"/>
  <c r="H97" i="10"/>
  <c r="H93" i="11"/>
  <c r="H94" i="11"/>
  <c r="H94" i="9"/>
  <c r="H102" i="11"/>
  <c r="H101" i="11"/>
  <c r="H102" i="9"/>
  <c r="H97" i="9"/>
  <c r="H95" i="9"/>
  <c r="H101" i="9"/>
  <c r="H96" i="9"/>
  <c r="H95" i="11"/>
  <c r="H97" i="11"/>
  <c r="H93" i="9"/>
  <c r="H98" i="9"/>
  <c r="H96" i="11"/>
  <c r="H88" i="11"/>
  <c r="H84" i="10"/>
  <c r="H85" i="10"/>
  <c r="H90" i="10"/>
  <c r="H90" i="16" s="1"/>
  <c r="H90" i="12" s="1"/>
  <c r="H89" i="10"/>
  <c r="H87" i="11"/>
  <c r="H89" i="11"/>
  <c r="H87" i="10"/>
  <c r="H88" i="10"/>
  <c r="H82" i="10"/>
  <c r="H86" i="10"/>
  <c r="H91" i="10"/>
  <c r="H83" i="10"/>
  <c r="H89" i="9"/>
  <c r="H83" i="11"/>
  <c r="H82" i="11"/>
  <c r="H88" i="9"/>
  <c r="H91" i="11"/>
  <c r="H86" i="9"/>
  <c r="H87" i="9"/>
  <c r="H84" i="11"/>
  <c r="H90" i="11"/>
  <c r="H82" i="9"/>
  <c r="H85" i="9"/>
  <c r="H86" i="11"/>
  <c r="H84" i="9"/>
  <c r="H83" i="9"/>
  <c r="H91" i="9"/>
  <c r="H90" i="9"/>
  <c r="H85" i="11"/>
  <c r="H32" i="10"/>
  <c r="H36" i="10"/>
  <c r="H33" i="9"/>
  <c r="H34" i="9"/>
  <c r="H28" i="11"/>
  <c r="H33" i="11"/>
  <c r="H33" i="10"/>
  <c r="H28" i="10"/>
  <c r="H27" i="11"/>
  <c r="H35" i="10"/>
  <c r="H35" i="16" s="1"/>
  <c r="H35" i="12" s="1"/>
  <c r="H34" i="11"/>
  <c r="H29" i="10"/>
  <c r="H31" i="10"/>
  <c r="H32" i="11"/>
  <c r="H30" i="10"/>
  <c r="H34" i="10"/>
  <c r="H27" i="10"/>
  <c r="H31" i="11"/>
  <c r="H32" i="9"/>
  <c r="H35" i="11"/>
  <c r="H31" i="9"/>
  <c r="H27" i="9"/>
  <c r="H29" i="11"/>
  <c r="H36" i="11"/>
  <c r="H28" i="9"/>
  <c r="H29" i="9"/>
  <c r="H30" i="9"/>
  <c r="H36" i="9"/>
  <c r="H35" i="9"/>
  <c r="H30" i="11"/>
  <c r="H124" i="10"/>
  <c r="H118" i="10"/>
  <c r="H116" i="11"/>
  <c r="H119" i="10"/>
  <c r="H122" i="10"/>
  <c r="H121" i="11"/>
  <c r="H121" i="10"/>
  <c r="H117" i="10"/>
  <c r="H122" i="9"/>
  <c r="H115" i="11"/>
  <c r="H120" i="11"/>
  <c r="H121" i="9"/>
  <c r="H123" i="10"/>
  <c r="H123" i="16" s="1"/>
  <c r="H123" i="12" s="1"/>
  <c r="H122" i="11"/>
  <c r="H120" i="10"/>
  <c r="H116" i="10"/>
  <c r="H115" i="10"/>
  <c r="H117" i="11"/>
  <c r="H119" i="11"/>
  <c r="H119" i="9"/>
  <c r="H118" i="9"/>
  <c r="H117" i="9"/>
  <c r="H124" i="11"/>
  <c r="H116" i="9"/>
  <c r="H120" i="9"/>
  <c r="H123" i="9"/>
  <c r="H123" i="11"/>
  <c r="H124" i="9"/>
  <c r="H115" i="9"/>
  <c r="H118" i="11"/>
  <c r="H79" i="10"/>
  <c r="H79" i="16" s="1"/>
  <c r="H79" i="12" s="1"/>
  <c r="H78" i="11"/>
  <c r="H76" i="10"/>
  <c r="H78" i="10"/>
  <c r="H78" i="9"/>
  <c r="H77" i="9"/>
  <c r="H77" i="11"/>
  <c r="H80" i="10"/>
  <c r="H73" i="10"/>
  <c r="H72" i="10"/>
  <c r="H75" i="10"/>
  <c r="H71" i="11"/>
  <c r="H74" i="10"/>
  <c r="H71" i="10"/>
  <c r="H77" i="10"/>
  <c r="H72" i="11"/>
  <c r="H76" i="11"/>
  <c r="H79" i="11"/>
  <c r="H76" i="9"/>
  <c r="H79" i="9"/>
  <c r="H80" i="11"/>
  <c r="H73" i="9"/>
  <c r="H71" i="9"/>
  <c r="H75" i="9"/>
  <c r="H80" i="9"/>
  <c r="H74" i="9"/>
  <c r="H73" i="11"/>
  <c r="H75" i="11"/>
  <c r="H72" i="9"/>
  <c r="H74" i="11"/>
  <c r="H169" i="7"/>
  <c r="H14" i="10"/>
  <c r="H11" i="9"/>
  <c r="H12" i="11"/>
  <c r="H7" i="10"/>
  <c r="H11" i="10"/>
  <c r="H10" i="10"/>
  <c r="H6" i="10"/>
  <c r="H5" i="10"/>
  <c r="H9" i="10"/>
  <c r="H12" i="10"/>
  <c r="H12" i="9"/>
  <c r="H6" i="11"/>
  <c r="H5" i="11"/>
  <c r="H10" i="11"/>
  <c r="H13" i="10"/>
  <c r="H11" i="11"/>
  <c r="H8" i="10"/>
  <c r="H7" i="11"/>
  <c r="H13" i="11"/>
  <c r="H8" i="9"/>
  <c r="H9" i="9"/>
  <c r="H5" i="9"/>
  <c r="H14" i="9"/>
  <c r="H10" i="9"/>
  <c r="H7" i="9"/>
  <c r="H13" i="9"/>
  <c r="H14" i="11"/>
  <c r="H9" i="11"/>
  <c r="H6" i="9"/>
  <c r="H8" i="11"/>
  <c r="H150" i="10"/>
  <c r="H154" i="10"/>
  <c r="H149" i="10"/>
  <c r="H152" i="10"/>
  <c r="H156" i="10"/>
  <c r="H156" i="16" s="1"/>
  <c r="H156" i="12" s="1"/>
  <c r="H155" i="10"/>
  <c r="H157" i="10"/>
  <c r="H148" i="10"/>
  <c r="H154" i="11"/>
  <c r="H151" i="10"/>
  <c r="H153" i="11"/>
  <c r="H155" i="11"/>
  <c r="H153" i="10"/>
  <c r="H154" i="9"/>
  <c r="H155" i="9"/>
  <c r="H149" i="11"/>
  <c r="H148" i="11"/>
  <c r="H152" i="9"/>
  <c r="H150" i="9"/>
  <c r="H156" i="9"/>
  <c r="H151" i="9"/>
  <c r="H149" i="9"/>
  <c r="H157" i="11"/>
  <c r="H150" i="11"/>
  <c r="H152" i="11"/>
  <c r="H156" i="11"/>
  <c r="H148" i="9"/>
  <c r="H153" i="9"/>
  <c r="H157" i="9"/>
  <c r="H151" i="11"/>
  <c r="H130" i="10"/>
  <c r="H129" i="10"/>
  <c r="H126" i="11"/>
  <c r="H134" i="10"/>
  <c r="H134" i="16" s="1"/>
  <c r="H134" i="12" s="1"/>
  <c r="H127" i="10"/>
  <c r="H131" i="10"/>
  <c r="H128" i="10"/>
  <c r="H126" i="10"/>
  <c r="H135" i="10"/>
  <c r="H131" i="11"/>
  <c r="H127" i="11"/>
  <c r="H135" i="11"/>
  <c r="H129" i="9"/>
  <c r="H130" i="11"/>
  <c r="H134" i="9"/>
  <c r="H130" i="9"/>
  <c r="H131" i="9"/>
  <c r="H128" i="11"/>
  <c r="H134" i="11"/>
  <c r="H135" i="9"/>
  <c r="H127" i="9"/>
  <c r="H126" i="9"/>
  <c r="H128" i="9"/>
  <c r="H129" i="11"/>
  <c r="H52" i="10"/>
  <c r="H51" i="10"/>
  <c r="H55" i="10"/>
  <c r="H50" i="10"/>
  <c r="H56" i="10"/>
  <c r="H56" i="9"/>
  <c r="H50" i="11"/>
  <c r="H57" i="10"/>
  <c r="H57" i="16" s="1"/>
  <c r="H57" i="12" s="1"/>
  <c r="H53" i="10"/>
  <c r="H58" i="11"/>
  <c r="H55" i="11"/>
  <c r="H56" i="11"/>
  <c r="H49" i="10"/>
  <c r="H54" i="10"/>
  <c r="H58" i="10"/>
  <c r="H49" i="11"/>
  <c r="H54" i="11"/>
  <c r="H55" i="9"/>
  <c r="H53" i="9"/>
  <c r="H54" i="9"/>
  <c r="H58" i="9"/>
  <c r="H52" i="9"/>
  <c r="H51" i="11"/>
  <c r="H57" i="11"/>
  <c r="H53" i="11"/>
  <c r="H49" i="9"/>
  <c r="H51" i="9"/>
  <c r="H50" i="9"/>
  <c r="H57" i="9"/>
  <c r="H52" i="11"/>
  <c r="H16" i="10"/>
  <c r="H17" i="10"/>
  <c r="H16" i="11"/>
  <c r="H21" i="11"/>
  <c r="H24" i="10"/>
  <c r="H18" i="10"/>
  <c r="H19" i="10"/>
  <c r="H21" i="10"/>
  <c r="H20" i="10"/>
  <c r="H17" i="11"/>
  <c r="H25" i="10"/>
  <c r="H18" i="11"/>
  <c r="H24" i="11"/>
  <c r="H20" i="9"/>
  <c r="H17" i="9"/>
  <c r="H19" i="9"/>
  <c r="H25" i="9"/>
  <c r="H18" i="9"/>
  <c r="H21" i="9"/>
  <c r="H16" i="9"/>
  <c r="H20" i="11"/>
  <c r="H25" i="11"/>
  <c r="H24" i="9"/>
  <c r="H19" i="11"/>
  <c r="K165" i="11" l="1"/>
  <c r="K165" i="17" s="1"/>
  <c r="K132" i="17" s="1"/>
  <c r="J165" i="9"/>
  <c r="J165" i="18" s="1"/>
  <c r="J165" i="10"/>
  <c r="J165" i="16" s="1"/>
  <c r="I165" i="11"/>
  <c r="I165" i="17" s="1"/>
  <c r="J165" i="11"/>
  <c r="J165" i="17" s="1"/>
  <c r="K165" i="9"/>
  <c r="K165" i="18" s="1"/>
  <c r="I165" i="9"/>
  <c r="I165" i="18" s="1"/>
  <c r="K165" i="10"/>
  <c r="K165" i="16" s="1"/>
  <c r="I165" i="10"/>
  <c r="I165" i="16" s="1"/>
  <c r="I132" i="16" s="1"/>
  <c r="J100" i="4"/>
  <c r="K100" i="4" s="1"/>
  <c r="I159" i="3"/>
  <c r="I181" i="9" s="1"/>
  <c r="J5" i="3"/>
  <c r="J22" i="3"/>
  <c r="I187" i="9"/>
  <c r="J7" i="3"/>
  <c r="I161" i="3"/>
  <c r="I183" i="9" s="1"/>
  <c r="I164" i="4"/>
  <c r="I186" i="10" s="1"/>
  <c r="J10" i="4"/>
  <c r="I168" i="3"/>
  <c r="I190" i="9" s="1"/>
  <c r="J14" i="3"/>
  <c r="J12" i="3"/>
  <c r="I188" i="9"/>
  <c r="I166" i="3"/>
  <c r="I167" i="3"/>
  <c r="I189" i="9" s="1"/>
  <c r="J13" i="3"/>
  <c r="J100" i="3"/>
  <c r="I187" i="10"/>
  <c r="J22" i="4"/>
  <c r="I162" i="4"/>
  <c r="I184" i="10" s="1"/>
  <c r="J8" i="4"/>
  <c r="I168" i="4"/>
  <c r="I190" i="10" s="1"/>
  <c r="J14" i="4"/>
  <c r="J56" i="3"/>
  <c r="J23" i="3"/>
  <c r="I160" i="4"/>
  <c r="I182" i="10" s="1"/>
  <c r="J6" i="4"/>
  <c r="I163" i="4"/>
  <c r="I185" i="10" s="1"/>
  <c r="J9" i="4"/>
  <c r="I167" i="4"/>
  <c r="I189" i="10" s="1"/>
  <c r="J13" i="4"/>
  <c r="I159" i="4"/>
  <c r="I181" i="10" s="1"/>
  <c r="J5" i="4"/>
  <c r="J11" i="3"/>
  <c r="I165" i="3"/>
  <c r="J99" i="3"/>
  <c r="I160" i="3"/>
  <c r="I182" i="9" s="1"/>
  <c r="J6" i="3"/>
  <c r="J7" i="4"/>
  <c r="I161" i="4"/>
  <c r="I183" i="10" s="1"/>
  <c r="J23" i="4"/>
  <c r="I162" i="3"/>
  <c r="I184" i="9" s="1"/>
  <c r="J8" i="3"/>
  <c r="J12" i="4"/>
  <c r="I188" i="10"/>
  <c r="I166" i="4"/>
  <c r="I163" i="3"/>
  <c r="I185" i="9" s="1"/>
  <c r="J9" i="3"/>
  <c r="I164" i="3"/>
  <c r="I186" i="9" s="1"/>
  <c r="J10" i="3"/>
  <c r="J11" i="4"/>
  <c r="I165" i="4"/>
  <c r="J99" i="4"/>
  <c r="J22" i="5"/>
  <c r="I187" i="11"/>
  <c r="J5" i="5"/>
  <c r="I159" i="5"/>
  <c r="I181" i="11" s="1"/>
  <c r="I167" i="5"/>
  <c r="I189" i="11" s="1"/>
  <c r="J13" i="5"/>
  <c r="J23" i="5"/>
  <c r="J14" i="5"/>
  <c r="I168" i="5"/>
  <c r="I190" i="11" s="1"/>
  <c r="I161" i="5"/>
  <c r="I183" i="11" s="1"/>
  <c r="J7" i="5"/>
  <c r="J6" i="5"/>
  <c r="I160" i="5"/>
  <c r="I182" i="11" s="1"/>
  <c r="J10" i="5"/>
  <c r="I164" i="5"/>
  <c r="I186" i="11" s="1"/>
  <c r="I162" i="5"/>
  <c r="I184" i="11" s="1"/>
  <c r="J8" i="5"/>
  <c r="J99" i="5"/>
  <c r="I163" i="5"/>
  <c r="I185" i="11" s="1"/>
  <c r="J9" i="5"/>
  <c r="J12" i="5"/>
  <c r="I166" i="5"/>
  <c r="I188" i="11"/>
  <c r="J11" i="5"/>
  <c r="I165" i="5"/>
  <c r="J100" i="5"/>
  <c r="D162" i="11"/>
  <c r="D167" i="11"/>
  <c r="D168" i="11"/>
  <c r="D163" i="11"/>
  <c r="D164" i="11"/>
  <c r="D160" i="11"/>
  <c r="D166" i="10"/>
  <c r="D166" i="16" s="1"/>
  <c r="O177" i="10" s="1"/>
  <c r="D163" i="10"/>
  <c r="E161" i="11"/>
  <c r="E163" i="11"/>
  <c r="E161" i="9"/>
  <c r="E162" i="10"/>
  <c r="E163" i="10"/>
  <c r="E160" i="11"/>
  <c r="D167" i="9"/>
  <c r="D161" i="9"/>
  <c r="D161" i="11"/>
  <c r="D159" i="11"/>
  <c r="E167" i="9"/>
  <c r="E159" i="9"/>
  <c r="E167" i="11"/>
  <c r="E159" i="10"/>
  <c r="E161" i="10"/>
  <c r="E166" i="9"/>
  <c r="E166" i="18" s="1"/>
  <c r="P177" i="9" s="1"/>
  <c r="D162" i="9"/>
  <c r="D159" i="9"/>
  <c r="D164" i="9"/>
  <c r="D162" i="10"/>
  <c r="D168" i="10"/>
  <c r="D164" i="10"/>
  <c r="E163" i="9"/>
  <c r="E168" i="9"/>
  <c r="E164" i="9"/>
  <c r="E164" i="10"/>
  <c r="E168" i="10"/>
  <c r="E166" i="11"/>
  <c r="E166" i="17" s="1"/>
  <c r="P177" i="11" s="1"/>
  <c r="D160" i="9"/>
  <c r="D168" i="9"/>
  <c r="D163" i="9"/>
  <c r="D166" i="11"/>
  <c r="D166" i="17" s="1"/>
  <c r="O177" i="11" s="1"/>
  <c r="D160" i="10"/>
  <c r="D166" i="9"/>
  <c r="D166" i="18" s="1"/>
  <c r="O177" i="9" s="1"/>
  <c r="E162" i="11"/>
  <c r="E168" i="11"/>
  <c r="E160" i="9"/>
  <c r="E162" i="9"/>
  <c r="E159" i="11"/>
  <c r="E164" i="11"/>
  <c r="E166" i="10"/>
  <c r="E166" i="16" s="1"/>
  <c r="G160" i="9"/>
  <c r="G159" i="9"/>
  <c r="G162" i="9"/>
  <c r="G166" i="10"/>
  <c r="G166" i="16" s="1"/>
  <c r="G160" i="10"/>
  <c r="G159" i="11"/>
  <c r="G168" i="10"/>
  <c r="D159" i="10"/>
  <c r="D161" i="10"/>
  <c r="G162" i="11"/>
  <c r="G163" i="9"/>
  <c r="G163" i="11"/>
  <c r="G168" i="11"/>
  <c r="G167" i="10"/>
  <c r="G13" i="16"/>
  <c r="G13" i="12" s="1"/>
  <c r="G162" i="10"/>
  <c r="G166" i="9"/>
  <c r="G166" i="18" s="1"/>
  <c r="G164" i="10"/>
  <c r="G161" i="11"/>
  <c r="G167" i="11"/>
  <c r="G164" i="9"/>
  <c r="G160" i="11"/>
  <c r="G161" i="10"/>
  <c r="G161" i="9"/>
  <c r="G168" i="9"/>
  <c r="G167" i="9"/>
  <c r="G164" i="11"/>
  <c r="G163" i="10"/>
  <c r="G166" i="11"/>
  <c r="G159" i="10"/>
  <c r="E160" i="10"/>
  <c r="F160" i="9"/>
  <c r="F163" i="9"/>
  <c r="F163" i="11"/>
  <c r="F159" i="10"/>
  <c r="F162" i="10"/>
  <c r="F160" i="11"/>
  <c r="F161" i="10"/>
  <c r="F162" i="11"/>
  <c r="F168" i="9"/>
  <c r="F164" i="9"/>
  <c r="F167" i="9"/>
  <c r="F166" i="11"/>
  <c r="F167" i="10"/>
  <c r="F13" i="16"/>
  <c r="F13" i="12" s="1"/>
  <c r="F161" i="11"/>
  <c r="F168" i="11"/>
  <c r="F161" i="9"/>
  <c r="F163" i="10"/>
  <c r="F164" i="10"/>
  <c r="F164" i="11"/>
  <c r="F160" i="10"/>
  <c r="F159" i="9"/>
  <c r="F162" i="9"/>
  <c r="F167" i="11"/>
  <c r="F166" i="10"/>
  <c r="F166" i="16" s="1"/>
  <c r="F168" i="10"/>
  <c r="F159" i="11"/>
  <c r="F166" i="9"/>
  <c r="F166" i="18" s="1"/>
  <c r="E167" i="10"/>
  <c r="E13" i="16"/>
  <c r="E13" i="12" s="1"/>
  <c r="D167" i="10"/>
  <c r="D13" i="16"/>
  <c r="D13" i="12" s="1"/>
  <c r="C160" i="9"/>
  <c r="C164" i="9"/>
  <c r="C167" i="11"/>
  <c r="C168" i="10"/>
  <c r="C162" i="11"/>
  <c r="C168" i="9"/>
  <c r="C161" i="9"/>
  <c r="C167" i="9"/>
  <c r="C159" i="10"/>
  <c r="C166" i="11"/>
  <c r="C162" i="10"/>
  <c r="C160" i="10"/>
  <c r="C162" i="9"/>
  <c r="C168" i="11"/>
  <c r="C159" i="9"/>
  <c r="C164" i="11"/>
  <c r="C163" i="10"/>
  <c r="C167" i="10"/>
  <c r="C13" i="16"/>
  <c r="C13" i="12" s="1"/>
  <c r="C160" i="11"/>
  <c r="C166" i="10"/>
  <c r="C166" i="16" s="1"/>
  <c r="C163" i="11"/>
  <c r="C161" i="11"/>
  <c r="C163" i="9"/>
  <c r="C166" i="9"/>
  <c r="C166" i="18" s="1"/>
  <c r="C164" i="10"/>
  <c r="C159" i="11"/>
  <c r="C161" i="10"/>
  <c r="H168" i="11"/>
  <c r="H168" i="9"/>
  <c r="H168" i="18" s="1"/>
  <c r="H167" i="11"/>
  <c r="H167" i="10"/>
  <c r="S178" i="10" s="1"/>
  <c r="H13" i="16"/>
  <c r="H13" i="12" s="1"/>
  <c r="H166" i="9"/>
  <c r="H166" i="18" s="1"/>
  <c r="H160" i="10"/>
  <c r="H160" i="16" s="1"/>
  <c r="H166" i="11"/>
  <c r="H162" i="11"/>
  <c r="H167" i="9"/>
  <c r="H167" i="18" s="1"/>
  <c r="H159" i="9"/>
  <c r="H159" i="18" s="1"/>
  <c r="H161" i="11"/>
  <c r="H164" i="11"/>
  <c r="H166" i="10"/>
  <c r="H166" i="16" s="1"/>
  <c r="H164" i="10"/>
  <c r="H164" i="16" s="1"/>
  <c r="H160" i="9"/>
  <c r="H160" i="18" s="1"/>
  <c r="H161" i="9"/>
  <c r="H161" i="18" s="1"/>
  <c r="H163" i="9"/>
  <c r="H163" i="18" s="1"/>
  <c r="H162" i="10"/>
  <c r="H162" i="16" s="1"/>
  <c r="H159" i="11"/>
  <c r="H163" i="10"/>
  <c r="H163" i="16" s="1"/>
  <c r="H168" i="10"/>
  <c r="H165" i="17"/>
  <c r="H44" i="17" s="1"/>
  <c r="H44" i="13" s="1"/>
  <c r="H165" i="16"/>
  <c r="H55" i="16" s="1"/>
  <c r="H55" i="12" s="1"/>
  <c r="H165" i="18"/>
  <c r="S176" i="9" s="1"/>
  <c r="H163" i="11"/>
  <c r="H164" i="9"/>
  <c r="H162" i="9"/>
  <c r="H162" i="18" s="1"/>
  <c r="H160" i="11"/>
  <c r="H159" i="10"/>
  <c r="H159" i="16" s="1"/>
  <c r="H161" i="10"/>
  <c r="H161" i="16" s="1"/>
  <c r="J132" i="16" l="1"/>
  <c r="J132" i="12" s="1"/>
  <c r="J11" i="16"/>
  <c r="J11" i="12" s="1"/>
  <c r="J44" i="16"/>
  <c r="J44" i="12" s="1"/>
  <c r="J121" i="16"/>
  <c r="J121" i="12" s="1"/>
  <c r="J143" i="16"/>
  <c r="J143" i="12" s="1"/>
  <c r="J154" i="16"/>
  <c r="J154" i="12" s="1"/>
  <c r="J77" i="16"/>
  <c r="J77" i="12" s="1"/>
  <c r="J110" i="16"/>
  <c r="J110" i="12" s="1"/>
  <c r="J33" i="16"/>
  <c r="J33" i="12" s="1"/>
  <c r="J55" i="16"/>
  <c r="J55" i="12" s="1"/>
  <c r="J66" i="16"/>
  <c r="J66" i="12" s="1"/>
  <c r="J88" i="16"/>
  <c r="J88" i="12" s="1"/>
  <c r="J110" i="18"/>
  <c r="J110" i="6" s="1"/>
  <c r="J103" i="6" s="1"/>
  <c r="J77" i="18"/>
  <c r="J77" i="6" s="1"/>
  <c r="J70" i="6" s="1"/>
  <c r="J88" i="18"/>
  <c r="J88" i="6" s="1"/>
  <c r="J81" i="6" s="1"/>
  <c r="J121" i="18"/>
  <c r="J121" i="6" s="1"/>
  <c r="J114" i="6" s="1"/>
  <c r="J66" i="18"/>
  <c r="J66" i="6" s="1"/>
  <c r="J59" i="6" s="1"/>
  <c r="J55" i="18"/>
  <c r="J55" i="6" s="1"/>
  <c r="J48" i="6" s="1"/>
  <c r="J44" i="18"/>
  <c r="J44" i="6" s="1"/>
  <c r="J37" i="6" s="1"/>
  <c r="J143" i="18"/>
  <c r="J143" i="6" s="1"/>
  <c r="J136" i="6" s="1"/>
  <c r="J11" i="18"/>
  <c r="J11" i="6" s="1"/>
  <c r="J4" i="6" s="1"/>
  <c r="J154" i="18"/>
  <c r="J154" i="6" s="1"/>
  <c r="J147" i="6" s="1"/>
  <c r="J33" i="18"/>
  <c r="J33" i="6" s="1"/>
  <c r="J26" i="6" s="1"/>
  <c r="I143" i="18"/>
  <c r="I143" i="6" s="1"/>
  <c r="I136" i="6" s="1"/>
  <c r="I33" i="18"/>
  <c r="I33" i="6" s="1"/>
  <c r="I26" i="6" s="1"/>
  <c r="I88" i="18"/>
  <c r="I88" i="6" s="1"/>
  <c r="I81" i="6" s="1"/>
  <c r="I121" i="18"/>
  <c r="I121" i="6" s="1"/>
  <c r="I114" i="6" s="1"/>
  <c r="I77" i="18"/>
  <c r="I77" i="6" s="1"/>
  <c r="I70" i="6" s="1"/>
  <c r="I11" i="18"/>
  <c r="I11" i="6" s="1"/>
  <c r="I4" i="6" s="1"/>
  <c r="I44" i="18"/>
  <c r="I44" i="6" s="1"/>
  <c r="I37" i="6" s="1"/>
  <c r="I66" i="18"/>
  <c r="I66" i="6" s="1"/>
  <c r="I59" i="6" s="1"/>
  <c r="I154" i="18"/>
  <c r="I154" i="6" s="1"/>
  <c r="I147" i="6" s="1"/>
  <c r="I110" i="18"/>
  <c r="I110" i="6" s="1"/>
  <c r="I103" i="6" s="1"/>
  <c r="I55" i="18"/>
  <c r="I55" i="6" s="1"/>
  <c r="I48" i="6" s="1"/>
  <c r="I132" i="17"/>
  <c r="I132" i="13" s="1"/>
  <c r="I110" i="17"/>
  <c r="I110" i="13" s="1"/>
  <c r="I154" i="17"/>
  <c r="I154" i="13" s="1"/>
  <c r="I143" i="17"/>
  <c r="I143" i="13" s="1"/>
  <c r="I33" i="17"/>
  <c r="I33" i="13" s="1"/>
  <c r="I88" i="17"/>
  <c r="I88" i="13" s="1"/>
  <c r="I121" i="17"/>
  <c r="I121" i="13" s="1"/>
  <c r="I44" i="17"/>
  <c r="I44" i="13" s="1"/>
  <c r="I55" i="17"/>
  <c r="I55" i="13" s="1"/>
  <c r="I66" i="17"/>
  <c r="I66" i="13" s="1"/>
  <c r="I77" i="17"/>
  <c r="I77" i="13" s="1"/>
  <c r="I11" i="17"/>
  <c r="I11" i="13" s="1"/>
  <c r="J132" i="17"/>
  <c r="J132" i="13" s="1"/>
  <c r="J121" i="17"/>
  <c r="J121" i="13" s="1"/>
  <c r="J66" i="17"/>
  <c r="J66" i="13" s="1"/>
  <c r="J77" i="17"/>
  <c r="J77" i="13" s="1"/>
  <c r="J11" i="17"/>
  <c r="J11" i="13" s="1"/>
  <c r="J143" i="17"/>
  <c r="J143" i="13" s="1"/>
  <c r="J88" i="17"/>
  <c r="J88" i="13" s="1"/>
  <c r="J55" i="17"/>
  <c r="J55" i="13" s="1"/>
  <c r="J110" i="17"/>
  <c r="J110" i="13" s="1"/>
  <c r="J44" i="17"/>
  <c r="J44" i="13" s="1"/>
  <c r="J33" i="17"/>
  <c r="J33" i="13" s="1"/>
  <c r="J154" i="17"/>
  <c r="J154" i="13" s="1"/>
  <c r="K100" i="3"/>
  <c r="K11" i="3"/>
  <c r="J165" i="3"/>
  <c r="K22" i="4"/>
  <c r="J187" i="10"/>
  <c r="J167" i="3"/>
  <c r="J189" i="9" s="1"/>
  <c r="K13" i="3"/>
  <c r="K167" i="3" s="1"/>
  <c r="K189" i="9" s="1"/>
  <c r="K12" i="3"/>
  <c r="J166" i="3"/>
  <c r="J188" i="9"/>
  <c r="J162" i="3"/>
  <c r="J184" i="9" s="1"/>
  <c r="K8" i="3"/>
  <c r="K162" i="3" s="1"/>
  <c r="K184" i="9" s="1"/>
  <c r="J159" i="4"/>
  <c r="J181" i="10" s="1"/>
  <c r="K5" i="4"/>
  <c r="K159" i="4" s="1"/>
  <c r="K181" i="10" s="1"/>
  <c r="J163" i="4"/>
  <c r="J185" i="10" s="1"/>
  <c r="K9" i="4"/>
  <c r="K163" i="4" s="1"/>
  <c r="K185" i="10" s="1"/>
  <c r="K8" i="4"/>
  <c r="K162" i="4" s="1"/>
  <c r="K184" i="10" s="1"/>
  <c r="J162" i="4"/>
  <c r="J184" i="10" s="1"/>
  <c r="K14" i="3"/>
  <c r="K168" i="3" s="1"/>
  <c r="K190" i="9" s="1"/>
  <c r="J168" i="3"/>
  <c r="J190" i="9" s="1"/>
  <c r="K22" i="3"/>
  <c r="J187" i="9"/>
  <c r="J164" i="3"/>
  <c r="J186" i="9" s="1"/>
  <c r="K10" i="3"/>
  <c r="K164" i="3" s="1"/>
  <c r="K186" i="9" s="1"/>
  <c r="J161" i="4"/>
  <c r="J183" i="10" s="1"/>
  <c r="K7" i="4"/>
  <c r="K161" i="4" s="1"/>
  <c r="K183" i="10" s="1"/>
  <c r="K99" i="3"/>
  <c r="K23" i="3"/>
  <c r="K7" i="3"/>
  <c r="K161" i="3" s="1"/>
  <c r="K183" i="9" s="1"/>
  <c r="J161" i="3"/>
  <c r="J183" i="9" s="1"/>
  <c r="K5" i="3"/>
  <c r="K159" i="3" s="1"/>
  <c r="K181" i="9" s="1"/>
  <c r="J159" i="3"/>
  <c r="J181" i="9" s="1"/>
  <c r="J163" i="3"/>
  <c r="J185" i="9" s="1"/>
  <c r="K9" i="3"/>
  <c r="K163" i="3" s="1"/>
  <c r="K185" i="9" s="1"/>
  <c r="J188" i="10"/>
  <c r="J166" i="4"/>
  <c r="K12" i="4"/>
  <c r="K23" i="4"/>
  <c r="K56" i="3"/>
  <c r="K11" i="4"/>
  <c r="J165" i="4"/>
  <c r="K99" i="4"/>
  <c r="K6" i="3"/>
  <c r="K160" i="3" s="1"/>
  <c r="K182" i="9" s="1"/>
  <c r="J160" i="3"/>
  <c r="J182" i="9" s="1"/>
  <c r="J167" i="4"/>
  <c r="J189" i="10" s="1"/>
  <c r="K13" i="4"/>
  <c r="K167" i="4" s="1"/>
  <c r="K189" i="10" s="1"/>
  <c r="J160" i="4"/>
  <c r="J182" i="10" s="1"/>
  <c r="K6" i="4"/>
  <c r="K160" i="4" s="1"/>
  <c r="K182" i="10" s="1"/>
  <c r="K14" i="4"/>
  <c r="K168" i="4" s="1"/>
  <c r="K190" i="10" s="1"/>
  <c r="J168" i="4"/>
  <c r="J190" i="10" s="1"/>
  <c r="K10" i="4"/>
  <c r="K164" i="4" s="1"/>
  <c r="K186" i="10" s="1"/>
  <c r="J164" i="4"/>
  <c r="J186" i="10" s="1"/>
  <c r="K12" i="5"/>
  <c r="J166" i="5"/>
  <c r="J188" i="11"/>
  <c r="K99" i="5"/>
  <c r="K10" i="5"/>
  <c r="K164" i="5" s="1"/>
  <c r="K186" i="11" s="1"/>
  <c r="J164" i="5"/>
  <c r="J186" i="11" s="1"/>
  <c r="K23" i="5"/>
  <c r="J159" i="5"/>
  <c r="J181" i="11" s="1"/>
  <c r="K5" i="5"/>
  <c r="K159" i="5" s="1"/>
  <c r="K181" i="11" s="1"/>
  <c r="K11" i="5"/>
  <c r="J165" i="5"/>
  <c r="K9" i="5"/>
  <c r="K163" i="5" s="1"/>
  <c r="K185" i="11" s="1"/>
  <c r="J163" i="5"/>
  <c r="J185" i="11" s="1"/>
  <c r="K8" i="5"/>
  <c r="K162" i="5" s="1"/>
  <c r="K184" i="11" s="1"/>
  <c r="J162" i="5"/>
  <c r="J184" i="11" s="1"/>
  <c r="K13" i="5"/>
  <c r="K167" i="5" s="1"/>
  <c r="K189" i="11" s="1"/>
  <c r="J167" i="5"/>
  <c r="J189" i="11" s="1"/>
  <c r="K6" i="5"/>
  <c r="K160" i="5" s="1"/>
  <c r="K182" i="11" s="1"/>
  <c r="J160" i="5"/>
  <c r="J182" i="11" s="1"/>
  <c r="K14" i="5"/>
  <c r="K168" i="5" s="1"/>
  <c r="K190" i="11" s="1"/>
  <c r="J168" i="5"/>
  <c r="J190" i="11" s="1"/>
  <c r="K100" i="5"/>
  <c r="K7" i="5"/>
  <c r="K161" i="5" s="1"/>
  <c r="K183" i="11" s="1"/>
  <c r="J161" i="5"/>
  <c r="J183" i="11" s="1"/>
  <c r="K22" i="5"/>
  <c r="J187" i="11"/>
  <c r="H110" i="16"/>
  <c r="H110" i="12" s="1"/>
  <c r="H33" i="16"/>
  <c r="H33" i="12" s="1"/>
  <c r="H33" i="18"/>
  <c r="H33" i="6" s="1"/>
  <c r="H88" i="18"/>
  <c r="H88" i="6" s="1"/>
  <c r="H88" i="16"/>
  <c r="H88" i="12" s="1"/>
  <c r="H77" i="16"/>
  <c r="H77" i="12" s="1"/>
  <c r="G166" i="17"/>
  <c r="R177" i="11" s="1"/>
  <c r="R177" i="9"/>
  <c r="G56" i="18"/>
  <c r="G56" i="6" s="1"/>
  <c r="G45" i="18"/>
  <c r="G45" i="6" s="1"/>
  <c r="G122" i="18"/>
  <c r="G122" i="6" s="1"/>
  <c r="G78" i="18"/>
  <c r="G78" i="6" s="1"/>
  <c r="G155" i="18"/>
  <c r="G155" i="6" s="1"/>
  <c r="G34" i="18"/>
  <c r="G34" i="6" s="1"/>
  <c r="G89" i="18"/>
  <c r="G89" i="6" s="1"/>
  <c r="G67" i="18"/>
  <c r="G67" i="6" s="1"/>
  <c r="G144" i="18"/>
  <c r="G144" i="6" s="1"/>
  <c r="G12" i="18"/>
  <c r="G12" i="6" s="1"/>
  <c r="G111" i="18"/>
  <c r="G111" i="6" s="1"/>
  <c r="R177" i="10"/>
  <c r="G122" i="16"/>
  <c r="G122" i="12" s="1"/>
  <c r="G155" i="16"/>
  <c r="G155" i="12" s="1"/>
  <c r="G34" i="16"/>
  <c r="G34" i="12" s="1"/>
  <c r="G67" i="16"/>
  <c r="G67" i="12" s="1"/>
  <c r="G111" i="16"/>
  <c r="G111" i="12" s="1"/>
  <c r="G78" i="16"/>
  <c r="G78" i="12" s="1"/>
  <c r="G89" i="16"/>
  <c r="G89" i="12" s="1"/>
  <c r="G56" i="16"/>
  <c r="G56" i="12" s="1"/>
  <c r="G144" i="16"/>
  <c r="G144" i="12" s="1"/>
  <c r="G45" i="16"/>
  <c r="G45" i="12" s="1"/>
  <c r="G12" i="16"/>
  <c r="G12" i="12" s="1"/>
  <c r="F12" i="16"/>
  <c r="F12" i="12" s="1"/>
  <c r="F78" i="16"/>
  <c r="F78" i="12" s="1"/>
  <c r="F111" i="16"/>
  <c r="F111" i="12" s="1"/>
  <c r="F122" i="16"/>
  <c r="F122" i="12" s="1"/>
  <c r="F56" i="16"/>
  <c r="F56" i="12" s="1"/>
  <c r="F89" i="16"/>
  <c r="F89" i="12" s="1"/>
  <c r="F144" i="16"/>
  <c r="F144" i="12" s="1"/>
  <c r="F45" i="16"/>
  <c r="F45" i="12" s="1"/>
  <c r="F155" i="16"/>
  <c r="F155" i="12" s="1"/>
  <c r="F67" i="16"/>
  <c r="F67" i="12" s="1"/>
  <c r="F34" i="16"/>
  <c r="F34" i="12" s="1"/>
  <c r="Q177" i="10"/>
  <c r="Q177" i="9"/>
  <c r="F166" i="17"/>
  <c r="Q177" i="11" s="1"/>
  <c r="F56" i="18"/>
  <c r="F56" i="6" s="1"/>
  <c r="F122" i="18"/>
  <c r="F122" i="6" s="1"/>
  <c r="F34" i="18"/>
  <c r="F34" i="6" s="1"/>
  <c r="F144" i="18"/>
  <c r="F144" i="6" s="1"/>
  <c r="F45" i="18"/>
  <c r="F45" i="6" s="1"/>
  <c r="F111" i="18"/>
  <c r="F111" i="6" s="1"/>
  <c r="F89" i="18"/>
  <c r="F89" i="6" s="1"/>
  <c r="F155" i="18"/>
  <c r="F155" i="6" s="1"/>
  <c r="F67" i="18"/>
  <c r="F67" i="6" s="1"/>
  <c r="F78" i="18"/>
  <c r="F78" i="6" s="1"/>
  <c r="F12" i="18"/>
  <c r="F12" i="6" s="1"/>
  <c r="E34" i="16"/>
  <c r="E34" i="12" s="1"/>
  <c r="E45" i="16"/>
  <c r="E45" i="12" s="1"/>
  <c r="E122" i="16"/>
  <c r="E122" i="12" s="1"/>
  <c r="E111" i="16"/>
  <c r="E111" i="12" s="1"/>
  <c r="E144" i="16"/>
  <c r="E144" i="12" s="1"/>
  <c r="E12" i="16"/>
  <c r="E12" i="12" s="1"/>
  <c r="E56" i="16"/>
  <c r="E56" i="12" s="1"/>
  <c r="E155" i="16"/>
  <c r="E155" i="12" s="1"/>
  <c r="E67" i="16"/>
  <c r="E67" i="12" s="1"/>
  <c r="E78" i="16"/>
  <c r="E78" i="12" s="1"/>
  <c r="E89" i="16"/>
  <c r="E89" i="12" s="1"/>
  <c r="H154" i="18"/>
  <c r="H154" i="6" s="1"/>
  <c r="P177" i="10"/>
  <c r="E155" i="17"/>
  <c r="E155" i="13" s="1"/>
  <c r="E56" i="17"/>
  <c r="E56" i="13" s="1"/>
  <c r="E78" i="17"/>
  <c r="E78" i="13" s="1"/>
  <c r="E45" i="17"/>
  <c r="E45" i="13" s="1"/>
  <c r="E122" i="17"/>
  <c r="E122" i="13" s="1"/>
  <c r="E67" i="17"/>
  <c r="E67" i="13" s="1"/>
  <c r="E111" i="17"/>
  <c r="E111" i="13" s="1"/>
  <c r="E144" i="17"/>
  <c r="E144" i="13" s="1"/>
  <c r="E34" i="17"/>
  <c r="E34" i="13" s="1"/>
  <c r="E12" i="17"/>
  <c r="E12" i="13" s="1"/>
  <c r="E89" i="17"/>
  <c r="E89" i="13" s="1"/>
  <c r="E155" i="18"/>
  <c r="E155" i="6" s="1"/>
  <c r="E111" i="18"/>
  <c r="E111" i="6" s="1"/>
  <c r="E89" i="18"/>
  <c r="E89" i="6" s="1"/>
  <c r="E78" i="18"/>
  <c r="E78" i="6" s="1"/>
  <c r="E34" i="18"/>
  <c r="E34" i="6" s="1"/>
  <c r="E144" i="18"/>
  <c r="E144" i="6" s="1"/>
  <c r="E56" i="18"/>
  <c r="E56" i="6" s="1"/>
  <c r="E45" i="18"/>
  <c r="E45" i="6" s="1"/>
  <c r="E12" i="18"/>
  <c r="E12" i="6" s="1"/>
  <c r="E122" i="18"/>
  <c r="E122" i="6" s="1"/>
  <c r="E67" i="18"/>
  <c r="E67" i="6" s="1"/>
  <c r="D56" i="18"/>
  <c r="D56" i="6" s="1"/>
  <c r="D111" i="18"/>
  <c r="D111" i="6" s="1"/>
  <c r="D12" i="18"/>
  <c r="D12" i="6" s="1"/>
  <c r="D45" i="18"/>
  <c r="D45" i="6" s="1"/>
  <c r="D89" i="18"/>
  <c r="D89" i="6" s="1"/>
  <c r="D122" i="18"/>
  <c r="D122" i="6" s="1"/>
  <c r="D34" i="18"/>
  <c r="D34" i="6" s="1"/>
  <c r="D155" i="18"/>
  <c r="D155" i="6" s="1"/>
  <c r="D67" i="18"/>
  <c r="D67" i="6" s="1"/>
  <c r="D144" i="18"/>
  <c r="D144" i="6" s="1"/>
  <c r="D78" i="18"/>
  <c r="D78" i="6" s="1"/>
  <c r="D111" i="16"/>
  <c r="D111" i="12" s="1"/>
  <c r="D155" i="16"/>
  <c r="D155" i="12" s="1"/>
  <c r="D34" i="16"/>
  <c r="D34" i="12" s="1"/>
  <c r="D12" i="16"/>
  <c r="D12" i="12" s="1"/>
  <c r="D78" i="16"/>
  <c r="D78" i="12" s="1"/>
  <c r="D67" i="16"/>
  <c r="D67" i="12" s="1"/>
  <c r="D122" i="16"/>
  <c r="D122" i="12" s="1"/>
  <c r="D144" i="16"/>
  <c r="D144" i="12" s="1"/>
  <c r="D89" i="16"/>
  <c r="D89" i="12" s="1"/>
  <c r="D56" i="16"/>
  <c r="D56" i="12" s="1"/>
  <c r="D45" i="16"/>
  <c r="D45" i="12" s="1"/>
  <c r="D155" i="17"/>
  <c r="D155" i="13" s="1"/>
  <c r="D56" i="17"/>
  <c r="D56" i="13" s="1"/>
  <c r="D45" i="17"/>
  <c r="D45" i="13" s="1"/>
  <c r="D144" i="17"/>
  <c r="D144" i="13" s="1"/>
  <c r="D34" i="17"/>
  <c r="D34" i="13" s="1"/>
  <c r="D89" i="17"/>
  <c r="D89" i="13" s="1"/>
  <c r="D122" i="17"/>
  <c r="D122" i="13" s="1"/>
  <c r="D67" i="17"/>
  <c r="D67" i="13" s="1"/>
  <c r="D111" i="17"/>
  <c r="D111" i="13" s="1"/>
  <c r="D78" i="17"/>
  <c r="D78" i="13" s="1"/>
  <c r="D12" i="17"/>
  <c r="D12" i="13" s="1"/>
  <c r="C155" i="18"/>
  <c r="C155" i="6" s="1"/>
  <c r="C78" i="18"/>
  <c r="C78" i="6" s="1"/>
  <c r="C144" i="18"/>
  <c r="C144" i="6" s="1"/>
  <c r="C122" i="18"/>
  <c r="C122" i="6" s="1"/>
  <c r="C111" i="18"/>
  <c r="C111" i="6" s="1"/>
  <c r="C67" i="18"/>
  <c r="C67" i="6" s="1"/>
  <c r="C12" i="18"/>
  <c r="C12" i="6" s="1"/>
  <c r="C56" i="18"/>
  <c r="C56" i="6" s="1"/>
  <c r="C89" i="18"/>
  <c r="C89" i="6" s="1"/>
  <c r="C45" i="18"/>
  <c r="C45" i="6" s="1"/>
  <c r="C34" i="18"/>
  <c r="C34" i="6" s="1"/>
  <c r="C166" i="17"/>
  <c r="N177" i="11" s="1"/>
  <c r="C144" i="16"/>
  <c r="C144" i="12" s="1"/>
  <c r="C111" i="16"/>
  <c r="C111" i="12" s="1"/>
  <c r="C155" i="16"/>
  <c r="C155" i="12" s="1"/>
  <c r="C67" i="16"/>
  <c r="C67" i="12" s="1"/>
  <c r="C56" i="16"/>
  <c r="C56" i="12" s="1"/>
  <c r="C122" i="16"/>
  <c r="C122" i="12" s="1"/>
  <c r="C45" i="16"/>
  <c r="C45" i="12" s="1"/>
  <c r="C34" i="16"/>
  <c r="C34" i="12" s="1"/>
  <c r="C12" i="16"/>
  <c r="C12" i="12" s="1"/>
  <c r="C89" i="16"/>
  <c r="C89" i="12" s="1"/>
  <c r="C78" i="16"/>
  <c r="C78" i="12" s="1"/>
  <c r="N177" i="9"/>
  <c r="N177" i="10"/>
  <c r="H137" i="16"/>
  <c r="H137" i="12" s="1"/>
  <c r="H115" i="16"/>
  <c r="H115" i="12" s="1"/>
  <c r="H60" i="16"/>
  <c r="H60" i="12" s="1"/>
  <c r="H49" i="16"/>
  <c r="H49" i="12" s="1"/>
  <c r="H27" i="16"/>
  <c r="H27" i="12" s="1"/>
  <c r="H82" i="16"/>
  <c r="H82" i="12" s="1"/>
  <c r="H148" i="16"/>
  <c r="H148" i="12" s="1"/>
  <c r="H71" i="16"/>
  <c r="H71" i="12" s="1"/>
  <c r="H126" i="16"/>
  <c r="H5" i="16"/>
  <c r="H5" i="12" s="1"/>
  <c r="H38" i="16"/>
  <c r="H38" i="12" s="1"/>
  <c r="H104" i="16"/>
  <c r="H104" i="12" s="1"/>
  <c r="H155" i="16"/>
  <c r="H155" i="12" s="1"/>
  <c r="H78" i="16"/>
  <c r="H78" i="12" s="1"/>
  <c r="H56" i="16"/>
  <c r="H56" i="12" s="1"/>
  <c r="H45" i="16"/>
  <c r="H45" i="12" s="1"/>
  <c r="H67" i="16"/>
  <c r="H67" i="12" s="1"/>
  <c r="H12" i="16"/>
  <c r="H12" i="12" s="1"/>
  <c r="H144" i="16"/>
  <c r="H144" i="12" s="1"/>
  <c r="H89" i="16"/>
  <c r="H89" i="12" s="1"/>
  <c r="H122" i="16"/>
  <c r="H122" i="12" s="1"/>
  <c r="H34" i="16"/>
  <c r="H34" i="12" s="1"/>
  <c r="H111" i="16"/>
  <c r="H111" i="12" s="1"/>
  <c r="H160" i="17"/>
  <c r="S171" i="11" s="1"/>
  <c r="H154" i="16"/>
  <c r="H154" i="12" s="1"/>
  <c r="H6" i="16"/>
  <c r="H6" i="12" s="1"/>
  <c r="H61" i="16"/>
  <c r="H61" i="12" s="1"/>
  <c r="H116" i="16"/>
  <c r="H116" i="12" s="1"/>
  <c r="H28" i="16"/>
  <c r="H28" i="12" s="1"/>
  <c r="H138" i="16"/>
  <c r="H138" i="12" s="1"/>
  <c r="H72" i="16"/>
  <c r="H72" i="12" s="1"/>
  <c r="H105" i="16"/>
  <c r="H105" i="12" s="1"/>
  <c r="H149" i="16"/>
  <c r="H149" i="12" s="1"/>
  <c r="H50" i="16"/>
  <c r="H50" i="12" s="1"/>
  <c r="H127" i="16"/>
  <c r="H39" i="16"/>
  <c r="H39" i="12" s="1"/>
  <c r="H83" i="16"/>
  <c r="H83" i="12" s="1"/>
  <c r="H66" i="16"/>
  <c r="H66" i="12" s="1"/>
  <c r="S174" i="10"/>
  <c r="S172" i="9"/>
  <c r="H121" i="16"/>
  <c r="H121" i="12" s="1"/>
  <c r="H164" i="17"/>
  <c r="S175" i="11" s="1"/>
  <c r="H162" i="17"/>
  <c r="S173" i="11" s="1"/>
  <c r="H44" i="16"/>
  <c r="H44" i="12" s="1"/>
  <c r="H77" i="18"/>
  <c r="H77" i="6" s="1"/>
  <c r="H168" i="17"/>
  <c r="S179" i="11" s="1"/>
  <c r="S177" i="9"/>
  <c r="H12" i="18"/>
  <c r="H12" i="6" s="1"/>
  <c r="H34" i="18"/>
  <c r="H34" i="6" s="1"/>
  <c r="H67" i="18"/>
  <c r="H67" i="6" s="1"/>
  <c r="H45" i="18"/>
  <c r="H45" i="6" s="1"/>
  <c r="H56" i="18"/>
  <c r="H56" i="6" s="1"/>
  <c r="H155" i="18"/>
  <c r="H155" i="6" s="1"/>
  <c r="H89" i="18"/>
  <c r="H89" i="6" s="1"/>
  <c r="H111" i="18"/>
  <c r="H111" i="6" s="1"/>
  <c r="H78" i="18"/>
  <c r="H78" i="6" s="1"/>
  <c r="H122" i="18"/>
  <c r="H122" i="6" s="1"/>
  <c r="H144" i="18"/>
  <c r="H144" i="6" s="1"/>
  <c r="S173" i="9"/>
  <c r="H102" i="18"/>
  <c r="H102" i="6" s="1"/>
  <c r="H91" i="18"/>
  <c r="H91" i="6" s="1"/>
  <c r="H69" i="18"/>
  <c r="H69" i="6" s="1"/>
  <c r="H36" i="18"/>
  <c r="H36" i="6" s="1"/>
  <c r="H113" i="18"/>
  <c r="H113" i="6" s="1"/>
  <c r="H135" i="18"/>
  <c r="H135" i="6" s="1"/>
  <c r="H80" i="18"/>
  <c r="H80" i="6" s="1"/>
  <c r="H157" i="18"/>
  <c r="H157" i="6" s="1"/>
  <c r="H47" i="18"/>
  <c r="H47" i="6" s="1"/>
  <c r="H124" i="18"/>
  <c r="H124" i="6" s="1"/>
  <c r="H146" i="18"/>
  <c r="H146" i="6" s="1"/>
  <c r="H58" i="18"/>
  <c r="H58" i="6" s="1"/>
  <c r="H25" i="18"/>
  <c r="H25" i="6" s="1"/>
  <c r="H14" i="18"/>
  <c r="H14" i="6" s="1"/>
  <c r="H53" i="18"/>
  <c r="H119" i="18"/>
  <c r="H31" i="18"/>
  <c r="H130" i="18"/>
  <c r="H20" i="18"/>
  <c r="H108" i="18"/>
  <c r="H64" i="18"/>
  <c r="H141" i="18"/>
  <c r="H152" i="18"/>
  <c r="H42" i="18"/>
  <c r="H97" i="18"/>
  <c r="H75" i="18"/>
  <c r="H86" i="18"/>
  <c r="H9" i="18"/>
  <c r="H152" i="16"/>
  <c r="H31" i="16"/>
  <c r="H64" i="16"/>
  <c r="H141" i="16"/>
  <c r="H9" i="16"/>
  <c r="H130" i="16"/>
  <c r="H97" i="16"/>
  <c r="H42" i="16"/>
  <c r="H86" i="16"/>
  <c r="H75" i="16"/>
  <c r="H20" i="16"/>
  <c r="H119" i="16"/>
  <c r="H108" i="16"/>
  <c r="H53" i="16"/>
  <c r="H143" i="18"/>
  <c r="H143" i="6" s="1"/>
  <c r="H159" i="17"/>
  <c r="S170" i="11" s="1"/>
  <c r="S171" i="9"/>
  <c r="H11" i="18"/>
  <c r="H11" i="6" s="1"/>
  <c r="H161" i="17"/>
  <c r="S172" i="11" s="1"/>
  <c r="H55" i="18"/>
  <c r="H55" i="6" s="1"/>
  <c r="H44" i="18"/>
  <c r="H44" i="6" s="1"/>
  <c r="H166" i="17"/>
  <c r="S177" i="11" s="1"/>
  <c r="S172" i="10"/>
  <c r="H115" i="18"/>
  <c r="H115" i="6" s="1"/>
  <c r="H60" i="18"/>
  <c r="H60" i="6" s="1"/>
  <c r="H5" i="18"/>
  <c r="H5" i="6" s="1"/>
  <c r="H126" i="18"/>
  <c r="H71" i="18"/>
  <c r="H71" i="6" s="1"/>
  <c r="H27" i="18"/>
  <c r="H27" i="6" s="1"/>
  <c r="H137" i="18"/>
  <c r="H137" i="6" s="1"/>
  <c r="H104" i="18"/>
  <c r="H104" i="6" s="1"/>
  <c r="H38" i="18"/>
  <c r="H38" i="6" s="1"/>
  <c r="H148" i="18"/>
  <c r="H148" i="6" s="1"/>
  <c r="H82" i="18"/>
  <c r="H82" i="6" s="1"/>
  <c r="H49" i="18"/>
  <c r="H49" i="6" s="1"/>
  <c r="H90" i="18"/>
  <c r="H90" i="6" s="1"/>
  <c r="H13" i="18"/>
  <c r="H13" i="6" s="1"/>
  <c r="H123" i="18"/>
  <c r="H123" i="6" s="1"/>
  <c r="H57" i="18"/>
  <c r="H57" i="6" s="1"/>
  <c r="H134" i="18"/>
  <c r="H46" i="18"/>
  <c r="H46" i="6" s="1"/>
  <c r="H101" i="18"/>
  <c r="H101" i="6" s="1"/>
  <c r="H112" i="18"/>
  <c r="H112" i="6" s="1"/>
  <c r="H79" i="18"/>
  <c r="H79" i="6" s="1"/>
  <c r="H145" i="18"/>
  <c r="H145" i="6" s="1"/>
  <c r="H156" i="18"/>
  <c r="H35" i="18"/>
  <c r="H35" i="6" s="1"/>
  <c r="H68" i="18"/>
  <c r="H68" i="6" s="1"/>
  <c r="H132" i="16"/>
  <c r="S176" i="10"/>
  <c r="S173" i="10"/>
  <c r="S175" i="10"/>
  <c r="S170" i="9"/>
  <c r="H110" i="18"/>
  <c r="H110" i="6" s="1"/>
  <c r="H143" i="16"/>
  <c r="H143" i="12" s="1"/>
  <c r="S171" i="10"/>
  <c r="H167" i="17"/>
  <c r="S178" i="11" s="1"/>
  <c r="S170" i="10"/>
  <c r="H163" i="17"/>
  <c r="S174" i="11" s="1"/>
  <c r="H164" i="18"/>
  <c r="S175" i="9" s="1"/>
  <c r="H138" i="18"/>
  <c r="H138" i="6" s="1"/>
  <c r="H61" i="18"/>
  <c r="H61" i="6" s="1"/>
  <c r="H6" i="18"/>
  <c r="H6" i="6" s="1"/>
  <c r="H149" i="18"/>
  <c r="H149" i="6" s="1"/>
  <c r="H105" i="18"/>
  <c r="H105" i="6" s="1"/>
  <c r="H72" i="18"/>
  <c r="H72" i="6" s="1"/>
  <c r="H28" i="18"/>
  <c r="H28" i="6" s="1"/>
  <c r="H116" i="18"/>
  <c r="H116" i="6" s="1"/>
  <c r="H39" i="18"/>
  <c r="H39" i="6" s="1"/>
  <c r="H127" i="18"/>
  <c r="H83" i="18"/>
  <c r="H83" i="6" s="1"/>
  <c r="H50" i="18"/>
  <c r="H50" i="6" s="1"/>
  <c r="H168" i="16"/>
  <c r="H10" i="16"/>
  <c r="H10" i="12" s="1"/>
  <c r="H87" i="16"/>
  <c r="H87" i="12" s="1"/>
  <c r="H32" i="16"/>
  <c r="H32" i="12" s="1"/>
  <c r="H153" i="16"/>
  <c r="H153" i="12" s="1"/>
  <c r="H131" i="16"/>
  <c r="H131" i="12" s="1"/>
  <c r="H21" i="16"/>
  <c r="H21" i="12" s="1"/>
  <c r="H43" i="16"/>
  <c r="H43" i="12" s="1"/>
  <c r="H54" i="16"/>
  <c r="H54" i="12" s="1"/>
  <c r="H65" i="16"/>
  <c r="H65" i="12" s="1"/>
  <c r="H142" i="16"/>
  <c r="H142" i="12" s="1"/>
  <c r="H109" i="16"/>
  <c r="H109" i="12" s="1"/>
  <c r="H76" i="16"/>
  <c r="H76" i="12" s="1"/>
  <c r="H98" i="16"/>
  <c r="H98" i="12" s="1"/>
  <c r="H120" i="16"/>
  <c r="H120" i="12" s="1"/>
  <c r="S176" i="11"/>
  <c r="H132" i="17"/>
  <c r="H121" i="17"/>
  <c r="H121" i="13" s="1"/>
  <c r="H110" i="17"/>
  <c r="H110" i="13" s="1"/>
  <c r="H77" i="17"/>
  <c r="H77" i="13" s="1"/>
  <c r="H11" i="17"/>
  <c r="H11" i="13" s="1"/>
  <c r="H66" i="17"/>
  <c r="H66" i="13" s="1"/>
  <c r="H154" i="17"/>
  <c r="H154" i="13" s="1"/>
  <c r="H88" i="17"/>
  <c r="H88" i="13" s="1"/>
  <c r="H55" i="17"/>
  <c r="H55" i="13" s="1"/>
  <c r="H33" i="17"/>
  <c r="H33" i="13" s="1"/>
  <c r="H11" i="16"/>
  <c r="H11" i="12" s="1"/>
  <c r="S174" i="9"/>
  <c r="H143" i="17"/>
  <c r="H143" i="13" s="1"/>
  <c r="S177" i="10"/>
  <c r="S178" i="9"/>
  <c r="H66" i="18"/>
  <c r="H66" i="6" s="1"/>
  <c r="H121" i="18"/>
  <c r="H121" i="6" s="1"/>
  <c r="S179" i="9"/>
  <c r="H151" i="16" l="1"/>
  <c r="H151" i="12" s="1"/>
  <c r="I89" i="16"/>
  <c r="I89" i="12" s="1"/>
  <c r="I78" i="16"/>
  <c r="I78" i="12" s="1"/>
  <c r="I56" i="16"/>
  <c r="I56" i="12" s="1"/>
  <c r="I144" i="16"/>
  <c r="I144" i="12" s="1"/>
  <c r="I122" i="16"/>
  <c r="I122" i="12" s="1"/>
  <c r="I111" i="16"/>
  <c r="I111" i="12" s="1"/>
  <c r="I155" i="16"/>
  <c r="I155" i="12" s="1"/>
  <c r="I67" i="16"/>
  <c r="I67" i="12" s="1"/>
  <c r="I34" i="16"/>
  <c r="I34" i="12" s="1"/>
  <c r="I50" i="16"/>
  <c r="I50" i="12" s="1"/>
  <c r="I72" i="16"/>
  <c r="I72" i="12" s="1"/>
  <c r="I127" i="16"/>
  <c r="I61" i="16"/>
  <c r="I61" i="12" s="1"/>
  <c r="I28" i="16"/>
  <c r="I28" i="12" s="1"/>
  <c r="I138" i="16"/>
  <c r="I138" i="12" s="1"/>
  <c r="I105" i="16"/>
  <c r="I105" i="12" s="1"/>
  <c r="I83" i="16"/>
  <c r="I83" i="12" s="1"/>
  <c r="I116" i="16"/>
  <c r="I116" i="12" s="1"/>
  <c r="I39" i="16"/>
  <c r="I39" i="12" s="1"/>
  <c r="I25" i="16"/>
  <c r="I25" i="12" s="1"/>
  <c r="I80" i="16"/>
  <c r="I80" i="12" s="1"/>
  <c r="I113" i="16"/>
  <c r="I113" i="12" s="1"/>
  <c r="I135" i="16"/>
  <c r="I135" i="12" s="1"/>
  <c r="I36" i="16"/>
  <c r="I36" i="12" s="1"/>
  <c r="I58" i="16"/>
  <c r="I58" i="12" s="1"/>
  <c r="I69" i="16"/>
  <c r="I69" i="12" s="1"/>
  <c r="I102" i="16"/>
  <c r="I102" i="12" s="1"/>
  <c r="I47" i="16"/>
  <c r="I47" i="12" s="1"/>
  <c r="I124" i="16"/>
  <c r="I124" i="12" s="1"/>
  <c r="I146" i="16"/>
  <c r="I146" i="12" s="1"/>
  <c r="I157" i="16"/>
  <c r="I157" i="12" s="1"/>
  <c r="I115" i="16"/>
  <c r="I115" i="12" s="1"/>
  <c r="I126" i="16"/>
  <c r="I82" i="16"/>
  <c r="I82" i="12" s="1"/>
  <c r="I49" i="16"/>
  <c r="I49" i="12" s="1"/>
  <c r="I148" i="16"/>
  <c r="I148" i="12" s="1"/>
  <c r="I71" i="16"/>
  <c r="I71" i="12" s="1"/>
  <c r="I27" i="16"/>
  <c r="I27" i="12" s="1"/>
  <c r="I60" i="16"/>
  <c r="I60" i="12" s="1"/>
  <c r="I38" i="16"/>
  <c r="I38" i="12" s="1"/>
  <c r="I104" i="16"/>
  <c r="I104" i="12" s="1"/>
  <c r="I137" i="16"/>
  <c r="I137" i="12" s="1"/>
  <c r="I42" i="16"/>
  <c r="I86" i="16"/>
  <c r="I141" i="16"/>
  <c r="I130" i="16"/>
  <c r="I64" i="16"/>
  <c r="I152" i="16"/>
  <c r="I53" i="16"/>
  <c r="I108" i="16"/>
  <c r="I119" i="16"/>
  <c r="I97" i="16"/>
  <c r="I20" i="16"/>
  <c r="I31" i="16"/>
  <c r="I75" i="16"/>
  <c r="I65" i="16"/>
  <c r="I65" i="12" s="1"/>
  <c r="I21" i="16"/>
  <c r="I21" i="12" s="1"/>
  <c r="I109" i="16"/>
  <c r="I109" i="12" s="1"/>
  <c r="I98" i="16"/>
  <c r="I98" i="12" s="1"/>
  <c r="I142" i="16"/>
  <c r="I142" i="12" s="1"/>
  <c r="I76" i="16"/>
  <c r="I76" i="12" s="1"/>
  <c r="I43" i="16"/>
  <c r="I43" i="12" s="1"/>
  <c r="I131" i="16"/>
  <c r="I131" i="12" s="1"/>
  <c r="I87" i="16"/>
  <c r="I87" i="12" s="1"/>
  <c r="I153" i="16"/>
  <c r="I153" i="12" s="1"/>
  <c r="I54" i="16"/>
  <c r="I54" i="12" s="1"/>
  <c r="I32" i="16"/>
  <c r="I32" i="12" s="1"/>
  <c r="I156" i="16"/>
  <c r="I156" i="12" s="1"/>
  <c r="I134" i="16"/>
  <c r="I134" i="12" s="1"/>
  <c r="I57" i="16"/>
  <c r="I57" i="12" s="1"/>
  <c r="I101" i="16"/>
  <c r="I101" i="12" s="1"/>
  <c r="I79" i="16"/>
  <c r="I79" i="12" s="1"/>
  <c r="I145" i="16"/>
  <c r="I145" i="12" s="1"/>
  <c r="I46" i="16"/>
  <c r="I46" i="12" s="1"/>
  <c r="I35" i="16"/>
  <c r="I35" i="12" s="1"/>
  <c r="I123" i="16"/>
  <c r="I123" i="12" s="1"/>
  <c r="I112" i="16"/>
  <c r="I112" i="12" s="1"/>
  <c r="I90" i="16"/>
  <c r="I90" i="12" s="1"/>
  <c r="I68" i="16"/>
  <c r="I68" i="12" s="1"/>
  <c r="I154" i="16"/>
  <c r="I154" i="12" s="1"/>
  <c r="I44" i="16"/>
  <c r="I44" i="12" s="1"/>
  <c r="I121" i="16"/>
  <c r="I121" i="12" s="1"/>
  <c r="I88" i="16"/>
  <c r="I88" i="12" s="1"/>
  <c r="I77" i="16"/>
  <c r="I77" i="12" s="1"/>
  <c r="I110" i="16"/>
  <c r="I110" i="12" s="1"/>
  <c r="I33" i="16"/>
  <c r="I33" i="12" s="1"/>
  <c r="I55" i="16"/>
  <c r="I55" i="12" s="1"/>
  <c r="I11" i="16"/>
  <c r="I11" i="12" s="1"/>
  <c r="I66" i="16"/>
  <c r="I66" i="12" s="1"/>
  <c r="I143" i="16"/>
  <c r="I143" i="12" s="1"/>
  <c r="K165" i="4"/>
  <c r="K166" i="4"/>
  <c r="K188" i="10"/>
  <c r="K187" i="9"/>
  <c r="K188" i="9"/>
  <c r="K166" i="3"/>
  <c r="K187" i="10"/>
  <c r="K165" i="3"/>
  <c r="K165" i="5"/>
  <c r="K187" i="11"/>
  <c r="K166" i="5"/>
  <c r="K188" i="11"/>
  <c r="H118" i="16"/>
  <c r="H118" i="12" s="1"/>
  <c r="H129" i="16"/>
  <c r="H41" i="16"/>
  <c r="H41" i="12" s="1"/>
  <c r="H30" i="16"/>
  <c r="H30" i="12" s="1"/>
  <c r="H63" i="16"/>
  <c r="H63" i="12" s="1"/>
  <c r="H52" i="16"/>
  <c r="H74" i="16"/>
  <c r="H74" i="12" s="1"/>
  <c r="G78" i="17"/>
  <c r="G78" i="13" s="1"/>
  <c r="G155" i="17"/>
  <c r="G155" i="13" s="1"/>
  <c r="G89" i="17"/>
  <c r="G89" i="13" s="1"/>
  <c r="G67" i="17"/>
  <c r="G67" i="13" s="1"/>
  <c r="G12" i="17"/>
  <c r="G12" i="13" s="1"/>
  <c r="G34" i="17"/>
  <c r="G34" i="13" s="1"/>
  <c r="G56" i="17"/>
  <c r="G56" i="13" s="1"/>
  <c r="G111" i="17"/>
  <c r="G111" i="13" s="1"/>
  <c r="G144" i="17"/>
  <c r="G144" i="13" s="1"/>
  <c r="G122" i="17"/>
  <c r="G122" i="13" s="1"/>
  <c r="G45" i="17"/>
  <c r="G45" i="13" s="1"/>
  <c r="F155" i="17"/>
  <c r="F155" i="13" s="1"/>
  <c r="F78" i="17"/>
  <c r="F78" i="13" s="1"/>
  <c r="F122" i="17"/>
  <c r="F122" i="13" s="1"/>
  <c r="F89" i="17"/>
  <c r="F89" i="13" s="1"/>
  <c r="F144" i="17"/>
  <c r="F144" i="13" s="1"/>
  <c r="F111" i="17"/>
  <c r="F111" i="13" s="1"/>
  <c r="F34" i="17"/>
  <c r="F34" i="13" s="1"/>
  <c r="F12" i="17"/>
  <c r="F12" i="13" s="1"/>
  <c r="F56" i="17"/>
  <c r="F56" i="13" s="1"/>
  <c r="F67" i="17"/>
  <c r="F67" i="13" s="1"/>
  <c r="F45" i="17"/>
  <c r="F45" i="13" s="1"/>
  <c r="H140" i="16"/>
  <c r="H140" i="12" s="1"/>
  <c r="H107" i="16"/>
  <c r="H107" i="12" s="1"/>
  <c r="C155" i="17"/>
  <c r="C155" i="13" s="1"/>
  <c r="C56" i="17"/>
  <c r="C56" i="13" s="1"/>
  <c r="C34" i="17"/>
  <c r="C34" i="13" s="1"/>
  <c r="C122" i="17"/>
  <c r="C122" i="13" s="1"/>
  <c r="C78" i="17"/>
  <c r="C78" i="13" s="1"/>
  <c r="C12" i="17"/>
  <c r="C12" i="13" s="1"/>
  <c r="C111" i="17"/>
  <c r="C111" i="13" s="1"/>
  <c r="C89" i="17"/>
  <c r="C89" i="13" s="1"/>
  <c r="C67" i="17"/>
  <c r="C67" i="13" s="1"/>
  <c r="C144" i="17"/>
  <c r="C144" i="13" s="1"/>
  <c r="C45" i="17"/>
  <c r="C45" i="13" s="1"/>
  <c r="H85" i="16"/>
  <c r="H85" i="12" s="1"/>
  <c r="H8" i="16"/>
  <c r="H8" i="12" s="1"/>
  <c r="H168" i="6"/>
  <c r="H152" i="17"/>
  <c r="H64" i="17"/>
  <c r="H42" i="17"/>
  <c r="H97" i="17"/>
  <c r="H86" i="17"/>
  <c r="H31" i="17"/>
  <c r="H119" i="17"/>
  <c r="H130" i="17"/>
  <c r="H9" i="17"/>
  <c r="H75" i="17"/>
  <c r="H141" i="17"/>
  <c r="H20" i="17"/>
  <c r="H108" i="17"/>
  <c r="H53" i="17"/>
  <c r="H101" i="17"/>
  <c r="H101" i="13" s="1"/>
  <c r="H156" i="17"/>
  <c r="H156" i="13" s="1"/>
  <c r="H123" i="17"/>
  <c r="H123" i="13" s="1"/>
  <c r="H79" i="17"/>
  <c r="H79" i="13" s="1"/>
  <c r="H112" i="17"/>
  <c r="H112" i="13" s="1"/>
  <c r="H90" i="17"/>
  <c r="H90" i="13" s="1"/>
  <c r="H134" i="17"/>
  <c r="H134" i="13" s="1"/>
  <c r="H68" i="17"/>
  <c r="H68" i="13" s="1"/>
  <c r="H46" i="17"/>
  <c r="H46" i="13" s="1"/>
  <c r="H145" i="17"/>
  <c r="H145" i="13" s="1"/>
  <c r="H57" i="17"/>
  <c r="H57" i="13" s="1"/>
  <c r="H13" i="17"/>
  <c r="H13" i="13" s="1"/>
  <c r="H35" i="17"/>
  <c r="H35" i="13" s="1"/>
  <c r="H62" i="18"/>
  <c r="H62" i="6" s="1"/>
  <c r="H73" i="18"/>
  <c r="H73" i="6" s="1"/>
  <c r="H84" i="18"/>
  <c r="H84" i="6" s="1"/>
  <c r="H30" i="18"/>
  <c r="H30" i="6" s="1"/>
  <c r="H74" i="18"/>
  <c r="H74" i="6" s="1"/>
  <c r="H107" i="18"/>
  <c r="H107" i="6" s="1"/>
  <c r="H106" i="16"/>
  <c r="H106" i="12" s="1"/>
  <c r="H150" i="16"/>
  <c r="H150" i="12" s="1"/>
  <c r="H117" i="16"/>
  <c r="H117" i="12" s="1"/>
  <c r="H157" i="17"/>
  <c r="H157" i="13" s="1"/>
  <c r="H124" i="17"/>
  <c r="H124" i="13" s="1"/>
  <c r="H58" i="17"/>
  <c r="H58" i="13" s="1"/>
  <c r="H14" i="17"/>
  <c r="H14" i="13" s="1"/>
  <c r="H36" i="17"/>
  <c r="H36" i="13" s="1"/>
  <c r="H47" i="17"/>
  <c r="H47" i="13" s="1"/>
  <c r="H25" i="17"/>
  <c r="H25" i="13" s="1"/>
  <c r="H69" i="17"/>
  <c r="H69" i="13" s="1"/>
  <c r="H135" i="17"/>
  <c r="H135" i="13" s="1"/>
  <c r="H113" i="17"/>
  <c r="H113" i="13" s="1"/>
  <c r="H102" i="17"/>
  <c r="H102" i="13" s="1"/>
  <c r="H91" i="17"/>
  <c r="H91" i="13" s="1"/>
  <c r="H80" i="17"/>
  <c r="H80" i="13" s="1"/>
  <c r="H146" i="17"/>
  <c r="H146" i="13" s="1"/>
  <c r="H7" i="18"/>
  <c r="H7" i="6" s="1"/>
  <c r="H139" i="18"/>
  <c r="H139" i="6" s="1"/>
  <c r="H51" i="18"/>
  <c r="H51" i="6" s="1"/>
  <c r="H140" i="18"/>
  <c r="H140" i="6" s="1"/>
  <c r="H151" i="18"/>
  <c r="H151" i="6" s="1"/>
  <c r="H8" i="18"/>
  <c r="H8" i="6" s="1"/>
  <c r="H62" i="16"/>
  <c r="H62" i="12" s="1"/>
  <c r="H139" i="16"/>
  <c r="H139" i="12" s="1"/>
  <c r="H29" i="16"/>
  <c r="H29" i="12" s="1"/>
  <c r="H164" i="12"/>
  <c r="H131" i="18"/>
  <c r="H131" i="6" s="1"/>
  <c r="H153" i="18"/>
  <c r="H153" i="6" s="1"/>
  <c r="H120" i="18"/>
  <c r="H120" i="6" s="1"/>
  <c r="H142" i="18"/>
  <c r="H142" i="6" s="1"/>
  <c r="H87" i="18"/>
  <c r="H87" i="6" s="1"/>
  <c r="H10" i="18"/>
  <c r="H10" i="6" s="1"/>
  <c r="H32" i="18"/>
  <c r="H32" i="6" s="1"/>
  <c r="H98" i="18"/>
  <c r="H98" i="6" s="1"/>
  <c r="H21" i="18"/>
  <c r="H21" i="6" s="1"/>
  <c r="H109" i="18"/>
  <c r="H109" i="6" s="1"/>
  <c r="H54" i="18"/>
  <c r="H54" i="6" s="1"/>
  <c r="H43" i="18"/>
  <c r="H43" i="6" s="1"/>
  <c r="H65" i="18"/>
  <c r="H65" i="6" s="1"/>
  <c r="H76" i="18"/>
  <c r="H76" i="6" s="1"/>
  <c r="H117" i="18"/>
  <c r="H117" i="6" s="1"/>
  <c r="H40" i="18"/>
  <c r="H40" i="6" s="1"/>
  <c r="H106" i="18"/>
  <c r="H106" i="6" s="1"/>
  <c r="H116" i="17"/>
  <c r="H116" i="13" s="1"/>
  <c r="H83" i="17"/>
  <c r="H83" i="13" s="1"/>
  <c r="H72" i="17"/>
  <c r="H72" i="13" s="1"/>
  <c r="H105" i="17"/>
  <c r="H105" i="13" s="1"/>
  <c r="H138" i="17"/>
  <c r="H138" i="13" s="1"/>
  <c r="H61" i="17"/>
  <c r="H61" i="13" s="1"/>
  <c r="H149" i="17"/>
  <c r="H149" i="13" s="1"/>
  <c r="H50" i="17"/>
  <c r="H50" i="13" s="1"/>
  <c r="H28" i="17"/>
  <c r="H28" i="13" s="1"/>
  <c r="H39" i="17"/>
  <c r="H39" i="13" s="1"/>
  <c r="H6" i="17"/>
  <c r="H6" i="13" s="1"/>
  <c r="H127" i="17"/>
  <c r="H85" i="18"/>
  <c r="H85" i="6" s="1"/>
  <c r="H129" i="18"/>
  <c r="H63" i="18"/>
  <c r="H63" i="6" s="1"/>
  <c r="H40" i="16"/>
  <c r="H40" i="12" s="1"/>
  <c r="H73" i="16"/>
  <c r="H73" i="12" s="1"/>
  <c r="H7" i="16"/>
  <c r="H7" i="12" s="1"/>
  <c r="H146" i="16"/>
  <c r="H146" i="12" s="1"/>
  <c r="H58" i="16"/>
  <c r="H58" i="12" s="1"/>
  <c r="H36" i="16"/>
  <c r="H36" i="12" s="1"/>
  <c r="H14" i="16"/>
  <c r="H14" i="12" s="1"/>
  <c r="H135" i="16"/>
  <c r="H135" i="12" s="1"/>
  <c r="H25" i="16"/>
  <c r="H25" i="12" s="1"/>
  <c r="H113" i="16"/>
  <c r="H113" i="12" s="1"/>
  <c r="H91" i="16"/>
  <c r="H91" i="12" s="1"/>
  <c r="H157" i="16"/>
  <c r="H157" i="12" s="1"/>
  <c r="H102" i="16"/>
  <c r="H102" i="12" s="1"/>
  <c r="H80" i="16"/>
  <c r="H80" i="12" s="1"/>
  <c r="H47" i="16"/>
  <c r="H47" i="12" s="1"/>
  <c r="H124" i="16"/>
  <c r="H124" i="12" s="1"/>
  <c r="H69" i="16"/>
  <c r="H69" i="12" s="1"/>
  <c r="S179" i="10"/>
  <c r="H134" i="6"/>
  <c r="H156" i="6"/>
  <c r="H67" i="17"/>
  <c r="H67" i="13" s="1"/>
  <c r="H155" i="17"/>
  <c r="H155" i="13" s="1"/>
  <c r="H89" i="17"/>
  <c r="H89" i="13" s="1"/>
  <c r="H78" i="17"/>
  <c r="H78" i="13" s="1"/>
  <c r="H56" i="17"/>
  <c r="H56" i="13" s="1"/>
  <c r="H45" i="17"/>
  <c r="H45" i="13" s="1"/>
  <c r="H111" i="17"/>
  <c r="H111" i="13" s="1"/>
  <c r="H34" i="17"/>
  <c r="H34" i="13" s="1"/>
  <c r="H122" i="17"/>
  <c r="H122" i="13" s="1"/>
  <c r="H144" i="17"/>
  <c r="H144" i="13" s="1"/>
  <c r="H12" i="17"/>
  <c r="H12" i="13" s="1"/>
  <c r="H82" i="17"/>
  <c r="H82" i="13" s="1"/>
  <c r="H49" i="17"/>
  <c r="H49" i="13" s="1"/>
  <c r="H115" i="17"/>
  <c r="H115" i="13" s="1"/>
  <c r="H137" i="17"/>
  <c r="H137" i="13" s="1"/>
  <c r="H5" i="17"/>
  <c r="H5" i="13" s="1"/>
  <c r="H38" i="17"/>
  <c r="H38" i="13" s="1"/>
  <c r="H148" i="17"/>
  <c r="H148" i="13" s="1"/>
  <c r="H126" i="17"/>
  <c r="H104" i="17"/>
  <c r="H104" i="13" s="1"/>
  <c r="H27" i="17"/>
  <c r="H27" i="13" s="1"/>
  <c r="H60" i="17"/>
  <c r="H60" i="13" s="1"/>
  <c r="H71" i="17"/>
  <c r="H71" i="13" s="1"/>
  <c r="H153" i="17"/>
  <c r="H153" i="13" s="1"/>
  <c r="H109" i="17"/>
  <c r="H109" i="13" s="1"/>
  <c r="H54" i="17"/>
  <c r="H54" i="13" s="1"/>
  <c r="H21" i="17"/>
  <c r="H21" i="13" s="1"/>
  <c r="H87" i="17"/>
  <c r="H87" i="13" s="1"/>
  <c r="H32" i="17"/>
  <c r="H32" i="13" s="1"/>
  <c r="H98" i="17"/>
  <c r="H98" i="13" s="1"/>
  <c r="H131" i="17"/>
  <c r="H131" i="13" s="1"/>
  <c r="H120" i="17"/>
  <c r="H120" i="13" s="1"/>
  <c r="H43" i="17"/>
  <c r="H43" i="13" s="1"/>
  <c r="H142" i="17"/>
  <c r="H142" i="13" s="1"/>
  <c r="H10" i="17"/>
  <c r="H10" i="13" s="1"/>
  <c r="H76" i="17"/>
  <c r="H76" i="13" s="1"/>
  <c r="H65" i="17"/>
  <c r="H65" i="13" s="1"/>
  <c r="H29" i="18"/>
  <c r="H29" i="6" s="1"/>
  <c r="H128" i="18"/>
  <c r="H150" i="18"/>
  <c r="H150" i="6" s="1"/>
  <c r="H41" i="18"/>
  <c r="H41" i="6" s="1"/>
  <c r="H52" i="18"/>
  <c r="H118" i="18"/>
  <c r="H118" i="6" s="1"/>
  <c r="H51" i="16"/>
  <c r="H51" i="12" s="1"/>
  <c r="H128" i="16"/>
  <c r="H84" i="16"/>
  <c r="H84" i="12" s="1"/>
  <c r="I41" i="16" l="1"/>
  <c r="I41" i="12" s="1"/>
  <c r="I29" i="16"/>
  <c r="I29" i="12" s="1"/>
  <c r="I73" i="16"/>
  <c r="I73" i="12" s="1"/>
  <c r="I74" i="16"/>
  <c r="I74" i="12" s="1"/>
  <c r="I40" i="16"/>
  <c r="I40" i="12" s="1"/>
  <c r="I30" i="16"/>
  <c r="I30" i="12" s="1"/>
  <c r="I118" i="16"/>
  <c r="I118" i="12" s="1"/>
  <c r="I117" i="16"/>
  <c r="I117" i="12" s="1"/>
  <c r="I106" i="16"/>
  <c r="I106" i="12" s="1"/>
  <c r="I9" i="16"/>
  <c r="I5" i="16"/>
  <c r="I5" i="12" s="1"/>
  <c r="I63" i="16"/>
  <c r="I63" i="12" s="1"/>
  <c r="I128" i="16"/>
  <c r="I91" i="16"/>
  <c r="I91" i="12" s="1"/>
  <c r="I14" i="16"/>
  <c r="I14" i="12" s="1"/>
  <c r="I140" i="16"/>
  <c r="I140" i="12" s="1"/>
  <c r="I52" i="16"/>
  <c r="I139" i="16"/>
  <c r="I139" i="12" s="1"/>
  <c r="I6" i="16"/>
  <c r="I6" i="12" s="1"/>
  <c r="I149" i="16"/>
  <c r="I149" i="12" s="1"/>
  <c r="I45" i="16"/>
  <c r="I45" i="12" s="1"/>
  <c r="I12" i="16"/>
  <c r="I12" i="12" s="1"/>
  <c r="I13" i="16"/>
  <c r="I13" i="12" s="1"/>
  <c r="I85" i="16"/>
  <c r="I85" i="12" s="1"/>
  <c r="I129" i="16"/>
  <c r="I107" i="16"/>
  <c r="I107" i="12" s="1"/>
  <c r="I10" i="16"/>
  <c r="I10" i="12" s="1"/>
  <c r="I120" i="16"/>
  <c r="I120" i="12" s="1"/>
  <c r="I84" i="16"/>
  <c r="I84" i="12" s="1"/>
  <c r="I51" i="16"/>
  <c r="I51" i="12" s="1"/>
  <c r="I62" i="16"/>
  <c r="I62" i="12" s="1"/>
  <c r="K166" i="18"/>
  <c r="K144" i="18" s="1"/>
  <c r="K144" i="6" s="1"/>
  <c r="K45" i="16"/>
  <c r="K45" i="12" s="1"/>
  <c r="K111" i="17"/>
  <c r="K111" i="13" s="1"/>
  <c r="H75" i="6"/>
  <c r="H70" i="6" s="1"/>
  <c r="H119" i="6"/>
  <c r="H114" i="6" s="1"/>
  <c r="H9" i="12"/>
  <c r="H52" i="12"/>
  <c r="H31" i="6"/>
  <c r="H26" i="6" s="1"/>
  <c r="H108" i="6"/>
  <c r="H103" i="6" s="1"/>
  <c r="H152" i="12"/>
  <c r="H127" i="12"/>
  <c r="H152" i="6"/>
  <c r="H147" i="6" s="1"/>
  <c r="H42" i="12"/>
  <c r="H108" i="12"/>
  <c r="H9" i="6"/>
  <c r="H4" i="6" s="1"/>
  <c r="H42" i="6"/>
  <c r="H37" i="6" s="1"/>
  <c r="H119" i="12"/>
  <c r="H7" i="17"/>
  <c r="H7" i="13" s="1"/>
  <c r="H141" i="6"/>
  <c r="H136" i="6" s="1"/>
  <c r="H86" i="6"/>
  <c r="H81" i="6" s="1"/>
  <c r="H64" i="6"/>
  <c r="H59" i="6" s="1"/>
  <c r="H73" i="17"/>
  <c r="H73" i="13" s="1"/>
  <c r="H164" i="13"/>
  <c r="H141" i="12"/>
  <c r="H139" i="17"/>
  <c r="H139" i="13" s="1"/>
  <c r="H52" i="6"/>
  <c r="H53" i="6" s="1"/>
  <c r="H132" i="6"/>
  <c r="H133" i="6"/>
  <c r="H128" i="6"/>
  <c r="H40" i="17"/>
  <c r="H40" i="13" s="1"/>
  <c r="H128" i="17"/>
  <c r="H29" i="17"/>
  <c r="H29" i="13" s="1"/>
  <c r="H129" i="12"/>
  <c r="H168" i="12"/>
  <c r="H126" i="12"/>
  <c r="H8" i="17"/>
  <c r="H8" i="13" s="1"/>
  <c r="H129" i="17"/>
  <c r="H140" i="17"/>
  <c r="H140" i="13" s="1"/>
  <c r="H31" i="12"/>
  <c r="H132" i="12"/>
  <c r="H64" i="12"/>
  <c r="H127" i="6"/>
  <c r="H117" i="17"/>
  <c r="H117" i="13" s="1"/>
  <c r="H62" i="17"/>
  <c r="H62" i="13" s="1"/>
  <c r="H86" i="12"/>
  <c r="H151" i="17"/>
  <c r="H151" i="13" s="1"/>
  <c r="H118" i="17"/>
  <c r="H118" i="13" s="1"/>
  <c r="H107" i="17"/>
  <c r="H107" i="13" s="1"/>
  <c r="H51" i="17"/>
  <c r="H51" i="13" s="1"/>
  <c r="H150" i="17"/>
  <c r="H150" i="13" s="1"/>
  <c r="H129" i="6"/>
  <c r="H41" i="17"/>
  <c r="H41" i="13" s="1"/>
  <c r="H52" i="17"/>
  <c r="H52" i="13" s="1"/>
  <c r="H30" i="17"/>
  <c r="H30" i="13" s="1"/>
  <c r="H75" i="12"/>
  <c r="H128" i="12"/>
  <c r="H133" i="12"/>
  <c r="H106" i="17"/>
  <c r="H106" i="13" s="1"/>
  <c r="H84" i="17"/>
  <c r="H84" i="13" s="1"/>
  <c r="H164" i="6"/>
  <c r="H74" i="17"/>
  <c r="H74" i="13" s="1"/>
  <c r="H85" i="17"/>
  <c r="H85" i="13" s="1"/>
  <c r="H63" i="17"/>
  <c r="H63" i="13" s="1"/>
  <c r="H168" i="13"/>
  <c r="H126" i="6"/>
  <c r="I42" i="12" l="1"/>
  <c r="K34" i="18"/>
  <c r="K34" i="6" s="1"/>
  <c r="K78" i="18"/>
  <c r="K78" i="6" s="1"/>
  <c r="K111" i="18"/>
  <c r="K111" i="6" s="1"/>
  <c r="K45" i="18"/>
  <c r="K45" i="6" s="1"/>
  <c r="K12" i="18"/>
  <c r="K12" i="6" s="1"/>
  <c r="K56" i="18"/>
  <c r="K56" i="6" s="1"/>
  <c r="K122" i="18"/>
  <c r="K122" i="6" s="1"/>
  <c r="K67" i="18"/>
  <c r="K67" i="6" s="1"/>
  <c r="K155" i="18"/>
  <c r="K155" i="6" s="1"/>
  <c r="K89" i="18"/>
  <c r="K89" i="6" s="1"/>
  <c r="I31" i="12"/>
  <c r="I141" i="12"/>
  <c r="I75" i="12"/>
  <c r="I64" i="12"/>
  <c r="I126" i="12"/>
  <c r="I119" i="12"/>
  <c r="I129" i="12"/>
  <c r="I8" i="16"/>
  <c r="I8" i="12" s="1"/>
  <c r="I86" i="12"/>
  <c r="I108" i="12"/>
  <c r="I7" i="16"/>
  <c r="I7" i="12" s="1"/>
  <c r="I168" i="12"/>
  <c r="I151" i="16"/>
  <c r="I151" i="12" s="1"/>
  <c r="I128" i="12"/>
  <c r="I133" i="12"/>
  <c r="I132" i="12"/>
  <c r="I127" i="12"/>
  <c r="I52" i="12"/>
  <c r="I150" i="16"/>
  <c r="I150" i="12" s="1"/>
  <c r="I164" i="12"/>
  <c r="K144" i="17"/>
  <c r="K144" i="13" s="1"/>
  <c r="K78" i="17"/>
  <c r="K78" i="13" s="1"/>
  <c r="K56" i="17"/>
  <c r="K56" i="13" s="1"/>
  <c r="K89" i="17"/>
  <c r="K89" i="13" s="1"/>
  <c r="K12" i="17"/>
  <c r="K12" i="13" s="1"/>
  <c r="K155" i="17"/>
  <c r="K155" i="13" s="1"/>
  <c r="K67" i="17"/>
  <c r="K67" i="13" s="1"/>
  <c r="K122" i="17"/>
  <c r="K122" i="13" s="1"/>
  <c r="K34" i="17"/>
  <c r="K34" i="13" s="1"/>
  <c r="K45" i="17"/>
  <c r="K45" i="13" s="1"/>
  <c r="K67" i="16"/>
  <c r="K67" i="12" s="1"/>
  <c r="K122" i="16"/>
  <c r="K122" i="12" s="1"/>
  <c r="K89" i="16"/>
  <c r="K89" i="12" s="1"/>
  <c r="K56" i="16"/>
  <c r="K56" i="12" s="1"/>
  <c r="K12" i="16"/>
  <c r="K12" i="12" s="1"/>
  <c r="K34" i="16"/>
  <c r="K34" i="12" s="1"/>
  <c r="K144" i="16"/>
  <c r="K144" i="12" s="1"/>
  <c r="K111" i="16"/>
  <c r="K111" i="12" s="1"/>
  <c r="K155" i="16"/>
  <c r="K155" i="12" s="1"/>
  <c r="K78" i="16"/>
  <c r="K78" i="12" s="1"/>
  <c r="H42" i="13"/>
  <c r="H53" i="12"/>
  <c r="H129" i="13"/>
  <c r="H108" i="13"/>
  <c r="H9" i="13"/>
  <c r="H152" i="13"/>
  <c r="H75" i="13"/>
  <c r="H53" i="13"/>
  <c r="H141" i="13"/>
  <c r="H64" i="13"/>
  <c r="H130" i="6"/>
  <c r="H125" i="6" s="1"/>
  <c r="H86" i="13"/>
  <c r="H119" i="13"/>
  <c r="H48" i="6"/>
  <c r="H130" i="12"/>
  <c r="H31" i="13"/>
  <c r="H128" i="13"/>
  <c r="H133" i="13"/>
  <c r="H132" i="13"/>
  <c r="H126" i="13"/>
  <c r="H127" i="13"/>
  <c r="I9" i="12" l="1"/>
  <c r="I152" i="12"/>
  <c r="I130" i="12"/>
  <c r="I53" i="12"/>
  <c r="H130" i="13"/>
  <c r="G165" i="16" l="1"/>
  <c r="G165" i="17"/>
  <c r="G165" i="18"/>
  <c r="G163" i="16"/>
  <c r="G162" i="16"/>
  <c r="G159" i="16"/>
  <c r="G160" i="16"/>
  <c r="G168" i="16"/>
  <c r="G161" i="16"/>
  <c r="G164" i="16"/>
  <c r="G168" i="18"/>
  <c r="G162" i="18"/>
  <c r="G159" i="18"/>
  <c r="G163" i="18"/>
  <c r="G160" i="18"/>
  <c r="G164" i="18"/>
  <c r="G161" i="18"/>
  <c r="G167" i="18"/>
  <c r="G167" i="17"/>
  <c r="G168" i="17"/>
  <c r="G160" i="17"/>
  <c r="R178" i="10"/>
  <c r="G159" i="17"/>
  <c r="G161" i="17"/>
  <c r="G164" i="17"/>
  <c r="G162" i="17"/>
  <c r="G163" i="17"/>
  <c r="G153" i="17" l="1"/>
  <c r="G153" i="13" s="1"/>
  <c r="G76" i="17"/>
  <c r="G76" i="13" s="1"/>
  <c r="G32" i="17"/>
  <c r="G32" i="13" s="1"/>
  <c r="G142" i="17"/>
  <c r="G142" i="13" s="1"/>
  <c r="G87" i="17"/>
  <c r="G87" i="13" s="1"/>
  <c r="G98" i="17"/>
  <c r="G98" i="13" s="1"/>
  <c r="G109" i="17"/>
  <c r="G109" i="13" s="1"/>
  <c r="G65" i="17"/>
  <c r="G65" i="13" s="1"/>
  <c r="G43" i="17"/>
  <c r="G43" i="13" s="1"/>
  <c r="G120" i="17"/>
  <c r="G120" i="13" s="1"/>
  <c r="G21" i="17"/>
  <c r="G21" i="13" s="1"/>
  <c r="G131" i="17"/>
  <c r="G131" i="13" s="1"/>
  <c r="G54" i="17"/>
  <c r="G54" i="13" s="1"/>
  <c r="G10" i="17"/>
  <c r="G10" i="13" s="1"/>
  <c r="R175" i="11"/>
  <c r="G127" i="17"/>
  <c r="G50" i="17"/>
  <c r="G50" i="13" s="1"/>
  <c r="G28" i="17"/>
  <c r="G28" i="13" s="1"/>
  <c r="G105" i="17"/>
  <c r="G105" i="13" s="1"/>
  <c r="G6" i="17"/>
  <c r="G6" i="13" s="1"/>
  <c r="G72" i="17"/>
  <c r="G72" i="13" s="1"/>
  <c r="G138" i="17"/>
  <c r="G138" i="13" s="1"/>
  <c r="G39" i="17"/>
  <c r="G39" i="13" s="1"/>
  <c r="G83" i="17"/>
  <c r="G83" i="13" s="1"/>
  <c r="G61" i="17"/>
  <c r="G61" i="13" s="1"/>
  <c r="G149" i="17"/>
  <c r="G149" i="13" s="1"/>
  <c r="G116" i="17"/>
  <c r="G116" i="13" s="1"/>
  <c r="R171" i="11"/>
  <c r="R172" i="9"/>
  <c r="G49" i="18"/>
  <c r="G49" i="6" s="1"/>
  <c r="G38" i="18"/>
  <c r="G38" i="6" s="1"/>
  <c r="G126" i="18"/>
  <c r="G71" i="18"/>
  <c r="G71" i="6" s="1"/>
  <c r="G137" i="18"/>
  <c r="G137" i="6" s="1"/>
  <c r="G27" i="18"/>
  <c r="G148" i="18"/>
  <c r="G148" i="6" s="1"/>
  <c r="G60" i="18"/>
  <c r="G60" i="6" s="1"/>
  <c r="G5" i="18"/>
  <c r="G5" i="6" s="1"/>
  <c r="G82" i="18"/>
  <c r="G82" i="6" s="1"/>
  <c r="G104" i="18"/>
  <c r="G104" i="6" s="1"/>
  <c r="G115" i="18"/>
  <c r="G115" i="6" s="1"/>
  <c r="R170" i="9"/>
  <c r="R172" i="10"/>
  <c r="R173" i="10"/>
  <c r="G132" i="16"/>
  <c r="R176" i="10"/>
  <c r="G88" i="16"/>
  <c r="G88" i="12" s="1"/>
  <c r="G33" i="16"/>
  <c r="G33" i="12" s="1"/>
  <c r="G77" i="16"/>
  <c r="G77" i="12" s="1"/>
  <c r="G66" i="16"/>
  <c r="G66" i="12" s="1"/>
  <c r="G154" i="16"/>
  <c r="G154" i="12" s="1"/>
  <c r="G55" i="16"/>
  <c r="G55" i="12" s="1"/>
  <c r="G11" i="16"/>
  <c r="G11" i="12" s="1"/>
  <c r="G121" i="16"/>
  <c r="G121" i="12" s="1"/>
  <c r="G143" i="16"/>
  <c r="G143" i="12" s="1"/>
  <c r="G44" i="16"/>
  <c r="G44" i="12" s="1"/>
  <c r="G110" i="16"/>
  <c r="G110" i="12" s="1"/>
  <c r="R172" i="11"/>
  <c r="G102" i="17"/>
  <c r="G102" i="13" s="1"/>
  <c r="G69" i="17"/>
  <c r="G69" i="13" s="1"/>
  <c r="G80" i="17"/>
  <c r="G80" i="13" s="1"/>
  <c r="G146" i="17"/>
  <c r="G146" i="13" s="1"/>
  <c r="G124" i="17"/>
  <c r="G124" i="13" s="1"/>
  <c r="G14" i="17"/>
  <c r="G14" i="13" s="1"/>
  <c r="G91" i="17"/>
  <c r="G91" i="13" s="1"/>
  <c r="G36" i="17"/>
  <c r="G36" i="13" s="1"/>
  <c r="G113" i="17"/>
  <c r="G113" i="13" s="1"/>
  <c r="G58" i="17"/>
  <c r="G58" i="13" s="1"/>
  <c r="G135" i="17"/>
  <c r="G135" i="13" s="1"/>
  <c r="G25" i="17"/>
  <c r="G25" i="13" s="1"/>
  <c r="G157" i="17"/>
  <c r="G157" i="13" s="1"/>
  <c r="G47" i="17"/>
  <c r="G47" i="13" s="1"/>
  <c r="R179" i="11"/>
  <c r="G120" i="18"/>
  <c r="G120" i="6" s="1"/>
  <c r="G109" i="18"/>
  <c r="G109" i="6" s="1"/>
  <c r="G10" i="18"/>
  <c r="G10" i="6" s="1"/>
  <c r="G131" i="18"/>
  <c r="G131" i="6" s="1"/>
  <c r="G54" i="18"/>
  <c r="G54" i="6" s="1"/>
  <c r="G43" i="18"/>
  <c r="G43" i="6" s="1"/>
  <c r="G153" i="18"/>
  <c r="G153" i="6" s="1"/>
  <c r="G142" i="18"/>
  <c r="G142" i="6" s="1"/>
  <c r="G76" i="18"/>
  <c r="G76" i="6" s="1"/>
  <c r="G32" i="18"/>
  <c r="G32" i="6" s="1"/>
  <c r="G87" i="18"/>
  <c r="G87" i="6" s="1"/>
  <c r="G65" i="18"/>
  <c r="G65" i="6" s="1"/>
  <c r="G98" i="18"/>
  <c r="G98" i="6" s="1"/>
  <c r="G21" i="18"/>
  <c r="G21" i="6" s="1"/>
  <c r="R175" i="9"/>
  <c r="R173" i="9"/>
  <c r="G157" i="16"/>
  <c r="G157" i="12" s="1"/>
  <c r="G113" i="16"/>
  <c r="G113" i="12" s="1"/>
  <c r="G14" i="16"/>
  <c r="G14" i="12" s="1"/>
  <c r="G102" i="16"/>
  <c r="G102" i="12" s="1"/>
  <c r="G135" i="16"/>
  <c r="G135" i="12" s="1"/>
  <c r="G91" i="16"/>
  <c r="G91" i="12" s="1"/>
  <c r="G58" i="16"/>
  <c r="G58" i="12" s="1"/>
  <c r="G36" i="16"/>
  <c r="G36" i="12" s="1"/>
  <c r="G146" i="16"/>
  <c r="G146" i="12" s="1"/>
  <c r="G80" i="16"/>
  <c r="G80" i="12" s="1"/>
  <c r="G69" i="16"/>
  <c r="G69" i="12" s="1"/>
  <c r="G47" i="16"/>
  <c r="G47" i="12" s="1"/>
  <c r="G25" i="16"/>
  <c r="G25" i="12" s="1"/>
  <c r="G124" i="16"/>
  <c r="G124" i="12" s="1"/>
  <c r="R179" i="10"/>
  <c r="G97" i="16"/>
  <c r="G108" i="16"/>
  <c r="G119" i="16"/>
  <c r="G75" i="16"/>
  <c r="G141" i="16"/>
  <c r="G20" i="16"/>
  <c r="G53" i="16"/>
  <c r="G130" i="16"/>
  <c r="G31" i="16"/>
  <c r="G9" i="16"/>
  <c r="G42" i="16"/>
  <c r="G64" i="16"/>
  <c r="G152" i="16"/>
  <c r="G86" i="16"/>
  <c r="R174" i="10"/>
  <c r="G152" i="17"/>
  <c r="G20" i="17"/>
  <c r="G86" i="17"/>
  <c r="G75" i="17"/>
  <c r="G42" i="17"/>
  <c r="G119" i="17"/>
  <c r="G108" i="17"/>
  <c r="G97" i="17"/>
  <c r="G9" i="17"/>
  <c r="G141" i="17"/>
  <c r="G53" i="17"/>
  <c r="G130" i="17"/>
  <c r="G64" i="17"/>
  <c r="G31" i="17"/>
  <c r="R174" i="11"/>
  <c r="G82" i="17"/>
  <c r="G82" i="13" s="1"/>
  <c r="G49" i="17"/>
  <c r="G137" i="17"/>
  <c r="G5" i="17"/>
  <c r="G104" i="17"/>
  <c r="G104" i="13" s="1"/>
  <c r="G27" i="17"/>
  <c r="G126" i="17"/>
  <c r="G115" i="17"/>
  <c r="G60" i="17"/>
  <c r="G60" i="13" s="1"/>
  <c r="G38" i="17"/>
  <c r="G38" i="13" s="1"/>
  <c r="G148" i="17"/>
  <c r="G71" i="17"/>
  <c r="G71" i="13" s="1"/>
  <c r="R170" i="11"/>
  <c r="G13" i="17"/>
  <c r="G13" i="13" s="1"/>
  <c r="G134" i="17"/>
  <c r="G134" i="13" s="1"/>
  <c r="G35" i="17"/>
  <c r="G35" i="13" s="1"/>
  <c r="G112" i="17"/>
  <c r="G112" i="13" s="1"/>
  <c r="G123" i="17"/>
  <c r="G123" i="13" s="1"/>
  <c r="G145" i="17"/>
  <c r="G145" i="13" s="1"/>
  <c r="G156" i="17"/>
  <c r="G156" i="13" s="1"/>
  <c r="G46" i="17"/>
  <c r="G46" i="13" s="1"/>
  <c r="G57" i="17"/>
  <c r="G57" i="13" s="1"/>
  <c r="G101" i="17"/>
  <c r="G101" i="13" s="1"/>
  <c r="G90" i="17"/>
  <c r="G90" i="13" s="1"/>
  <c r="G79" i="17"/>
  <c r="G79" i="13" s="1"/>
  <c r="G68" i="17"/>
  <c r="G68" i="13" s="1"/>
  <c r="R178" i="11"/>
  <c r="G50" i="18"/>
  <c r="G50" i="6" s="1"/>
  <c r="G28" i="18"/>
  <c r="G28" i="6" s="1"/>
  <c r="G61" i="18"/>
  <c r="G61" i="6" s="1"/>
  <c r="G127" i="18"/>
  <c r="G105" i="18"/>
  <c r="G105" i="6" s="1"/>
  <c r="G138" i="18"/>
  <c r="G138" i="6" s="1"/>
  <c r="G149" i="18"/>
  <c r="G149" i="6" s="1"/>
  <c r="G6" i="18"/>
  <c r="G6" i="6" s="1"/>
  <c r="G116" i="18"/>
  <c r="G116" i="6" s="1"/>
  <c r="G72" i="18"/>
  <c r="G72" i="6" s="1"/>
  <c r="G83" i="18"/>
  <c r="G83" i="6" s="1"/>
  <c r="G39" i="18"/>
  <c r="R171" i="9"/>
  <c r="G135" i="18"/>
  <c r="G135" i="6" s="1"/>
  <c r="G58" i="18"/>
  <c r="G58" i="6" s="1"/>
  <c r="G36" i="18"/>
  <c r="G36" i="6" s="1"/>
  <c r="G102" i="18"/>
  <c r="G102" i="6" s="1"/>
  <c r="G157" i="18"/>
  <c r="G157" i="6" s="1"/>
  <c r="G113" i="18"/>
  <c r="G113" i="6" s="1"/>
  <c r="G124" i="18"/>
  <c r="G124" i="6" s="1"/>
  <c r="G146" i="18"/>
  <c r="G146" i="6" s="1"/>
  <c r="G91" i="18"/>
  <c r="G91" i="6" s="1"/>
  <c r="G14" i="18"/>
  <c r="G14" i="6" s="1"/>
  <c r="G25" i="18"/>
  <c r="G25" i="6" s="1"/>
  <c r="G80" i="18"/>
  <c r="G80" i="6" s="1"/>
  <c r="G69" i="18"/>
  <c r="G69" i="6" s="1"/>
  <c r="G47" i="18"/>
  <c r="G47" i="6" s="1"/>
  <c r="R179" i="9"/>
  <c r="G50" i="16"/>
  <c r="G50" i="12" s="1"/>
  <c r="G72" i="16"/>
  <c r="G72" i="12" s="1"/>
  <c r="G138" i="16"/>
  <c r="G138" i="12" s="1"/>
  <c r="G28" i="16"/>
  <c r="G28" i="12" s="1"/>
  <c r="G105" i="16"/>
  <c r="G105" i="12" s="1"/>
  <c r="G127" i="16"/>
  <c r="G39" i="16"/>
  <c r="G39" i="12" s="1"/>
  <c r="G6" i="16"/>
  <c r="G6" i="12" s="1"/>
  <c r="G116" i="16"/>
  <c r="G116" i="12" s="1"/>
  <c r="G149" i="16"/>
  <c r="G149" i="12" s="1"/>
  <c r="G83" i="16"/>
  <c r="G83" i="12" s="1"/>
  <c r="G61" i="16"/>
  <c r="G61" i="12" s="1"/>
  <c r="R171" i="10"/>
  <c r="R176" i="9"/>
  <c r="G55" i="18"/>
  <c r="G55" i="6" s="1"/>
  <c r="G11" i="18"/>
  <c r="G11" i="6" s="1"/>
  <c r="G121" i="18"/>
  <c r="G121" i="6" s="1"/>
  <c r="G154" i="18"/>
  <c r="G154" i="6" s="1"/>
  <c r="G77" i="18"/>
  <c r="G77" i="6" s="1"/>
  <c r="G88" i="18"/>
  <c r="G88" i="6" s="1"/>
  <c r="G143" i="18"/>
  <c r="G143" i="6" s="1"/>
  <c r="G44" i="18"/>
  <c r="G44" i="6" s="1"/>
  <c r="G33" i="18"/>
  <c r="G33" i="6" s="1"/>
  <c r="G66" i="18"/>
  <c r="G66" i="6" s="1"/>
  <c r="G110" i="18"/>
  <c r="G110" i="6" s="1"/>
  <c r="R173" i="11"/>
  <c r="G134" i="18"/>
  <c r="G68" i="18"/>
  <c r="G68" i="6" s="1"/>
  <c r="G46" i="18"/>
  <c r="G46" i="6" s="1"/>
  <c r="G156" i="18"/>
  <c r="G112" i="18"/>
  <c r="G112" i="6" s="1"/>
  <c r="G101" i="18"/>
  <c r="G101" i="6" s="1"/>
  <c r="G145" i="18"/>
  <c r="G145" i="6" s="1"/>
  <c r="G13" i="18"/>
  <c r="G13" i="6" s="1"/>
  <c r="G90" i="18"/>
  <c r="G90" i="6" s="1"/>
  <c r="G57" i="18"/>
  <c r="G57" i="6" s="1"/>
  <c r="G35" i="18"/>
  <c r="G35" i="6" s="1"/>
  <c r="G123" i="18"/>
  <c r="G123" i="6" s="1"/>
  <c r="G79" i="18"/>
  <c r="G79" i="6" s="1"/>
  <c r="R178" i="9"/>
  <c r="G119" i="18"/>
  <c r="G130" i="18"/>
  <c r="G9" i="18"/>
  <c r="G86" i="18"/>
  <c r="G53" i="18"/>
  <c r="G97" i="18"/>
  <c r="G75" i="18"/>
  <c r="G152" i="18"/>
  <c r="G31" i="18"/>
  <c r="G64" i="18"/>
  <c r="G20" i="18"/>
  <c r="G108" i="18"/>
  <c r="G141" i="18"/>
  <c r="G42" i="18"/>
  <c r="R174" i="9"/>
  <c r="G98" i="16"/>
  <c r="G98" i="12" s="1"/>
  <c r="G120" i="16"/>
  <c r="G120" i="12" s="1"/>
  <c r="G65" i="16"/>
  <c r="G65" i="12" s="1"/>
  <c r="G32" i="16"/>
  <c r="G32" i="12" s="1"/>
  <c r="G43" i="16"/>
  <c r="G43" i="12" s="1"/>
  <c r="G109" i="16"/>
  <c r="G109" i="12" s="1"/>
  <c r="G10" i="16"/>
  <c r="G10" i="12" s="1"/>
  <c r="G76" i="16"/>
  <c r="G76" i="12" s="1"/>
  <c r="G131" i="16"/>
  <c r="G131" i="12" s="1"/>
  <c r="G153" i="16"/>
  <c r="G153" i="12" s="1"/>
  <c r="G54" i="16"/>
  <c r="G54" i="12" s="1"/>
  <c r="G87" i="16"/>
  <c r="G87" i="12" s="1"/>
  <c r="G21" i="16"/>
  <c r="G21" i="12" s="1"/>
  <c r="G142" i="16"/>
  <c r="G142" i="12" s="1"/>
  <c r="R175" i="10"/>
  <c r="G5" i="16"/>
  <c r="G148" i="16"/>
  <c r="G82" i="16"/>
  <c r="G49" i="16"/>
  <c r="G126" i="16"/>
  <c r="G115" i="16"/>
  <c r="G137" i="16"/>
  <c r="G104" i="16"/>
  <c r="G71" i="16"/>
  <c r="G60" i="16"/>
  <c r="G27" i="16"/>
  <c r="G38" i="16"/>
  <c r="R170" i="10"/>
  <c r="R176" i="11"/>
  <c r="G132" i="17"/>
  <c r="G110" i="17"/>
  <c r="G110" i="13" s="1"/>
  <c r="G88" i="17"/>
  <c r="G88" i="13" s="1"/>
  <c r="G33" i="17"/>
  <c r="G33" i="13" s="1"/>
  <c r="G143" i="17"/>
  <c r="G143" i="13" s="1"/>
  <c r="G66" i="17"/>
  <c r="G66" i="13" s="1"/>
  <c r="G154" i="17"/>
  <c r="G154" i="13" s="1"/>
  <c r="G55" i="17"/>
  <c r="G55" i="13" s="1"/>
  <c r="G44" i="17"/>
  <c r="G44" i="13" s="1"/>
  <c r="G77" i="17"/>
  <c r="G77" i="13" s="1"/>
  <c r="G121" i="17"/>
  <c r="G121" i="13" s="1"/>
  <c r="G11" i="17"/>
  <c r="G11" i="13" s="1"/>
  <c r="F165" i="16"/>
  <c r="F165" i="17"/>
  <c r="F165" i="18"/>
  <c r="F163" i="16"/>
  <c r="F160" i="16"/>
  <c r="F161" i="16"/>
  <c r="F164" i="16"/>
  <c r="F162" i="16"/>
  <c r="F168" i="16"/>
  <c r="F159" i="16"/>
  <c r="F159" i="18"/>
  <c r="F164" i="18"/>
  <c r="F167" i="18"/>
  <c r="F162" i="18"/>
  <c r="F160" i="18"/>
  <c r="F161" i="18"/>
  <c r="F168" i="18"/>
  <c r="F163" i="18"/>
  <c r="F160" i="17"/>
  <c r="F164" i="17"/>
  <c r="Q178" i="10"/>
  <c r="F167" i="17"/>
  <c r="F161" i="17"/>
  <c r="F163" i="17"/>
  <c r="F162" i="17"/>
  <c r="F168" i="17"/>
  <c r="F159" i="17"/>
  <c r="G151" i="17" l="1"/>
  <c r="G151" i="13" s="1"/>
  <c r="G140" i="17"/>
  <c r="G140" i="13" s="1"/>
  <c r="G52" i="17"/>
  <c r="G52" i="13" s="1"/>
  <c r="G118" i="17"/>
  <c r="G118" i="13" s="1"/>
  <c r="G30" i="17"/>
  <c r="G30" i="13" s="1"/>
  <c r="G74" i="17"/>
  <c r="G74" i="13" s="1"/>
  <c r="G41" i="17"/>
  <c r="G41" i="13" s="1"/>
  <c r="G41" i="18"/>
  <c r="G41" i="6" s="1"/>
  <c r="G85" i="17"/>
  <c r="G85" i="13" s="1"/>
  <c r="G63" i="17"/>
  <c r="G63" i="13" s="1"/>
  <c r="G8" i="17"/>
  <c r="G8" i="13" s="1"/>
  <c r="G107" i="17"/>
  <c r="G107" i="13" s="1"/>
  <c r="G129" i="17"/>
  <c r="G168" i="13"/>
  <c r="G71" i="12"/>
  <c r="G73" i="16"/>
  <c r="G73" i="12" s="1"/>
  <c r="G74" i="16"/>
  <c r="G74" i="12" s="1"/>
  <c r="G129" i="16"/>
  <c r="G128" i="16"/>
  <c r="G5" i="12"/>
  <c r="G8" i="16"/>
  <c r="G8" i="12" s="1"/>
  <c r="G7" i="16"/>
  <c r="G7" i="12" s="1"/>
  <c r="G168" i="6"/>
  <c r="G148" i="13"/>
  <c r="G150" i="17"/>
  <c r="G150" i="13" s="1"/>
  <c r="G137" i="13"/>
  <c r="G139" i="17"/>
  <c r="G139" i="13" s="1"/>
  <c r="G168" i="12"/>
  <c r="G107" i="18"/>
  <c r="G107" i="6" s="1"/>
  <c r="G118" i="18"/>
  <c r="G118" i="6" s="1"/>
  <c r="G128" i="17"/>
  <c r="G84" i="17"/>
  <c r="G84" i="13" s="1"/>
  <c r="G38" i="12"/>
  <c r="G40" i="16"/>
  <c r="G40" i="12" s="1"/>
  <c r="G41" i="16"/>
  <c r="G41" i="12" s="1"/>
  <c r="G104" i="12"/>
  <c r="G107" i="16"/>
  <c r="G107" i="12" s="1"/>
  <c r="G106" i="16"/>
  <c r="G106" i="12" s="1"/>
  <c r="G49" i="12"/>
  <c r="G51" i="16"/>
  <c r="G51" i="12" s="1"/>
  <c r="G52" i="16"/>
  <c r="G164" i="12"/>
  <c r="G39" i="6"/>
  <c r="G40" i="18"/>
  <c r="G40" i="6" s="1"/>
  <c r="G128" i="18"/>
  <c r="G27" i="13"/>
  <c r="G29" i="17"/>
  <c r="G29" i="13" s="1"/>
  <c r="G49" i="13"/>
  <c r="G51" i="17"/>
  <c r="G51" i="13" s="1"/>
  <c r="G85" i="18"/>
  <c r="G85" i="6" s="1"/>
  <c r="G129" i="18"/>
  <c r="G63" i="18"/>
  <c r="G63" i="6" s="1"/>
  <c r="G106" i="17"/>
  <c r="G106" i="13" s="1"/>
  <c r="G27" i="12"/>
  <c r="G29" i="16"/>
  <c r="G29" i="12" s="1"/>
  <c r="G30" i="16"/>
  <c r="G30" i="12" s="1"/>
  <c r="G137" i="12"/>
  <c r="G139" i="16"/>
  <c r="G139" i="12" s="1"/>
  <c r="G140" i="16"/>
  <c r="G140" i="12" s="1"/>
  <c r="G82" i="12"/>
  <c r="G84" i="16"/>
  <c r="G84" i="12" s="1"/>
  <c r="G85" i="16"/>
  <c r="G85" i="12" s="1"/>
  <c r="G134" i="6"/>
  <c r="G156" i="6"/>
  <c r="G140" i="18"/>
  <c r="G140" i="6" s="1"/>
  <c r="G8" i="18"/>
  <c r="G8" i="6" s="1"/>
  <c r="G164" i="6"/>
  <c r="G73" i="17"/>
  <c r="G73" i="13" s="1"/>
  <c r="G60" i="12"/>
  <c r="G62" i="16"/>
  <c r="G62" i="12" s="1"/>
  <c r="G63" i="16"/>
  <c r="G63" i="12" s="1"/>
  <c r="G115" i="12"/>
  <c r="G117" i="16"/>
  <c r="G117" i="12" s="1"/>
  <c r="G118" i="16"/>
  <c r="G118" i="12" s="1"/>
  <c r="G148" i="12"/>
  <c r="G151" i="16"/>
  <c r="G151" i="12" s="1"/>
  <c r="G150" i="16"/>
  <c r="G150" i="12" s="1"/>
  <c r="G115" i="13"/>
  <c r="G117" i="17"/>
  <c r="G117" i="13" s="1"/>
  <c r="G5" i="13"/>
  <c r="G7" i="17"/>
  <c r="G7" i="13" s="1"/>
  <c r="G74" i="18"/>
  <c r="G74" i="6" s="1"/>
  <c r="G52" i="18"/>
  <c r="G151" i="18"/>
  <c r="G151" i="6" s="1"/>
  <c r="G40" i="17"/>
  <c r="G40" i="13" s="1"/>
  <c r="G62" i="17"/>
  <c r="G62" i="13" s="1"/>
  <c r="G30" i="18"/>
  <c r="G30" i="6" s="1"/>
  <c r="G27" i="6"/>
  <c r="G73" i="18"/>
  <c r="G73" i="6" s="1"/>
  <c r="G51" i="18"/>
  <c r="G51" i="6" s="1"/>
  <c r="G62" i="18"/>
  <c r="G62" i="6" s="1"/>
  <c r="G150" i="18"/>
  <c r="G150" i="6" s="1"/>
  <c r="G106" i="18"/>
  <c r="G106" i="6" s="1"/>
  <c r="G117" i="18"/>
  <c r="G117" i="6" s="1"/>
  <c r="G29" i="18"/>
  <c r="G29" i="6" s="1"/>
  <c r="G164" i="13"/>
  <c r="G139" i="18"/>
  <c r="G139" i="6" s="1"/>
  <c r="G7" i="18"/>
  <c r="G7" i="6" s="1"/>
  <c r="G84" i="18"/>
  <c r="G84" i="6" s="1"/>
  <c r="F152" i="17"/>
  <c r="F130" i="17"/>
  <c r="F141" i="17"/>
  <c r="F86" i="17"/>
  <c r="F119" i="17"/>
  <c r="F42" i="17"/>
  <c r="F9" i="17"/>
  <c r="F108" i="17"/>
  <c r="F31" i="17"/>
  <c r="F97" i="17"/>
  <c r="F64" i="17"/>
  <c r="F75" i="17"/>
  <c r="F20" i="17"/>
  <c r="F53" i="17"/>
  <c r="Q174" i="11"/>
  <c r="F153" i="17"/>
  <c r="F153" i="13" s="1"/>
  <c r="F10" i="17"/>
  <c r="F10" i="13" s="1"/>
  <c r="F76" i="17"/>
  <c r="F76" i="13" s="1"/>
  <c r="F98" i="17"/>
  <c r="F98" i="13" s="1"/>
  <c r="F120" i="17"/>
  <c r="F120" i="13" s="1"/>
  <c r="F21" i="17"/>
  <c r="F21" i="13" s="1"/>
  <c r="F142" i="17"/>
  <c r="F142" i="13" s="1"/>
  <c r="F109" i="17"/>
  <c r="F109" i="13" s="1"/>
  <c r="F131" i="17"/>
  <c r="F131" i="13" s="1"/>
  <c r="F43" i="17"/>
  <c r="F43" i="13" s="1"/>
  <c r="F65" i="17"/>
  <c r="F65" i="13" s="1"/>
  <c r="F32" i="17"/>
  <c r="F32" i="13" s="1"/>
  <c r="F54" i="17"/>
  <c r="F54" i="13" s="1"/>
  <c r="F87" i="17"/>
  <c r="F87" i="13" s="1"/>
  <c r="Q175" i="11"/>
  <c r="Q172" i="9"/>
  <c r="F120" i="18"/>
  <c r="F120" i="6" s="1"/>
  <c r="F131" i="18"/>
  <c r="F131" i="6" s="1"/>
  <c r="F32" i="18"/>
  <c r="F32" i="6" s="1"/>
  <c r="F109" i="18"/>
  <c r="F109" i="6" s="1"/>
  <c r="F10" i="18"/>
  <c r="F10" i="6" s="1"/>
  <c r="F21" i="18"/>
  <c r="F21" i="6" s="1"/>
  <c r="F65" i="18"/>
  <c r="F65" i="6" s="1"/>
  <c r="F142" i="18"/>
  <c r="F142" i="6" s="1"/>
  <c r="F98" i="18"/>
  <c r="F98" i="6" s="1"/>
  <c r="F153" i="18"/>
  <c r="F153" i="6" s="1"/>
  <c r="F54" i="18"/>
  <c r="F54" i="6" s="1"/>
  <c r="F43" i="18"/>
  <c r="F43" i="6" s="1"/>
  <c r="F76" i="18"/>
  <c r="F76" i="6" s="1"/>
  <c r="F87" i="18"/>
  <c r="F87" i="6" s="1"/>
  <c r="Q175" i="9"/>
  <c r="Q173" i="10"/>
  <c r="F20" i="16"/>
  <c r="F108" i="16"/>
  <c r="F119" i="16"/>
  <c r="F9" i="16"/>
  <c r="F64" i="16"/>
  <c r="F53" i="16"/>
  <c r="F42" i="16"/>
  <c r="F97" i="16"/>
  <c r="F86" i="16"/>
  <c r="F31" i="16"/>
  <c r="F152" i="16"/>
  <c r="F141" i="16"/>
  <c r="F130" i="16"/>
  <c r="F75" i="16"/>
  <c r="Q174" i="10"/>
  <c r="F5" i="17"/>
  <c r="F5" i="13" s="1"/>
  <c r="F115" i="17"/>
  <c r="F115" i="13" s="1"/>
  <c r="F82" i="17"/>
  <c r="F82" i="13" s="1"/>
  <c r="F137" i="17"/>
  <c r="F137" i="13" s="1"/>
  <c r="F60" i="17"/>
  <c r="F60" i="13" s="1"/>
  <c r="F38" i="17"/>
  <c r="F38" i="13" s="1"/>
  <c r="F104" i="17"/>
  <c r="F104" i="13" s="1"/>
  <c r="F71" i="17"/>
  <c r="F71" i="13" s="1"/>
  <c r="F126" i="17"/>
  <c r="F27" i="17"/>
  <c r="F27" i="13" s="1"/>
  <c r="F148" i="17"/>
  <c r="F148" i="13" s="1"/>
  <c r="F49" i="17"/>
  <c r="F49" i="13" s="1"/>
  <c r="Q170" i="11"/>
  <c r="Q172" i="11"/>
  <c r="F138" i="17"/>
  <c r="F138" i="13" s="1"/>
  <c r="F50" i="17"/>
  <c r="F50" i="13" s="1"/>
  <c r="F6" i="17"/>
  <c r="F6" i="13" s="1"/>
  <c r="F127" i="17"/>
  <c r="F116" i="17"/>
  <c r="F116" i="13" s="1"/>
  <c r="F72" i="17"/>
  <c r="F72" i="13" s="1"/>
  <c r="F28" i="17"/>
  <c r="F28" i="13" s="1"/>
  <c r="F61" i="17"/>
  <c r="F61" i="13" s="1"/>
  <c r="F83" i="17"/>
  <c r="F83" i="13" s="1"/>
  <c r="F105" i="17"/>
  <c r="F105" i="13" s="1"/>
  <c r="F39" i="17"/>
  <c r="F39" i="13" s="1"/>
  <c r="F149" i="17"/>
  <c r="F149" i="13" s="1"/>
  <c r="Q171" i="11"/>
  <c r="F116" i="18"/>
  <c r="F116" i="6" s="1"/>
  <c r="F83" i="18"/>
  <c r="F83" i="6" s="1"/>
  <c r="F72" i="18"/>
  <c r="F72" i="6" s="1"/>
  <c r="F149" i="18"/>
  <c r="F149" i="6" s="1"/>
  <c r="F127" i="18"/>
  <c r="F39" i="18"/>
  <c r="F39" i="6" s="1"/>
  <c r="F61" i="18"/>
  <c r="F61" i="6" s="1"/>
  <c r="F50" i="18"/>
  <c r="F50" i="6" s="1"/>
  <c r="F28" i="18"/>
  <c r="F28" i="6" s="1"/>
  <c r="F6" i="18"/>
  <c r="F6" i="6" s="1"/>
  <c r="F105" i="18"/>
  <c r="F105" i="6" s="1"/>
  <c r="F138" i="18"/>
  <c r="F138" i="6" s="1"/>
  <c r="Q171" i="9"/>
  <c r="F104" i="18"/>
  <c r="F104" i="6" s="1"/>
  <c r="F126" i="18"/>
  <c r="F27" i="18"/>
  <c r="F27" i="6" s="1"/>
  <c r="F38" i="18"/>
  <c r="F38" i="6" s="1"/>
  <c r="F5" i="18"/>
  <c r="F5" i="6" s="1"/>
  <c r="F137" i="18"/>
  <c r="F137" i="6" s="1"/>
  <c r="F82" i="18"/>
  <c r="F82" i="6" s="1"/>
  <c r="F148" i="18"/>
  <c r="F148" i="6" s="1"/>
  <c r="F115" i="18"/>
  <c r="F115" i="6" s="1"/>
  <c r="F60" i="18"/>
  <c r="F60" i="6" s="1"/>
  <c r="F49" i="18"/>
  <c r="F49" i="6" s="1"/>
  <c r="F71" i="18"/>
  <c r="F71" i="6" s="1"/>
  <c r="Q170" i="9"/>
  <c r="F10" i="16"/>
  <c r="F10" i="12" s="1"/>
  <c r="F43" i="16"/>
  <c r="F43" i="12" s="1"/>
  <c r="F87" i="16"/>
  <c r="F87" i="12" s="1"/>
  <c r="F54" i="16"/>
  <c r="F54" i="12" s="1"/>
  <c r="F109" i="16"/>
  <c r="F109" i="12" s="1"/>
  <c r="F65" i="16"/>
  <c r="F65" i="12" s="1"/>
  <c r="F131" i="16"/>
  <c r="F131" i="12" s="1"/>
  <c r="F142" i="16"/>
  <c r="F142" i="12" s="1"/>
  <c r="F76" i="16"/>
  <c r="F76" i="12" s="1"/>
  <c r="F153" i="16"/>
  <c r="F153" i="12" s="1"/>
  <c r="F32" i="16"/>
  <c r="F32" i="12" s="1"/>
  <c r="F120" i="16"/>
  <c r="F120" i="12" s="1"/>
  <c r="F98" i="16"/>
  <c r="F98" i="12" s="1"/>
  <c r="F21" i="16"/>
  <c r="F21" i="12" s="1"/>
  <c r="Q175" i="10"/>
  <c r="Q176" i="9"/>
  <c r="F44" i="18"/>
  <c r="F44" i="6" s="1"/>
  <c r="F33" i="18"/>
  <c r="F33" i="6" s="1"/>
  <c r="F77" i="18"/>
  <c r="F77" i="6" s="1"/>
  <c r="F88" i="18"/>
  <c r="F88" i="6" s="1"/>
  <c r="F11" i="18"/>
  <c r="F11" i="6" s="1"/>
  <c r="F143" i="18"/>
  <c r="F143" i="6" s="1"/>
  <c r="F110" i="18"/>
  <c r="F110" i="6" s="1"/>
  <c r="F154" i="18"/>
  <c r="F154" i="6" s="1"/>
  <c r="F121" i="18"/>
  <c r="F121" i="6" s="1"/>
  <c r="F55" i="18"/>
  <c r="F55" i="6" s="1"/>
  <c r="F66" i="18"/>
  <c r="F66" i="6" s="1"/>
  <c r="F102" i="17"/>
  <c r="F102" i="13" s="1"/>
  <c r="F146" i="17"/>
  <c r="F146" i="13" s="1"/>
  <c r="F135" i="17"/>
  <c r="F135" i="13" s="1"/>
  <c r="F124" i="17"/>
  <c r="F124" i="13" s="1"/>
  <c r="F36" i="17"/>
  <c r="F36" i="13" s="1"/>
  <c r="F25" i="17"/>
  <c r="F25" i="13" s="1"/>
  <c r="F58" i="17"/>
  <c r="F58" i="13" s="1"/>
  <c r="F91" i="17"/>
  <c r="F91" i="13" s="1"/>
  <c r="F69" i="17"/>
  <c r="F69" i="13" s="1"/>
  <c r="F113" i="17"/>
  <c r="F113" i="13" s="1"/>
  <c r="F14" i="17"/>
  <c r="F14" i="13" s="1"/>
  <c r="F47" i="17"/>
  <c r="F47" i="13" s="1"/>
  <c r="F157" i="17"/>
  <c r="F157" i="13" s="1"/>
  <c r="F80" i="17"/>
  <c r="F80" i="13" s="1"/>
  <c r="Q179" i="11"/>
  <c r="F123" i="17"/>
  <c r="F123" i="13" s="1"/>
  <c r="F156" i="17"/>
  <c r="F156" i="13" s="1"/>
  <c r="F79" i="17"/>
  <c r="F79" i="13" s="1"/>
  <c r="F90" i="17"/>
  <c r="F90" i="13" s="1"/>
  <c r="F35" i="17"/>
  <c r="F35" i="13" s="1"/>
  <c r="F101" i="17"/>
  <c r="F101" i="13" s="1"/>
  <c r="F68" i="17"/>
  <c r="F68" i="13" s="1"/>
  <c r="F13" i="17"/>
  <c r="F13" i="13" s="1"/>
  <c r="F57" i="17"/>
  <c r="F57" i="13" s="1"/>
  <c r="F134" i="17"/>
  <c r="F134" i="13" s="1"/>
  <c r="F145" i="17"/>
  <c r="F145" i="13" s="1"/>
  <c r="F112" i="17"/>
  <c r="F112" i="13" s="1"/>
  <c r="F46" i="17"/>
  <c r="F46" i="13" s="1"/>
  <c r="Q178" i="11"/>
  <c r="F9" i="18"/>
  <c r="F64" i="18"/>
  <c r="F152" i="18"/>
  <c r="F31" i="18"/>
  <c r="F42" i="18"/>
  <c r="F20" i="18"/>
  <c r="F108" i="18"/>
  <c r="F119" i="18"/>
  <c r="F75" i="18"/>
  <c r="F97" i="18"/>
  <c r="F53" i="18"/>
  <c r="F141" i="18"/>
  <c r="F130" i="18"/>
  <c r="F86" i="18"/>
  <c r="Q174" i="9"/>
  <c r="Q173" i="9"/>
  <c r="F137" i="16"/>
  <c r="F137" i="12" s="1"/>
  <c r="F38" i="16"/>
  <c r="F38" i="12" s="1"/>
  <c r="F27" i="16"/>
  <c r="F27" i="12" s="1"/>
  <c r="F115" i="16"/>
  <c r="F115" i="12" s="1"/>
  <c r="F82" i="16"/>
  <c r="F82" i="12" s="1"/>
  <c r="F104" i="16"/>
  <c r="F104" i="12" s="1"/>
  <c r="F49" i="16"/>
  <c r="F49" i="12" s="1"/>
  <c r="F71" i="16"/>
  <c r="F71" i="12" s="1"/>
  <c r="F5" i="16"/>
  <c r="F5" i="12" s="1"/>
  <c r="F148" i="16"/>
  <c r="F148" i="12" s="1"/>
  <c r="F126" i="16"/>
  <c r="F60" i="16"/>
  <c r="F60" i="12" s="1"/>
  <c r="Q170" i="10"/>
  <c r="Q172" i="10"/>
  <c r="Q176" i="11"/>
  <c r="F132" i="17"/>
  <c r="F33" i="17"/>
  <c r="F33" i="13" s="1"/>
  <c r="F143" i="17"/>
  <c r="F143" i="13" s="1"/>
  <c r="F110" i="17"/>
  <c r="F110" i="13" s="1"/>
  <c r="F11" i="17"/>
  <c r="F11" i="13" s="1"/>
  <c r="F121" i="17"/>
  <c r="F121" i="13" s="1"/>
  <c r="F66" i="17"/>
  <c r="F66" i="13" s="1"/>
  <c r="F154" i="17"/>
  <c r="F154" i="13" s="1"/>
  <c r="F77" i="17"/>
  <c r="F77" i="13" s="1"/>
  <c r="F88" i="17"/>
  <c r="F88" i="13" s="1"/>
  <c r="F55" i="17"/>
  <c r="F55" i="13" s="1"/>
  <c r="F44" i="17"/>
  <c r="F44" i="13" s="1"/>
  <c r="Q173" i="11"/>
  <c r="F91" i="18"/>
  <c r="F91" i="6" s="1"/>
  <c r="F135" i="18"/>
  <c r="F135" i="6" s="1"/>
  <c r="F47" i="18"/>
  <c r="F47" i="6" s="1"/>
  <c r="F14" i="18"/>
  <c r="F14" i="6" s="1"/>
  <c r="F80" i="18"/>
  <c r="F80" i="6" s="1"/>
  <c r="F157" i="18"/>
  <c r="F157" i="6" s="1"/>
  <c r="F69" i="18"/>
  <c r="F69" i="6" s="1"/>
  <c r="F124" i="18"/>
  <c r="F124" i="6" s="1"/>
  <c r="F146" i="18"/>
  <c r="F146" i="6" s="1"/>
  <c r="F25" i="18"/>
  <c r="F25" i="6" s="1"/>
  <c r="F102" i="18"/>
  <c r="F102" i="6" s="1"/>
  <c r="F58" i="18"/>
  <c r="F58" i="6" s="1"/>
  <c r="F36" i="18"/>
  <c r="F36" i="6" s="1"/>
  <c r="F113" i="18"/>
  <c r="F113" i="6" s="1"/>
  <c r="Q179" i="9"/>
  <c r="F156" i="18"/>
  <c r="F134" i="18"/>
  <c r="F101" i="18"/>
  <c r="F101" i="6" s="1"/>
  <c r="F68" i="18"/>
  <c r="F68" i="6" s="1"/>
  <c r="F90" i="18"/>
  <c r="F90" i="6" s="1"/>
  <c r="F57" i="18"/>
  <c r="F57" i="6" s="1"/>
  <c r="F112" i="18"/>
  <c r="F112" i="6" s="1"/>
  <c r="F35" i="18"/>
  <c r="F35" i="6" s="1"/>
  <c r="F79" i="18"/>
  <c r="F79" i="6" s="1"/>
  <c r="F123" i="18"/>
  <c r="F123" i="6" s="1"/>
  <c r="F145" i="18"/>
  <c r="F145" i="6" s="1"/>
  <c r="F13" i="18"/>
  <c r="F13" i="6" s="1"/>
  <c r="F46" i="18"/>
  <c r="F46" i="6" s="1"/>
  <c r="Q178" i="9"/>
  <c r="F80" i="16"/>
  <c r="F80" i="12" s="1"/>
  <c r="F146" i="16"/>
  <c r="F146" i="12" s="1"/>
  <c r="F14" i="16"/>
  <c r="F14" i="12" s="1"/>
  <c r="F25" i="16"/>
  <c r="F25" i="12" s="1"/>
  <c r="F113" i="16"/>
  <c r="F113" i="12" s="1"/>
  <c r="F124" i="16"/>
  <c r="F124" i="12" s="1"/>
  <c r="F47" i="16"/>
  <c r="F47" i="12" s="1"/>
  <c r="F69" i="16"/>
  <c r="F69" i="12" s="1"/>
  <c r="F58" i="16"/>
  <c r="F58" i="12" s="1"/>
  <c r="F157" i="16"/>
  <c r="F157" i="12" s="1"/>
  <c r="F102" i="16"/>
  <c r="F102" i="12" s="1"/>
  <c r="F36" i="16"/>
  <c r="F36" i="12" s="1"/>
  <c r="F135" i="16"/>
  <c r="F135" i="12" s="1"/>
  <c r="F91" i="16"/>
  <c r="F91" i="12" s="1"/>
  <c r="Q179" i="10"/>
  <c r="F61" i="16"/>
  <c r="F61" i="12" s="1"/>
  <c r="F28" i="16"/>
  <c r="F28" i="12" s="1"/>
  <c r="F83" i="16"/>
  <c r="F83" i="12" s="1"/>
  <c r="F149" i="16"/>
  <c r="F149" i="12" s="1"/>
  <c r="F6" i="16"/>
  <c r="F6" i="12" s="1"/>
  <c r="F105" i="16"/>
  <c r="F105" i="12" s="1"/>
  <c r="F72" i="16"/>
  <c r="F72" i="12" s="1"/>
  <c r="F138" i="16"/>
  <c r="F138" i="12" s="1"/>
  <c r="F50" i="16"/>
  <c r="F50" i="12" s="1"/>
  <c r="F127" i="16"/>
  <c r="F116" i="16"/>
  <c r="F116" i="12" s="1"/>
  <c r="F39" i="16"/>
  <c r="F39" i="12" s="1"/>
  <c r="Q171" i="10"/>
  <c r="F132" i="16"/>
  <c r="Q176" i="10"/>
  <c r="F143" i="16"/>
  <c r="F143" i="12" s="1"/>
  <c r="F121" i="16"/>
  <c r="F121" i="12" s="1"/>
  <c r="F88" i="16"/>
  <c r="F88" i="12" s="1"/>
  <c r="F44" i="16"/>
  <c r="F44" i="12" s="1"/>
  <c r="F154" i="16"/>
  <c r="F154" i="12" s="1"/>
  <c r="F77" i="16"/>
  <c r="F77" i="12" s="1"/>
  <c r="F55" i="16"/>
  <c r="F55" i="12" s="1"/>
  <c r="F110" i="16"/>
  <c r="F110" i="12" s="1"/>
  <c r="F33" i="16"/>
  <c r="F33" i="12" s="1"/>
  <c r="F11" i="16"/>
  <c r="F11" i="12" s="1"/>
  <c r="F66" i="16"/>
  <c r="F66" i="12" s="1"/>
  <c r="D162" i="17"/>
  <c r="D168" i="17"/>
  <c r="D163" i="17"/>
  <c r="D167" i="17"/>
  <c r="D161" i="17"/>
  <c r="D159" i="17"/>
  <c r="D164" i="17"/>
  <c r="D160" i="17"/>
  <c r="O178" i="10"/>
  <c r="E165" i="17"/>
  <c r="E165" i="18"/>
  <c r="E165" i="16"/>
  <c r="E168" i="16"/>
  <c r="E159" i="16"/>
  <c r="E161" i="16"/>
  <c r="E164" i="16"/>
  <c r="E162" i="16"/>
  <c r="E160" i="16"/>
  <c r="E163" i="16"/>
  <c r="E162" i="18"/>
  <c r="E161" i="18"/>
  <c r="E164" i="18"/>
  <c r="E168" i="18"/>
  <c r="E167" i="18"/>
  <c r="E160" i="18"/>
  <c r="E163" i="18"/>
  <c r="E159" i="18"/>
  <c r="E163" i="17"/>
  <c r="E168" i="17"/>
  <c r="E159" i="17"/>
  <c r="E160" i="17"/>
  <c r="E167" i="17"/>
  <c r="E161" i="17"/>
  <c r="E162" i="17"/>
  <c r="E164" i="17"/>
  <c r="P178" i="10"/>
  <c r="D165" i="17"/>
  <c r="D165" i="16"/>
  <c r="D165" i="18"/>
  <c r="D159" i="16"/>
  <c r="D164" i="16"/>
  <c r="O175" i="10" s="1"/>
  <c r="D163" i="16"/>
  <c r="O174" i="10" s="1"/>
  <c r="D160" i="16"/>
  <c r="D168" i="16"/>
  <c r="O179" i="10" s="1"/>
  <c r="D161" i="16"/>
  <c r="O172" i="10" s="1"/>
  <c r="D162" i="16"/>
  <c r="O173" i="10" s="1"/>
  <c r="D167" i="18"/>
  <c r="O178" i="9" s="1"/>
  <c r="D163" i="18"/>
  <c r="O174" i="9" s="1"/>
  <c r="D161" i="18"/>
  <c r="O172" i="9" s="1"/>
  <c r="D164" i="18"/>
  <c r="O175" i="9" s="1"/>
  <c r="D168" i="18"/>
  <c r="O179" i="9" s="1"/>
  <c r="D162" i="18"/>
  <c r="O173" i="9" s="1"/>
  <c r="D160" i="18"/>
  <c r="O171" i="9" s="1"/>
  <c r="D159" i="18"/>
  <c r="O170" i="9" s="1"/>
  <c r="F128" i="18" l="1"/>
  <c r="F128" i="6" s="1"/>
  <c r="G31" i="13"/>
  <c r="G152" i="13"/>
  <c r="G119" i="13"/>
  <c r="G53" i="13"/>
  <c r="G141" i="13"/>
  <c r="G64" i="6"/>
  <c r="G59" i="6" s="1"/>
  <c r="G75" i="13"/>
  <c r="F151" i="17"/>
  <c r="F151" i="13" s="1"/>
  <c r="G86" i="13"/>
  <c r="G42" i="13"/>
  <c r="G9" i="12"/>
  <c r="F8" i="17"/>
  <c r="F8" i="13" s="1"/>
  <c r="F129" i="17"/>
  <c r="F140" i="18"/>
  <c r="F140" i="6" s="1"/>
  <c r="G64" i="13"/>
  <c r="F63" i="17"/>
  <c r="F63" i="13" s="1"/>
  <c r="F30" i="17"/>
  <c r="F30" i="13" s="1"/>
  <c r="F85" i="17"/>
  <c r="F85" i="13" s="1"/>
  <c r="G9" i="6"/>
  <c r="G4" i="6" s="1"/>
  <c r="G42" i="6"/>
  <c r="G37" i="6" s="1"/>
  <c r="G127" i="13"/>
  <c r="G86" i="6"/>
  <c r="G81" i="6" s="1"/>
  <c r="G119" i="6"/>
  <c r="G114" i="6" s="1"/>
  <c r="G75" i="12"/>
  <c r="F41" i="18"/>
  <c r="F41" i="6" s="1"/>
  <c r="G129" i="13"/>
  <c r="G42" i="12"/>
  <c r="F118" i="17"/>
  <c r="F118" i="13" s="1"/>
  <c r="F129" i="18"/>
  <c r="G141" i="6"/>
  <c r="G136" i="6" s="1"/>
  <c r="G86" i="12"/>
  <c r="G132" i="12"/>
  <c r="F41" i="17"/>
  <c r="F41" i="13" s="1"/>
  <c r="G31" i="6"/>
  <c r="G26" i="6" s="1"/>
  <c r="F30" i="18"/>
  <c r="F30" i="6" s="1"/>
  <c r="G126" i="6"/>
  <c r="G108" i="13"/>
  <c r="F140" i="17"/>
  <c r="F140" i="13" s="1"/>
  <c r="G75" i="6"/>
  <c r="G70" i="6" s="1"/>
  <c r="G129" i="6"/>
  <c r="G108" i="12"/>
  <c r="F107" i="18"/>
  <c r="F107" i="6" s="1"/>
  <c r="F118" i="18"/>
  <c r="F118" i="6" s="1"/>
  <c r="F128" i="17"/>
  <c r="G119" i="12"/>
  <c r="F74" i="17"/>
  <c r="F74" i="13" s="1"/>
  <c r="F8" i="18"/>
  <c r="F8" i="6" s="1"/>
  <c r="F151" i="18"/>
  <c r="F151" i="6" s="1"/>
  <c r="F74" i="18"/>
  <c r="F74" i="6" s="1"/>
  <c r="G152" i="6"/>
  <c r="G147" i="6" s="1"/>
  <c r="F52" i="17"/>
  <c r="F52" i="13" s="1"/>
  <c r="F107" i="17"/>
  <c r="F107" i="13" s="1"/>
  <c r="F63" i="18"/>
  <c r="F63" i="6" s="1"/>
  <c r="F52" i="18"/>
  <c r="F85" i="18"/>
  <c r="F85" i="6" s="1"/>
  <c r="G128" i="6"/>
  <c r="G133" i="6"/>
  <c r="G132" i="6"/>
  <c r="G152" i="12"/>
  <c r="G127" i="6"/>
  <c r="G128" i="13"/>
  <c r="G133" i="13"/>
  <c r="G127" i="12"/>
  <c r="G128" i="12"/>
  <c r="G133" i="12"/>
  <c r="G52" i="6"/>
  <c r="G53" i="6" s="1"/>
  <c r="G64" i="12"/>
  <c r="G9" i="13"/>
  <c r="G141" i="12"/>
  <c r="G126" i="13"/>
  <c r="G129" i="12"/>
  <c r="G52" i="12"/>
  <c r="G108" i="6"/>
  <c r="G103" i="6" s="1"/>
  <c r="G31" i="12"/>
  <c r="G126" i="12"/>
  <c r="G132" i="13"/>
  <c r="F134" i="6"/>
  <c r="F156" i="6"/>
  <c r="F168" i="6"/>
  <c r="F150" i="16"/>
  <c r="F150" i="12" s="1"/>
  <c r="F7" i="16"/>
  <c r="F7" i="12" s="1"/>
  <c r="F84" i="16"/>
  <c r="F84" i="12" s="1"/>
  <c r="F84" i="17"/>
  <c r="F84" i="13" s="1"/>
  <c r="F73" i="17"/>
  <c r="F73" i="13" s="1"/>
  <c r="F139" i="17"/>
  <c r="F139" i="13" s="1"/>
  <c r="F85" i="16"/>
  <c r="F85" i="12" s="1"/>
  <c r="F151" i="16"/>
  <c r="F151" i="12" s="1"/>
  <c r="F118" i="16"/>
  <c r="F118" i="12" s="1"/>
  <c r="F29" i="18"/>
  <c r="F29" i="6" s="1"/>
  <c r="F84" i="18"/>
  <c r="F84" i="6" s="1"/>
  <c r="F40" i="16"/>
  <c r="F40" i="12" s="1"/>
  <c r="F51" i="16"/>
  <c r="F51" i="12" s="1"/>
  <c r="F128" i="16"/>
  <c r="F164" i="12"/>
  <c r="F117" i="17"/>
  <c r="F117" i="13" s="1"/>
  <c r="F150" i="17"/>
  <c r="F150" i="13" s="1"/>
  <c r="F7" i="17"/>
  <c r="F7" i="13" s="1"/>
  <c r="F63" i="16"/>
  <c r="F63" i="12" s="1"/>
  <c r="F140" i="16"/>
  <c r="F140" i="12" s="1"/>
  <c r="F41" i="16"/>
  <c r="F41" i="12" s="1"/>
  <c r="F139" i="18"/>
  <c r="F139" i="6" s="1"/>
  <c r="F73" i="18"/>
  <c r="F73" i="6" s="1"/>
  <c r="F117" i="18"/>
  <c r="F117" i="6" s="1"/>
  <c r="F106" i="16"/>
  <c r="F106" i="12" s="1"/>
  <c r="F73" i="16"/>
  <c r="F73" i="12" s="1"/>
  <c r="F117" i="16"/>
  <c r="F117" i="12" s="1"/>
  <c r="F168" i="13"/>
  <c r="F51" i="17"/>
  <c r="F51" i="13" s="1"/>
  <c r="F29" i="17"/>
  <c r="F29" i="13" s="1"/>
  <c r="F62" i="17"/>
  <c r="F62" i="13" s="1"/>
  <c r="F30" i="16"/>
  <c r="F30" i="12" s="1"/>
  <c r="F107" i="16"/>
  <c r="F107" i="12" s="1"/>
  <c r="F74" i="16"/>
  <c r="F74" i="12" s="1"/>
  <c r="F164" i="6"/>
  <c r="F51" i="18"/>
  <c r="F51" i="6" s="1"/>
  <c r="F150" i="18"/>
  <c r="F150" i="6" s="1"/>
  <c r="F62" i="18"/>
  <c r="F62" i="6" s="1"/>
  <c r="F168" i="12"/>
  <c r="F139" i="16"/>
  <c r="F139" i="12" s="1"/>
  <c r="F29" i="16"/>
  <c r="F29" i="12" s="1"/>
  <c r="F62" i="16"/>
  <c r="F62" i="12" s="1"/>
  <c r="F40" i="17"/>
  <c r="F40" i="13" s="1"/>
  <c r="F106" i="17"/>
  <c r="F106" i="13" s="1"/>
  <c r="F8" i="16"/>
  <c r="F8" i="12" s="1"/>
  <c r="F129" i="16"/>
  <c r="F52" i="16"/>
  <c r="F7" i="18"/>
  <c r="F7" i="6" s="1"/>
  <c r="F40" i="18"/>
  <c r="F40" i="6" s="1"/>
  <c r="F106" i="18"/>
  <c r="F106" i="6" s="1"/>
  <c r="F164" i="13"/>
  <c r="E131" i="17"/>
  <c r="E131" i="13" s="1"/>
  <c r="E153" i="17"/>
  <c r="E153" i="13" s="1"/>
  <c r="E32" i="17"/>
  <c r="E32" i="13" s="1"/>
  <c r="E142" i="17"/>
  <c r="E142" i="13" s="1"/>
  <c r="E21" i="17"/>
  <c r="E21" i="13" s="1"/>
  <c r="E120" i="17"/>
  <c r="E120" i="13" s="1"/>
  <c r="E109" i="17"/>
  <c r="E109" i="13" s="1"/>
  <c r="E43" i="17"/>
  <c r="E43" i="13" s="1"/>
  <c r="E54" i="17"/>
  <c r="E54" i="13" s="1"/>
  <c r="E10" i="17"/>
  <c r="E10" i="13" s="1"/>
  <c r="E76" i="17"/>
  <c r="E76" i="13" s="1"/>
  <c r="E65" i="17"/>
  <c r="E65" i="13" s="1"/>
  <c r="E98" i="17"/>
  <c r="E98" i="13" s="1"/>
  <c r="E87" i="17"/>
  <c r="E87" i="13" s="1"/>
  <c r="P175" i="11"/>
  <c r="E72" i="17"/>
  <c r="E72" i="13" s="1"/>
  <c r="E105" i="17"/>
  <c r="E105" i="13" s="1"/>
  <c r="E50" i="17"/>
  <c r="E50" i="13" s="1"/>
  <c r="E28" i="17"/>
  <c r="E28" i="13" s="1"/>
  <c r="E149" i="17"/>
  <c r="E149" i="13" s="1"/>
  <c r="E39" i="17"/>
  <c r="E39" i="13" s="1"/>
  <c r="E83" i="17"/>
  <c r="E83" i="13" s="1"/>
  <c r="E6" i="17"/>
  <c r="E6" i="13" s="1"/>
  <c r="E127" i="17"/>
  <c r="E116" i="17"/>
  <c r="E116" i="13" s="1"/>
  <c r="E61" i="17"/>
  <c r="E61" i="13" s="1"/>
  <c r="E138" i="17"/>
  <c r="E138" i="13" s="1"/>
  <c r="P171" i="11"/>
  <c r="E137" i="18"/>
  <c r="E38" i="18"/>
  <c r="E38" i="6" s="1"/>
  <c r="E148" i="18"/>
  <c r="E148" i="6" s="1"/>
  <c r="E104" i="18"/>
  <c r="E104" i="6" s="1"/>
  <c r="E126" i="18"/>
  <c r="E115" i="18"/>
  <c r="E115" i="6" s="1"/>
  <c r="E27" i="18"/>
  <c r="E27" i="6" s="1"/>
  <c r="E71" i="18"/>
  <c r="E71" i="6" s="1"/>
  <c r="E49" i="18"/>
  <c r="E49" i="6" s="1"/>
  <c r="E82" i="18"/>
  <c r="E82" i="6" s="1"/>
  <c r="E5" i="18"/>
  <c r="E5" i="6" s="1"/>
  <c r="E60" i="18"/>
  <c r="E60" i="6" s="1"/>
  <c r="P170" i="9"/>
  <c r="E124" i="18"/>
  <c r="E124" i="6" s="1"/>
  <c r="E80" i="18"/>
  <c r="E80" i="6" s="1"/>
  <c r="E91" i="18"/>
  <c r="E91" i="6" s="1"/>
  <c r="E113" i="18"/>
  <c r="E113" i="6" s="1"/>
  <c r="E146" i="18"/>
  <c r="E146" i="6" s="1"/>
  <c r="E25" i="18"/>
  <c r="E25" i="6" s="1"/>
  <c r="E102" i="18"/>
  <c r="E102" i="6" s="1"/>
  <c r="E36" i="18"/>
  <c r="E36" i="6" s="1"/>
  <c r="E47" i="18"/>
  <c r="E47" i="6" s="1"/>
  <c r="E135" i="18"/>
  <c r="E135" i="6" s="1"/>
  <c r="E69" i="18"/>
  <c r="E69" i="6" s="1"/>
  <c r="E157" i="18"/>
  <c r="E157" i="6" s="1"/>
  <c r="E14" i="18"/>
  <c r="E14" i="6" s="1"/>
  <c r="E58" i="18"/>
  <c r="E58" i="6" s="1"/>
  <c r="P179" i="9"/>
  <c r="E108" i="16"/>
  <c r="E9" i="16"/>
  <c r="E141" i="16"/>
  <c r="E42" i="16"/>
  <c r="E31" i="16"/>
  <c r="E53" i="16"/>
  <c r="E130" i="16"/>
  <c r="E152" i="16"/>
  <c r="E75" i="16"/>
  <c r="E97" i="16"/>
  <c r="E64" i="16"/>
  <c r="E20" i="16"/>
  <c r="E86" i="16"/>
  <c r="E119" i="16"/>
  <c r="P174" i="10"/>
  <c r="P172" i="10"/>
  <c r="P176" i="9"/>
  <c r="E88" i="18"/>
  <c r="E88" i="6" s="1"/>
  <c r="E44" i="18"/>
  <c r="E44" i="6" s="1"/>
  <c r="E77" i="18"/>
  <c r="E77" i="6" s="1"/>
  <c r="E66" i="18"/>
  <c r="E66" i="6" s="1"/>
  <c r="E154" i="18"/>
  <c r="E154" i="6" s="1"/>
  <c r="E33" i="18"/>
  <c r="E33" i="6" s="1"/>
  <c r="E110" i="18"/>
  <c r="E110" i="6" s="1"/>
  <c r="E55" i="18"/>
  <c r="E55" i="6" s="1"/>
  <c r="E121" i="18"/>
  <c r="E121" i="6" s="1"/>
  <c r="E11" i="18"/>
  <c r="E11" i="6" s="1"/>
  <c r="E143" i="18"/>
  <c r="E143" i="6" s="1"/>
  <c r="O171" i="11"/>
  <c r="D39" i="17"/>
  <c r="D39" i="13" s="1"/>
  <c r="D28" i="17"/>
  <c r="D28" i="13" s="1"/>
  <c r="D6" i="17"/>
  <c r="D6" i="13" s="1"/>
  <c r="D149" i="17"/>
  <c r="D149" i="13" s="1"/>
  <c r="D50" i="17"/>
  <c r="D50" i="13" s="1"/>
  <c r="D61" i="17"/>
  <c r="D61" i="13" s="1"/>
  <c r="D127" i="17"/>
  <c r="D72" i="17"/>
  <c r="D72" i="13" s="1"/>
  <c r="D116" i="17"/>
  <c r="D116" i="13" s="1"/>
  <c r="D105" i="17"/>
  <c r="D105" i="13" s="1"/>
  <c r="D138" i="17"/>
  <c r="D138" i="13" s="1"/>
  <c r="D83" i="17"/>
  <c r="D83" i="13" s="1"/>
  <c r="O178" i="11"/>
  <c r="D101" i="17"/>
  <c r="D101" i="13" s="1"/>
  <c r="D46" i="17"/>
  <c r="D46" i="13" s="1"/>
  <c r="D13" i="17"/>
  <c r="D13" i="13" s="1"/>
  <c r="D68" i="17"/>
  <c r="D68" i="13" s="1"/>
  <c r="D90" i="17"/>
  <c r="D90" i="13" s="1"/>
  <c r="D134" i="17"/>
  <c r="D134" i="13" s="1"/>
  <c r="D35" i="17"/>
  <c r="D35" i="13" s="1"/>
  <c r="D57" i="17"/>
  <c r="D57" i="13" s="1"/>
  <c r="D112" i="17"/>
  <c r="D112" i="13" s="1"/>
  <c r="D79" i="17"/>
  <c r="D79" i="13" s="1"/>
  <c r="D156" i="17"/>
  <c r="D156" i="13" s="1"/>
  <c r="D145" i="17"/>
  <c r="D145" i="13" s="1"/>
  <c r="D123" i="17"/>
  <c r="D123" i="13" s="1"/>
  <c r="P173" i="11"/>
  <c r="E137" i="17"/>
  <c r="E137" i="13" s="1"/>
  <c r="E126" i="17"/>
  <c r="E71" i="17"/>
  <c r="E71" i="13" s="1"/>
  <c r="E148" i="17"/>
  <c r="E148" i="13" s="1"/>
  <c r="E104" i="17"/>
  <c r="E104" i="13" s="1"/>
  <c r="E49" i="17"/>
  <c r="E49" i="13" s="1"/>
  <c r="E27" i="17"/>
  <c r="E27" i="13" s="1"/>
  <c r="E5" i="17"/>
  <c r="E5" i="13" s="1"/>
  <c r="E38" i="17"/>
  <c r="E38" i="13" s="1"/>
  <c r="E115" i="17"/>
  <c r="E115" i="13" s="1"/>
  <c r="E60" i="17"/>
  <c r="E60" i="13" s="1"/>
  <c r="E82" i="17"/>
  <c r="E82" i="13" s="1"/>
  <c r="P170" i="11"/>
  <c r="E86" i="18"/>
  <c r="E64" i="18"/>
  <c r="E141" i="18"/>
  <c r="E20" i="18"/>
  <c r="E9" i="18"/>
  <c r="E75" i="18"/>
  <c r="E42" i="18"/>
  <c r="E119" i="18"/>
  <c r="E31" i="18"/>
  <c r="E53" i="18"/>
  <c r="E130" i="18"/>
  <c r="E97" i="18"/>
  <c r="E152" i="18"/>
  <c r="E108" i="18"/>
  <c r="P174" i="9"/>
  <c r="E153" i="18"/>
  <c r="E153" i="6" s="1"/>
  <c r="E109" i="18"/>
  <c r="E109" i="6" s="1"/>
  <c r="E131" i="18"/>
  <c r="E131" i="6" s="1"/>
  <c r="E98" i="18"/>
  <c r="E98" i="6" s="1"/>
  <c r="E43" i="18"/>
  <c r="E43" i="6" s="1"/>
  <c r="E32" i="18"/>
  <c r="E32" i="6" s="1"/>
  <c r="E87" i="18"/>
  <c r="E87" i="6" s="1"/>
  <c r="E54" i="18"/>
  <c r="E54" i="6" s="1"/>
  <c r="E10" i="18"/>
  <c r="E10" i="6" s="1"/>
  <c r="E76" i="18"/>
  <c r="E76" i="6" s="1"/>
  <c r="E120" i="18"/>
  <c r="E120" i="6" s="1"/>
  <c r="E142" i="18"/>
  <c r="E142" i="6" s="1"/>
  <c r="E65" i="18"/>
  <c r="E65" i="6" s="1"/>
  <c r="E21" i="18"/>
  <c r="E21" i="6" s="1"/>
  <c r="P175" i="9"/>
  <c r="E6" i="16"/>
  <c r="E6" i="12" s="1"/>
  <c r="E116" i="16"/>
  <c r="E116" i="12" s="1"/>
  <c r="E105" i="16"/>
  <c r="E105" i="12" s="1"/>
  <c r="E72" i="16"/>
  <c r="E72" i="12" s="1"/>
  <c r="E83" i="16"/>
  <c r="E83" i="12" s="1"/>
  <c r="E127" i="16"/>
  <c r="E50" i="16"/>
  <c r="E50" i="12" s="1"/>
  <c r="E28" i="16"/>
  <c r="E28" i="12" s="1"/>
  <c r="E138" i="16"/>
  <c r="E138" i="12" s="1"/>
  <c r="E61" i="16"/>
  <c r="E61" i="12" s="1"/>
  <c r="E39" i="16"/>
  <c r="E39" i="12" s="1"/>
  <c r="E149" i="16"/>
  <c r="E149" i="12" s="1"/>
  <c r="P171" i="10"/>
  <c r="E115" i="16"/>
  <c r="E115" i="12" s="1"/>
  <c r="E82" i="16"/>
  <c r="E82" i="12" s="1"/>
  <c r="E27" i="16"/>
  <c r="E27" i="12" s="1"/>
  <c r="E38" i="16"/>
  <c r="E38" i="12" s="1"/>
  <c r="E60" i="16"/>
  <c r="E60" i="12" s="1"/>
  <c r="E148" i="16"/>
  <c r="E148" i="12" s="1"/>
  <c r="E137" i="16"/>
  <c r="E137" i="12" s="1"/>
  <c r="E71" i="16"/>
  <c r="E71" i="12" s="1"/>
  <c r="E49" i="16"/>
  <c r="E49" i="12" s="1"/>
  <c r="E126" i="16"/>
  <c r="E104" i="16"/>
  <c r="E104" i="12" s="1"/>
  <c r="E5" i="16"/>
  <c r="E5" i="12" s="1"/>
  <c r="P170" i="10"/>
  <c r="P176" i="11"/>
  <c r="E132" i="17"/>
  <c r="E143" i="17"/>
  <c r="E143" i="13" s="1"/>
  <c r="E154" i="17"/>
  <c r="E154" i="13" s="1"/>
  <c r="E110" i="17"/>
  <c r="E110" i="13" s="1"/>
  <c r="E88" i="17"/>
  <c r="E88" i="13" s="1"/>
  <c r="E121" i="17"/>
  <c r="E121" i="13" s="1"/>
  <c r="E66" i="17"/>
  <c r="E66" i="13" s="1"/>
  <c r="E77" i="17"/>
  <c r="E77" i="13" s="1"/>
  <c r="E11" i="17"/>
  <c r="E11" i="13" s="1"/>
  <c r="E55" i="17"/>
  <c r="E55" i="13" s="1"/>
  <c r="E33" i="17"/>
  <c r="E33" i="13" s="1"/>
  <c r="E44" i="17"/>
  <c r="E44" i="13" s="1"/>
  <c r="O175" i="11"/>
  <c r="D32" i="17"/>
  <c r="D32" i="13" s="1"/>
  <c r="D43" i="17"/>
  <c r="D43" i="13" s="1"/>
  <c r="D98" i="17"/>
  <c r="D98" i="13" s="1"/>
  <c r="D10" i="17"/>
  <c r="D10" i="13" s="1"/>
  <c r="D109" i="17"/>
  <c r="D109" i="13" s="1"/>
  <c r="D54" i="17"/>
  <c r="D54" i="13" s="1"/>
  <c r="D153" i="17"/>
  <c r="D153" i="13" s="1"/>
  <c r="D120" i="17"/>
  <c r="D120" i="13" s="1"/>
  <c r="D21" i="17"/>
  <c r="D21" i="13" s="1"/>
  <c r="D65" i="17"/>
  <c r="D65" i="13" s="1"/>
  <c r="D131" i="17"/>
  <c r="D131" i="13" s="1"/>
  <c r="D87" i="17"/>
  <c r="D87" i="13" s="1"/>
  <c r="D76" i="17"/>
  <c r="D76" i="13" s="1"/>
  <c r="D142" i="17"/>
  <c r="D142" i="13" s="1"/>
  <c r="O174" i="11"/>
  <c r="D130" i="17"/>
  <c r="D9" i="17"/>
  <c r="D86" i="17"/>
  <c r="D53" i="17"/>
  <c r="D20" i="17"/>
  <c r="D42" i="17"/>
  <c r="D152" i="17"/>
  <c r="D75" i="17"/>
  <c r="D119" i="17"/>
  <c r="D64" i="17"/>
  <c r="D31" i="17"/>
  <c r="D141" i="17"/>
  <c r="D108" i="17"/>
  <c r="D97" i="17"/>
  <c r="D11" i="16"/>
  <c r="D11" i="12" s="1"/>
  <c r="D77" i="16"/>
  <c r="D77" i="12" s="1"/>
  <c r="D33" i="16"/>
  <c r="D33" i="12" s="1"/>
  <c r="D154" i="16"/>
  <c r="D154" i="12" s="1"/>
  <c r="D110" i="16"/>
  <c r="D110" i="12" s="1"/>
  <c r="D143" i="16"/>
  <c r="D143" i="12" s="1"/>
  <c r="D66" i="16"/>
  <c r="D66" i="12" s="1"/>
  <c r="D44" i="16"/>
  <c r="D44" i="12" s="1"/>
  <c r="D121" i="16"/>
  <c r="D121" i="12" s="1"/>
  <c r="D55" i="16"/>
  <c r="D55" i="12" s="1"/>
  <c r="D88" i="16"/>
  <c r="D88" i="12" s="1"/>
  <c r="P172" i="11"/>
  <c r="E102" i="17"/>
  <c r="E102" i="13" s="1"/>
  <c r="E157" i="17"/>
  <c r="E157" i="13" s="1"/>
  <c r="E47" i="17"/>
  <c r="E47" i="13" s="1"/>
  <c r="E14" i="17"/>
  <c r="E14" i="13" s="1"/>
  <c r="E25" i="17"/>
  <c r="E25" i="13" s="1"/>
  <c r="E146" i="17"/>
  <c r="E146" i="13" s="1"/>
  <c r="E91" i="17"/>
  <c r="E91" i="13" s="1"/>
  <c r="E69" i="17"/>
  <c r="E69" i="13" s="1"/>
  <c r="E58" i="17"/>
  <c r="E58" i="13" s="1"/>
  <c r="E135" i="17"/>
  <c r="E135" i="13" s="1"/>
  <c r="E80" i="17"/>
  <c r="E80" i="13" s="1"/>
  <c r="E124" i="17"/>
  <c r="E124" i="13" s="1"/>
  <c r="E113" i="17"/>
  <c r="E113" i="13" s="1"/>
  <c r="E36" i="17"/>
  <c r="E36" i="13" s="1"/>
  <c r="P179" i="11"/>
  <c r="E127" i="18"/>
  <c r="E105" i="18"/>
  <c r="E105" i="6" s="1"/>
  <c r="E39" i="18"/>
  <c r="E39" i="6" s="1"/>
  <c r="E83" i="18"/>
  <c r="E83" i="6" s="1"/>
  <c r="E149" i="18"/>
  <c r="E149" i="6" s="1"/>
  <c r="E28" i="18"/>
  <c r="E28" i="6" s="1"/>
  <c r="E72" i="18"/>
  <c r="E72" i="6" s="1"/>
  <c r="E138" i="18"/>
  <c r="E138" i="6" s="1"/>
  <c r="E61" i="18"/>
  <c r="E61" i="6" s="1"/>
  <c r="E116" i="18"/>
  <c r="E116" i="6" s="1"/>
  <c r="E6" i="18"/>
  <c r="E6" i="6" s="1"/>
  <c r="E50" i="18"/>
  <c r="E50" i="6" s="1"/>
  <c r="P171" i="9"/>
  <c r="P172" i="9"/>
  <c r="P173" i="10"/>
  <c r="E135" i="16"/>
  <c r="E135" i="12" s="1"/>
  <c r="E124" i="16"/>
  <c r="E124" i="12" s="1"/>
  <c r="E113" i="16"/>
  <c r="E113" i="12" s="1"/>
  <c r="E58" i="16"/>
  <c r="E58" i="12" s="1"/>
  <c r="E157" i="16"/>
  <c r="E157" i="12" s="1"/>
  <c r="E36" i="16"/>
  <c r="E36" i="12" s="1"/>
  <c r="E47" i="16"/>
  <c r="E47" i="12" s="1"/>
  <c r="E25" i="16"/>
  <c r="E25" i="12" s="1"/>
  <c r="E91" i="16"/>
  <c r="E91" i="12" s="1"/>
  <c r="E69" i="16"/>
  <c r="E69" i="12" s="1"/>
  <c r="E80" i="16"/>
  <c r="E80" i="12" s="1"/>
  <c r="E146" i="16"/>
  <c r="E146" i="12" s="1"/>
  <c r="E102" i="16"/>
  <c r="E102" i="12" s="1"/>
  <c r="E14" i="16"/>
  <c r="E14" i="12" s="1"/>
  <c r="P179" i="10"/>
  <c r="O170" i="11"/>
  <c r="D60" i="17"/>
  <c r="D60" i="13" s="1"/>
  <c r="D115" i="17"/>
  <c r="D115" i="13" s="1"/>
  <c r="D38" i="17"/>
  <c r="D38" i="13" s="1"/>
  <c r="D137" i="17"/>
  <c r="D137" i="13" s="1"/>
  <c r="D71" i="17"/>
  <c r="D71" i="13" s="1"/>
  <c r="D27" i="17"/>
  <c r="D27" i="13" s="1"/>
  <c r="D49" i="17"/>
  <c r="D49" i="13" s="1"/>
  <c r="D82" i="17"/>
  <c r="D82" i="13" s="1"/>
  <c r="D5" i="17"/>
  <c r="D5" i="13" s="1"/>
  <c r="D126" i="17"/>
  <c r="D148" i="17"/>
  <c r="D148" i="13" s="1"/>
  <c r="D104" i="17"/>
  <c r="D104" i="13" s="1"/>
  <c r="O179" i="11"/>
  <c r="D146" i="17"/>
  <c r="D146" i="13" s="1"/>
  <c r="D14" i="17"/>
  <c r="D14" i="13" s="1"/>
  <c r="D69" i="17"/>
  <c r="D69" i="13" s="1"/>
  <c r="D135" i="17"/>
  <c r="D135" i="13" s="1"/>
  <c r="D47" i="17"/>
  <c r="D47" i="13" s="1"/>
  <c r="D80" i="17"/>
  <c r="D80" i="13" s="1"/>
  <c r="D157" i="17"/>
  <c r="D157" i="13" s="1"/>
  <c r="D91" i="17"/>
  <c r="D91" i="13" s="1"/>
  <c r="D124" i="17"/>
  <c r="D124" i="13" s="1"/>
  <c r="D102" i="17"/>
  <c r="D102" i="13" s="1"/>
  <c r="D113" i="17"/>
  <c r="D113" i="13" s="1"/>
  <c r="D58" i="17"/>
  <c r="D58" i="13" s="1"/>
  <c r="D36" i="17"/>
  <c r="D36" i="13" s="1"/>
  <c r="D25" i="17"/>
  <c r="D25" i="13" s="1"/>
  <c r="D88" i="17"/>
  <c r="D88" i="13" s="1"/>
  <c r="D143" i="17"/>
  <c r="D143" i="13" s="1"/>
  <c r="D66" i="17"/>
  <c r="D66" i="13" s="1"/>
  <c r="D77" i="17"/>
  <c r="D77" i="13" s="1"/>
  <c r="D110" i="17"/>
  <c r="D110" i="13" s="1"/>
  <c r="D11" i="17"/>
  <c r="D11" i="13" s="1"/>
  <c r="D121" i="17"/>
  <c r="D121" i="13" s="1"/>
  <c r="D33" i="17"/>
  <c r="D33" i="13" s="1"/>
  <c r="D44" i="17"/>
  <c r="D44" i="13" s="1"/>
  <c r="D154" i="17"/>
  <c r="D154" i="13" s="1"/>
  <c r="D55" i="17"/>
  <c r="D55" i="13" s="1"/>
  <c r="E57" i="17"/>
  <c r="E57" i="13" s="1"/>
  <c r="E134" i="17"/>
  <c r="E134" i="13" s="1"/>
  <c r="E35" i="17"/>
  <c r="E35" i="13" s="1"/>
  <c r="E13" i="17"/>
  <c r="E13" i="13" s="1"/>
  <c r="E123" i="17"/>
  <c r="E123" i="13" s="1"/>
  <c r="E112" i="17"/>
  <c r="E112" i="13" s="1"/>
  <c r="E79" i="17"/>
  <c r="E79" i="13" s="1"/>
  <c r="E68" i="17"/>
  <c r="E68" i="13" s="1"/>
  <c r="E156" i="17"/>
  <c r="E156" i="13" s="1"/>
  <c r="E46" i="17"/>
  <c r="E46" i="13" s="1"/>
  <c r="E145" i="17"/>
  <c r="E145" i="13" s="1"/>
  <c r="E101" i="17"/>
  <c r="E101" i="13" s="1"/>
  <c r="E90" i="17"/>
  <c r="E90" i="13" s="1"/>
  <c r="P178" i="11"/>
  <c r="E152" i="17"/>
  <c r="E9" i="17"/>
  <c r="E130" i="17"/>
  <c r="E42" i="17"/>
  <c r="E20" i="17"/>
  <c r="E119" i="17"/>
  <c r="E64" i="17"/>
  <c r="E141" i="17"/>
  <c r="E108" i="17"/>
  <c r="E75" i="17"/>
  <c r="E53" i="17"/>
  <c r="E31" i="17"/>
  <c r="E97" i="17"/>
  <c r="E86" i="17"/>
  <c r="P174" i="11"/>
  <c r="E134" i="18"/>
  <c r="E145" i="18"/>
  <c r="E145" i="6" s="1"/>
  <c r="E46" i="18"/>
  <c r="E46" i="6" s="1"/>
  <c r="E13" i="18"/>
  <c r="E13" i="6" s="1"/>
  <c r="E79" i="18"/>
  <c r="E79" i="6" s="1"/>
  <c r="E101" i="18"/>
  <c r="E101" i="6" s="1"/>
  <c r="E123" i="18"/>
  <c r="E123" i="6" s="1"/>
  <c r="E57" i="18"/>
  <c r="E57" i="6" s="1"/>
  <c r="E90" i="18"/>
  <c r="E90" i="6" s="1"/>
  <c r="E35" i="18"/>
  <c r="E35" i="6" s="1"/>
  <c r="E156" i="18"/>
  <c r="E68" i="18"/>
  <c r="E68" i="6" s="1"/>
  <c r="E112" i="18"/>
  <c r="E112" i="6" s="1"/>
  <c r="P178" i="9"/>
  <c r="P173" i="9"/>
  <c r="E10" i="16"/>
  <c r="E10" i="12" s="1"/>
  <c r="E98" i="16"/>
  <c r="E98" i="12" s="1"/>
  <c r="E76" i="16"/>
  <c r="E76" i="12" s="1"/>
  <c r="E153" i="16"/>
  <c r="E153" i="12" s="1"/>
  <c r="E32" i="16"/>
  <c r="E32" i="12" s="1"/>
  <c r="E87" i="16"/>
  <c r="E87" i="12" s="1"/>
  <c r="E43" i="16"/>
  <c r="E43" i="12" s="1"/>
  <c r="E65" i="16"/>
  <c r="E65" i="12" s="1"/>
  <c r="E131" i="16"/>
  <c r="E131" i="12" s="1"/>
  <c r="E109" i="16"/>
  <c r="E109" i="12" s="1"/>
  <c r="E54" i="16"/>
  <c r="E54" i="12" s="1"/>
  <c r="E120" i="16"/>
  <c r="E120" i="12" s="1"/>
  <c r="E21" i="16"/>
  <c r="E21" i="12" s="1"/>
  <c r="E142" i="16"/>
  <c r="E142" i="12" s="1"/>
  <c r="P175" i="10"/>
  <c r="E132" i="16"/>
  <c r="P176" i="10"/>
  <c r="E154" i="16"/>
  <c r="E154" i="12" s="1"/>
  <c r="E55" i="16"/>
  <c r="E55" i="12" s="1"/>
  <c r="E77" i="16"/>
  <c r="E77" i="12" s="1"/>
  <c r="E143" i="16"/>
  <c r="E143" i="12" s="1"/>
  <c r="E110" i="16"/>
  <c r="E110" i="12" s="1"/>
  <c r="E66" i="16"/>
  <c r="E66" i="12" s="1"/>
  <c r="E33" i="16"/>
  <c r="E33" i="12" s="1"/>
  <c r="E121" i="16"/>
  <c r="E121" i="12" s="1"/>
  <c r="E11" i="16"/>
  <c r="E11" i="12" s="1"/>
  <c r="E44" i="16"/>
  <c r="E44" i="12" s="1"/>
  <c r="E88" i="16"/>
  <c r="E88" i="12" s="1"/>
  <c r="O172" i="11"/>
  <c r="O173" i="11"/>
  <c r="D137" i="18"/>
  <c r="D137" i="6" s="1"/>
  <c r="D148" i="18"/>
  <c r="D148" i="6" s="1"/>
  <c r="D5" i="18"/>
  <c r="D5" i="6" s="1"/>
  <c r="D82" i="18"/>
  <c r="D82" i="6" s="1"/>
  <c r="D115" i="18"/>
  <c r="D38" i="18"/>
  <c r="D38" i="6" s="1"/>
  <c r="D104" i="18"/>
  <c r="D104" i="6" s="1"/>
  <c r="D49" i="18"/>
  <c r="D49" i="6" s="1"/>
  <c r="D27" i="18"/>
  <c r="D27" i="6" s="1"/>
  <c r="D126" i="18"/>
  <c r="D60" i="18"/>
  <c r="D60" i="6" s="1"/>
  <c r="D71" i="18"/>
  <c r="D71" i="6" s="1"/>
  <c r="D83" i="18"/>
  <c r="D83" i="6" s="1"/>
  <c r="D149" i="18"/>
  <c r="D149" i="6" s="1"/>
  <c r="D105" i="18"/>
  <c r="D105" i="6" s="1"/>
  <c r="D116" i="18"/>
  <c r="D116" i="6" s="1"/>
  <c r="D39" i="18"/>
  <c r="D39" i="6" s="1"/>
  <c r="D28" i="18"/>
  <c r="D28" i="6" s="1"/>
  <c r="D50" i="18"/>
  <c r="D50" i="6" s="1"/>
  <c r="D72" i="18"/>
  <c r="D72" i="6" s="1"/>
  <c r="D127" i="18"/>
  <c r="D61" i="18"/>
  <c r="D61" i="6" s="1"/>
  <c r="D138" i="18"/>
  <c r="D138" i="6" s="1"/>
  <c r="D6" i="18"/>
  <c r="D6" i="6" s="1"/>
  <c r="D135" i="18"/>
  <c r="D135" i="6" s="1"/>
  <c r="D146" i="18"/>
  <c r="D146" i="6" s="1"/>
  <c r="D36" i="18"/>
  <c r="D36" i="6" s="1"/>
  <c r="D14" i="18"/>
  <c r="D14" i="6" s="1"/>
  <c r="D69" i="18"/>
  <c r="D69" i="6" s="1"/>
  <c r="D58" i="18"/>
  <c r="D58" i="6" s="1"/>
  <c r="D113" i="18"/>
  <c r="D113" i="6" s="1"/>
  <c r="D80" i="18"/>
  <c r="D80" i="6" s="1"/>
  <c r="D157" i="18"/>
  <c r="D157" i="6" s="1"/>
  <c r="D47" i="18"/>
  <c r="D47" i="6" s="1"/>
  <c r="D91" i="18"/>
  <c r="D91" i="6" s="1"/>
  <c r="D25" i="18"/>
  <c r="D25" i="6" s="1"/>
  <c r="D102" i="18"/>
  <c r="D102" i="6" s="1"/>
  <c r="D124" i="18"/>
  <c r="D124" i="6" s="1"/>
  <c r="D109" i="18"/>
  <c r="D109" i="6" s="1"/>
  <c r="D10" i="18"/>
  <c r="D10" i="6" s="1"/>
  <c r="D153" i="18"/>
  <c r="D153" i="6" s="1"/>
  <c r="D32" i="18"/>
  <c r="D32" i="6" s="1"/>
  <c r="D54" i="18"/>
  <c r="D54" i="6" s="1"/>
  <c r="D43" i="18"/>
  <c r="D43" i="6" s="1"/>
  <c r="D131" i="18"/>
  <c r="D131" i="6" s="1"/>
  <c r="D142" i="18"/>
  <c r="D142" i="6" s="1"/>
  <c r="D21" i="18"/>
  <c r="D21" i="6" s="1"/>
  <c r="D120" i="18"/>
  <c r="D120" i="6" s="1"/>
  <c r="D87" i="18"/>
  <c r="D87" i="6" s="1"/>
  <c r="D98" i="18"/>
  <c r="D98" i="6" s="1"/>
  <c r="D65" i="18"/>
  <c r="D65" i="6" s="1"/>
  <c r="D76" i="18"/>
  <c r="D76" i="6" s="1"/>
  <c r="D97" i="18"/>
  <c r="D152" i="18"/>
  <c r="D64" i="18"/>
  <c r="D20" i="18"/>
  <c r="D53" i="18"/>
  <c r="D141" i="18"/>
  <c r="D108" i="18"/>
  <c r="D42" i="18"/>
  <c r="D9" i="18"/>
  <c r="D75" i="18"/>
  <c r="D130" i="18"/>
  <c r="D119" i="18"/>
  <c r="D31" i="18"/>
  <c r="D86" i="18"/>
  <c r="D90" i="18"/>
  <c r="D90" i="6" s="1"/>
  <c r="D46" i="18"/>
  <c r="D46" i="6" s="1"/>
  <c r="D112" i="18"/>
  <c r="D112" i="6" s="1"/>
  <c r="D68" i="18"/>
  <c r="D68" i="6" s="1"/>
  <c r="D134" i="18"/>
  <c r="D57" i="18"/>
  <c r="D57" i="6" s="1"/>
  <c r="D101" i="18"/>
  <c r="D101" i="6" s="1"/>
  <c r="D13" i="18"/>
  <c r="D13" i="6" s="1"/>
  <c r="D156" i="18"/>
  <c r="D123" i="18"/>
  <c r="D123" i="6" s="1"/>
  <c r="D145" i="18"/>
  <c r="D145" i="6" s="1"/>
  <c r="D35" i="18"/>
  <c r="D35" i="6" s="1"/>
  <c r="D79" i="18"/>
  <c r="D79" i="6" s="1"/>
  <c r="D124" i="16"/>
  <c r="D124" i="12" s="1"/>
  <c r="D47" i="16"/>
  <c r="D47" i="12" s="1"/>
  <c r="D69" i="16"/>
  <c r="D69" i="12" s="1"/>
  <c r="D80" i="16"/>
  <c r="D80" i="12" s="1"/>
  <c r="D135" i="16"/>
  <c r="D135" i="12" s="1"/>
  <c r="D113" i="16"/>
  <c r="D113" i="12" s="1"/>
  <c r="D14" i="16"/>
  <c r="D14" i="12" s="1"/>
  <c r="D157" i="16"/>
  <c r="D157" i="12" s="1"/>
  <c r="D58" i="16"/>
  <c r="D58" i="12" s="1"/>
  <c r="D146" i="16"/>
  <c r="D146" i="12" s="1"/>
  <c r="D91" i="16"/>
  <c r="D91" i="12" s="1"/>
  <c r="D36" i="16"/>
  <c r="D36" i="12" s="1"/>
  <c r="D25" i="16"/>
  <c r="D25" i="12" s="1"/>
  <c r="D102" i="16"/>
  <c r="D102" i="12" s="1"/>
  <c r="O171" i="10"/>
  <c r="D149" i="16"/>
  <c r="D149" i="12" s="1"/>
  <c r="D61" i="16"/>
  <c r="D61" i="12" s="1"/>
  <c r="D28" i="16"/>
  <c r="D28" i="12" s="1"/>
  <c r="D50" i="16"/>
  <c r="D50" i="12" s="1"/>
  <c r="D6" i="16"/>
  <c r="D6" i="12" s="1"/>
  <c r="D116" i="16"/>
  <c r="D116" i="12" s="1"/>
  <c r="D83" i="16"/>
  <c r="D83" i="12" s="1"/>
  <c r="D72" i="16"/>
  <c r="D72" i="12" s="1"/>
  <c r="D105" i="16"/>
  <c r="D105" i="12" s="1"/>
  <c r="D138" i="16"/>
  <c r="D138" i="12" s="1"/>
  <c r="D127" i="16"/>
  <c r="D39" i="16"/>
  <c r="D39" i="12" s="1"/>
  <c r="D9" i="16"/>
  <c r="D97" i="16"/>
  <c r="D130" i="16"/>
  <c r="D119" i="16"/>
  <c r="D152" i="16"/>
  <c r="D53" i="16"/>
  <c r="D31" i="16"/>
  <c r="D20" i="16"/>
  <c r="D108" i="16"/>
  <c r="D64" i="16"/>
  <c r="D75" i="16"/>
  <c r="D86" i="16"/>
  <c r="D42" i="16"/>
  <c r="D141" i="16"/>
  <c r="D120" i="16"/>
  <c r="D120" i="12" s="1"/>
  <c r="D21" i="16"/>
  <c r="D21" i="12" s="1"/>
  <c r="D87" i="16"/>
  <c r="D87" i="12" s="1"/>
  <c r="D54" i="16"/>
  <c r="D54" i="12" s="1"/>
  <c r="D32" i="16"/>
  <c r="D32" i="12" s="1"/>
  <c r="D109" i="16"/>
  <c r="D109" i="12" s="1"/>
  <c r="D131" i="16"/>
  <c r="D131" i="12" s="1"/>
  <c r="D142" i="16"/>
  <c r="D142" i="12" s="1"/>
  <c r="D76" i="16"/>
  <c r="D76" i="12" s="1"/>
  <c r="D10" i="16"/>
  <c r="D10" i="12" s="1"/>
  <c r="D65" i="16"/>
  <c r="D65" i="12" s="1"/>
  <c r="D153" i="16"/>
  <c r="D153" i="12" s="1"/>
  <c r="D98" i="16"/>
  <c r="D98" i="12" s="1"/>
  <c r="D43" i="16"/>
  <c r="D43" i="12" s="1"/>
  <c r="O170" i="10"/>
  <c r="D137" i="16"/>
  <c r="D137" i="12" s="1"/>
  <c r="D49" i="16"/>
  <c r="D49" i="12" s="1"/>
  <c r="D27" i="16"/>
  <c r="D27" i="12" s="1"/>
  <c r="D104" i="16"/>
  <c r="D104" i="12" s="1"/>
  <c r="D126" i="16"/>
  <c r="D148" i="16"/>
  <c r="D148" i="12" s="1"/>
  <c r="D38" i="16"/>
  <c r="D38" i="12" s="1"/>
  <c r="D115" i="16"/>
  <c r="D115" i="12" s="1"/>
  <c r="D82" i="16"/>
  <c r="D82" i="12" s="1"/>
  <c r="D60" i="16"/>
  <c r="D60" i="12" s="1"/>
  <c r="D5" i="16"/>
  <c r="D5" i="12" s="1"/>
  <c r="D71" i="16"/>
  <c r="D71" i="12" s="1"/>
  <c r="O176" i="9"/>
  <c r="D33" i="18"/>
  <c r="D33" i="6" s="1"/>
  <c r="D55" i="18"/>
  <c r="D55" i="6" s="1"/>
  <c r="D121" i="18"/>
  <c r="D121" i="6" s="1"/>
  <c r="D110" i="18"/>
  <c r="D110" i="6" s="1"/>
  <c r="D44" i="18"/>
  <c r="D44" i="6" s="1"/>
  <c r="D66" i="18"/>
  <c r="D66" i="6" s="1"/>
  <c r="D11" i="18"/>
  <c r="D11" i="6" s="1"/>
  <c r="D143" i="18"/>
  <c r="D143" i="6" s="1"/>
  <c r="D154" i="18"/>
  <c r="D154" i="6" s="1"/>
  <c r="D88" i="18"/>
  <c r="D88" i="6" s="1"/>
  <c r="D77" i="18"/>
  <c r="D77" i="6" s="1"/>
  <c r="D132" i="16"/>
  <c r="O176" i="10"/>
  <c r="O176" i="11"/>
  <c r="D132" i="17"/>
  <c r="C165" i="17"/>
  <c r="C165" i="16"/>
  <c r="C165" i="18"/>
  <c r="C160" i="16"/>
  <c r="C168" i="16"/>
  <c r="C163" i="16"/>
  <c r="C164" i="16"/>
  <c r="C162" i="16"/>
  <c r="C161" i="16"/>
  <c r="C159" i="16"/>
  <c r="C162" i="18"/>
  <c r="C167" i="18"/>
  <c r="C163" i="18"/>
  <c r="C161" i="18"/>
  <c r="C160" i="18"/>
  <c r="C168" i="18"/>
  <c r="C164" i="18"/>
  <c r="C159" i="18"/>
  <c r="C159" i="17"/>
  <c r="C168" i="17"/>
  <c r="C163" i="17"/>
  <c r="C164" i="17"/>
  <c r="C167" i="17"/>
  <c r="C161" i="17"/>
  <c r="N178" i="10"/>
  <c r="C162" i="17"/>
  <c r="C160" i="17"/>
  <c r="F132" i="6" l="1"/>
  <c r="F52" i="6"/>
  <c r="F53" i="6" s="1"/>
  <c r="F48" i="6" s="1"/>
  <c r="F42" i="6"/>
  <c r="F37" i="6" s="1"/>
  <c r="K156" i="16"/>
  <c r="K156" i="12" s="1"/>
  <c r="K134" i="16"/>
  <c r="K134" i="12" s="1"/>
  <c r="K112" i="16"/>
  <c r="K112" i="12" s="1"/>
  <c r="K68" i="16"/>
  <c r="K68" i="12" s="1"/>
  <c r="K46" i="16"/>
  <c r="K46" i="12" s="1"/>
  <c r="K123" i="16"/>
  <c r="K123" i="12" s="1"/>
  <c r="K79" i="16"/>
  <c r="K79" i="12" s="1"/>
  <c r="K145" i="16"/>
  <c r="K145" i="12" s="1"/>
  <c r="K13" i="16"/>
  <c r="K13" i="12" s="1"/>
  <c r="K101" i="16"/>
  <c r="K101" i="12" s="1"/>
  <c r="K90" i="16"/>
  <c r="K90" i="12" s="1"/>
  <c r="K35" i="16"/>
  <c r="K35" i="12" s="1"/>
  <c r="K57" i="16"/>
  <c r="K57" i="12" s="1"/>
  <c r="F141" i="6"/>
  <c r="F136" i="6" s="1"/>
  <c r="F108" i="13"/>
  <c r="E128" i="17"/>
  <c r="E128" i="13" s="1"/>
  <c r="F126" i="6"/>
  <c r="F152" i="6"/>
  <c r="F147" i="6" s="1"/>
  <c r="F64" i="6"/>
  <c r="F59" i="6" s="1"/>
  <c r="F126" i="13"/>
  <c r="F152" i="13"/>
  <c r="F64" i="13"/>
  <c r="F75" i="6"/>
  <c r="F70" i="6" s="1"/>
  <c r="G130" i="6"/>
  <c r="D128" i="17"/>
  <c r="F119" i="6"/>
  <c r="F114" i="6" s="1"/>
  <c r="D129" i="17"/>
  <c r="E85" i="16"/>
  <c r="E85" i="12" s="1"/>
  <c r="F86" i="13"/>
  <c r="E151" i="18"/>
  <c r="E151" i="6" s="1"/>
  <c r="E129" i="16"/>
  <c r="F108" i="6"/>
  <c r="F103" i="6" s="1"/>
  <c r="F31" i="6"/>
  <c r="F26" i="6" s="1"/>
  <c r="F31" i="13"/>
  <c r="E63" i="18"/>
  <c r="E63" i="6" s="1"/>
  <c r="F86" i="6"/>
  <c r="F81" i="6" s="1"/>
  <c r="F119" i="13"/>
  <c r="D151" i="17"/>
  <c r="D151" i="13" s="1"/>
  <c r="D139" i="17"/>
  <c r="D139" i="13" s="1"/>
  <c r="D52" i="17"/>
  <c r="D52" i="13" s="1"/>
  <c r="E85" i="18"/>
  <c r="E85" i="6" s="1"/>
  <c r="E73" i="17"/>
  <c r="E73" i="13" s="1"/>
  <c r="F9" i="12"/>
  <c r="F9" i="6"/>
  <c r="F4" i="6" s="1"/>
  <c r="F42" i="13"/>
  <c r="F53" i="13"/>
  <c r="F133" i="6"/>
  <c r="D150" i="17"/>
  <c r="D150" i="13" s="1"/>
  <c r="E118" i="18"/>
  <c r="E118" i="6" s="1"/>
  <c r="F127" i="6"/>
  <c r="F129" i="6"/>
  <c r="F130" i="6" s="1"/>
  <c r="F141" i="13"/>
  <c r="D40" i="17"/>
  <c r="D40" i="13" s="1"/>
  <c r="G130" i="13"/>
  <c r="D8" i="17"/>
  <c r="D8" i="13" s="1"/>
  <c r="E41" i="18"/>
  <c r="E41" i="6" s="1"/>
  <c r="E62" i="17"/>
  <c r="E62" i="13" s="1"/>
  <c r="D129" i="18"/>
  <c r="D41" i="17"/>
  <c r="D41" i="13" s="1"/>
  <c r="E150" i="17"/>
  <c r="E150" i="13" s="1"/>
  <c r="F152" i="12"/>
  <c r="E62" i="18"/>
  <c r="E62" i="6" s="1"/>
  <c r="E129" i="18"/>
  <c r="E74" i="18"/>
  <c r="E74" i="6" s="1"/>
  <c r="E52" i="16"/>
  <c r="F133" i="13"/>
  <c r="D63" i="17"/>
  <c r="D63" i="13" s="1"/>
  <c r="D40" i="18"/>
  <c r="D40" i="6" s="1"/>
  <c r="D118" i="18"/>
  <c r="D118" i="6" s="1"/>
  <c r="D30" i="17"/>
  <c r="D30" i="13" s="1"/>
  <c r="D140" i="17"/>
  <c r="D140" i="13" s="1"/>
  <c r="D51" i="17"/>
  <c r="D51" i="13" s="1"/>
  <c r="D29" i="17"/>
  <c r="D29" i="13" s="1"/>
  <c r="E107" i="18"/>
  <c r="E107" i="6" s="1"/>
  <c r="E107" i="16"/>
  <c r="E107" i="12" s="1"/>
  <c r="F132" i="13"/>
  <c r="F129" i="13"/>
  <c r="F75" i="13"/>
  <c r="F128" i="13"/>
  <c r="D7" i="18"/>
  <c r="D7" i="6" s="1"/>
  <c r="D62" i="17"/>
  <c r="D62" i="13" s="1"/>
  <c r="E30" i="18"/>
  <c r="E30" i="6" s="1"/>
  <c r="E151" i="16"/>
  <c r="E151" i="12" s="1"/>
  <c r="E41" i="16"/>
  <c r="E41" i="12" s="1"/>
  <c r="E84" i="17"/>
  <c r="E84" i="13" s="1"/>
  <c r="F129" i="12"/>
  <c r="F127" i="13"/>
  <c r="E128" i="18"/>
  <c r="D139" i="18"/>
  <c r="D139" i="6" s="1"/>
  <c r="D74" i="17"/>
  <c r="D74" i="13" s="1"/>
  <c r="D73" i="17"/>
  <c r="D73" i="13" s="1"/>
  <c r="D106" i="17"/>
  <c r="D106" i="13" s="1"/>
  <c r="E8" i="18"/>
  <c r="E8" i="6" s="1"/>
  <c r="E63" i="16"/>
  <c r="E63" i="12" s="1"/>
  <c r="E73" i="18"/>
  <c r="E73" i="6" s="1"/>
  <c r="E40" i="17"/>
  <c r="E40" i="13" s="1"/>
  <c r="E30" i="16"/>
  <c r="E30" i="12" s="1"/>
  <c r="E74" i="16"/>
  <c r="E74" i="12" s="1"/>
  <c r="E40" i="18"/>
  <c r="E40" i="6" s="1"/>
  <c r="E106" i="17"/>
  <c r="E106" i="13" s="1"/>
  <c r="E7" i="17"/>
  <c r="E7" i="13" s="1"/>
  <c r="F42" i="12"/>
  <c r="D29" i="18"/>
  <c r="D29" i="6" s="1"/>
  <c r="D85" i="17"/>
  <c r="D85" i="13" s="1"/>
  <c r="D117" i="17"/>
  <c r="D117" i="13" s="1"/>
  <c r="E118" i="16"/>
  <c r="E118" i="12" s="1"/>
  <c r="E7" i="18"/>
  <c r="E7" i="6" s="1"/>
  <c r="E139" i="17"/>
  <c r="E139" i="13" s="1"/>
  <c r="E106" i="18"/>
  <c r="E106" i="6" s="1"/>
  <c r="F75" i="12"/>
  <c r="E29" i="18"/>
  <c r="E29" i="6" s="1"/>
  <c r="E117" i="18"/>
  <c r="E117" i="6" s="1"/>
  <c r="D106" i="18"/>
  <c r="D106" i="6" s="1"/>
  <c r="D62" i="18"/>
  <c r="D62" i="6" s="1"/>
  <c r="D151" i="18"/>
  <c r="D151" i="6" s="1"/>
  <c r="D107" i="17"/>
  <c r="D107" i="13" s="1"/>
  <c r="D84" i="17"/>
  <c r="D84" i="13" s="1"/>
  <c r="E52" i="18"/>
  <c r="E84" i="18"/>
  <c r="E84" i="6" s="1"/>
  <c r="E51" i="18"/>
  <c r="E51" i="6" s="1"/>
  <c r="E117" i="17"/>
  <c r="E117" i="13" s="1"/>
  <c r="D129" i="16"/>
  <c r="D51" i="18"/>
  <c r="D51" i="6" s="1"/>
  <c r="D73" i="18"/>
  <c r="D73" i="6" s="1"/>
  <c r="D30" i="18"/>
  <c r="D30" i="6" s="1"/>
  <c r="D118" i="17"/>
  <c r="D118" i="13" s="1"/>
  <c r="D7" i="17"/>
  <c r="D7" i="13" s="1"/>
  <c r="E8" i="16"/>
  <c r="E8" i="12" s="1"/>
  <c r="E140" i="16"/>
  <c r="E140" i="12" s="1"/>
  <c r="E150" i="18"/>
  <c r="E150" i="6" s="1"/>
  <c r="E51" i="17"/>
  <c r="E51" i="13" s="1"/>
  <c r="E29" i="17"/>
  <c r="E29" i="13" s="1"/>
  <c r="D150" i="18"/>
  <c r="D150" i="6" s="1"/>
  <c r="D84" i="18"/>
  <c r="D84" i="6" s="1"/>
  <c r="D74" i="18"/>
  <c r="D74" i="6" s="1"/>
  <c r="G48" i="6"/>
  <c r="F132" i="12"/>
  <c r="G53" i="12"/>
  <c r="G130" i="12"/>
  <c r="E52" i="17"/>
  <c r="E52" i="13" s="1"/>
  <c r="F52" i="12"/>
  <c r="F108" i="12"/>
  <c r="F126" i="12"/>
  <c r="F128" i="12"/>
  <c r="F133" i="12"/>
  <c r="F127" i="12"/>
  <c r="F64" i="12"/>
  <c r="F9" i="13"/>
  <c r="D85" i="18"/>
  <c r="D85" i="6" s="1"/>
  <c r="D140" i="18"/>
  <c r="D140" i="6" s="1"/>
  <c r="E74" i="17"/>
  <c r="E74" i="13" s="1"/>
  <c r="F119" i="12"/>
  <c r="F86" i="12"/>
  <c r="D8" i="18"/>
  <c r="D8" i="6" s="1"/>
  <c r="D41" i="18"/>
  <c r="D41" i="6" s="1"/>
  <c r="D107" i="18"/>
  <c r="D107" i="6" s="1"/>
  <c r="E139" i="18"/>
  <c r="E139" i="6" s="1"/>
  <c r="E118" i="17"/>
  <c r="E118" i="13" s="1"/>
  <c r="F31" i="12"/>
  <c r="F141" i="12"/>
  <c r="D168" i="12"/>
  <c r="D128" i="16"/>
  <c r="D128" i="12" s="1"/>
  <c r="D62" i="16"/>
  <c r="D62" i="12" s="1"/>
  <c r="D40" i="16"/>
  <c r="D40" i="12" s="1"/>
  <c r="D107" i="16"/>
  <c r="D107" i="12" s="1"/>
  <c r="D41" i="16"/>
  <c r="D41" i="12" s="1"/>
  <c r="E164" i="12"/>
  <c r="D168" i="13"/>
  <c r="E129" i="17"/>
  <c r="E63" i="17"/>
  <c r="E63" i="13" s="1"/>
  <c r="E140" i="17"/>
  <c r="E140" i="13" s="1"/>
  <c r="E40" i="16"/>
  <c r="E40" i="12" s="1"/>
  <c r="E51" i="16"/>
  <c r="E51" i="12" s="1"/>
  <c r="E150" i="16"/>
  <c r="E150" i="12" s="1"/>
  <c r="E168" i="6"/>
  <c r="D7" i="16"/>
  <c r="D7" i="12" s="1"/>
  <c r="D106" i="16"/>
  <c r="D106" i="12" s="1"/>
  <c r="D139" i="16"/>
  <c r="D139" i="12" s="1"/>
  <c r="D85" i="16"/>
  <c r="D85" i="12" s="1"/>
  <c r="D118" i="16"/>
  <c r="D118" i="12" s="1"/>
  <c r="D151" i="16"/>
  <c r="D151" i="12" s="1"/>
  <c r="E41" i="17"/>
  <c r="E41" i="13" s="1"/>
  <c r="E85" i="17"/>
  <c r="E85" i="13" s="1"/>
  <c r="E139" i="16"/>
  <c r="E139" i="12" s="1"/>
  <c r="E29" i="16"/>
  <c r="E29" i="12" s="1"/>
  <c r="E73" i="16"/>
  <c r="E73" i="12" s="1"/>
  <c r="D29" i="16"/>
  <c r="D29" i="12" s="1"/>
  <c r="D84" i="16"/>
  <c r="D84" i="12" s="1"/>
  <c r="D117" i="16"/>
  <c r="D117" i="12" s="1"/>
  <c r="D63" i="16"/>
  <c r="D63" i="12" s="1"/>
  <c r="D30" i="16"/>
  <c r="D30" i="12" s="1"/>
  <c r="D52" i="16"/>
  <c r="D164" i="6"/>
  <c r="D168" i="6"/>
  <c r="D52" i="18"/>
  <c r="D63" i="18"/>
  <c r="D63" i="6" s="1"/>
  <c r="E151" i="17"/>
  <c r="E151" i="13" s="1"/>
  <c r="E128" i="16"/>
  <c r="E62" i="16"/>
  <c r="E62" i="12" s="1"/>
  <c r="E117" i="16"/>
  <c r="E117" i="12" s="1"/>
  <c r="E164" i="13"/>
  <c r="D150" i="16"/>
  <c r="D150" i="12" s="1"/>
  <c r="D73" i="16"/>
  <c r="D73" i="12" s="1"/>
  <c r="D51" i="16"/>
  <c r="D51" i="12" s="1"/>
  <c r="D8" i="16"/>
  <c r="D8" i="12" s="1"/>
  <c r="D140" i="16"/>
  <c r="D140" i="12" s="1"/>
  <c r="D74" i="16"/>
  <c r="D74" i="12" s="1"/>
  <c r="E156" i="6"/>
  <c r="E134" i="6"/>
  <c r="E168" i="12"/>
  <c r="E168" i="13"/>
  <c r="D164" i="13"/>
  <c r="E164" i="6"/>
  <c r="E107" i="17"/>
  <c r="E107" i="13" s="1"/>
  <c r="E30" i="17"/>
  <c r="E30" i="13" s="1"/>
  <c r="E8" i="17"/>
  <c r="E8" i="13" s="1"/>
  <c r="E7" i="16"/>
  <c r="E7" i="12" s="1"/>
  <c r="E106" i="16"/>
  <c r="E106" i="12" s="1"/>
  <c r="E84" i="16"/>
  <c r="E84" i="12" s="1"/>
  <c r="E140" i="18"/>
  <c r="E140" i="6" s="1"/>
  <c r="E137" i="6"/>
  <c r="D164" i="12"/>
  <c r="D156" i="6"/>
  <c r="D134" i="6"/>
  <c r="D128" i="18"/>
  <c r="D117" i="18"/>
  <c r="D117" i="6" s="1"/>
  <c r="D115" i="6"/>
  <c r="N172" i="11"/>
  <c r="C135" i="17"/>
  <c r="C135" i="13" s="1"/>
  <c r="C80" i="17"/>
  <c r="C80" i="13" s="1"/>
  <c r="C36" i="17"/>
  <c r="C36" i="13" s="1"/>
  <c r="C102" i="17"/>
  <c r="C102" i="13" s="1"/>
  <c r="C47" i="17"/>
  <c r="C47" i="13" s="1"/>
  <c r="C69" i="17"/>
  <c r="C69" i="13" s="1"/>
  <c r="C146" i="17"/>
  <c r="C146" i="13" s="1"/>
  <c r="C157" i="17"/>
  <c r="C157" i="13" s="1"/>
  <c r="C14" i="17"/>
  <c r="C14" i="13" s="1"/>
  <c r="C58" i="17"/>
  <c r="C58" i="13" s="1"/>
  <c r="C124" i="17"/>
  <c r="C124" i="13" s="1"/>
  <c r="C91" i="17"/>
  <c r="C91" i="13" s="1"/>
  <c r="C25" i="17"/>
  <c r="C25" i="13" s="1"/>
  <c r="C113" i="17"/>
  <c r="C113" i="13" s="1"/>
  <c r="N179" i="11"/>
  <c r="C113" i="18"/>
  <c r="C113" i="6" s="1"/>
  <c r="C80" i="18"/>
  <c r="C80" i="6" s="1"/>
  <c r="C69" i="18"/>
  <c r="C69" i="6" s="1"/>
  <c r="C135" i="18"/>
  <c r="C135" i="6" s="1"/>
  <c r="C157" i="18"/>
  <c r="C157" i="6" s="1"/>
  <c r="C14" i="18"/>
  <c r="C14" i="6" s="1"/>
  <c r="C102" i="18"/>
  <c r="C102" i="6" s="1"/>
  <c r="C25" i="18"/>
  <c r="C25" i="6" s="1"/>
  <c r="C91" i="18"/>
  <c r="C91" i="6" s="1"/>
  <c r="C58" i="18"/>
  <c r="C58" i="6" s="1"/>
  <c r="C36" i="18"/>
  <c r="C36" i="6" s="1"/>
  <c r="C146" i="18"/>
  <c r="C146" i="6" s="1"/>
  <c r="C124" i="18"/>
  <c r="C124" i="6" s="1"/>
  <c r="C47" i="18"/>
  <c r="C47" i="6" s="1"/>
  <c r="N179" i="9"/>
  <c r="C145" i="18"/>
  <c r="C145" i="6" s="1"/>
  <c r="C46" i="18"/>
  <c r="C46" i="6" s="1"/>
  <c r="C101" i="18"/>
  <c r="C101" i="6" s="1"/>
  <c r="C112" i="18"/>
  <c r="C112" i="6" s="1"/>
  <c r="C90" i="18"/>
  <c r="C90" i="6" s="1"/>
  <c r="C13" i="18"/>
  <c r="C13" i="6" s="1"/>
  <c r="C79" i="18"/>
  <c r="C79" i="6" s="1"/>
  <c r="C134" i="18"/>
  <c r="C156" i="18"/>
  <c r="C35" i="18"/>
  <c r="C35" i="6" s="1"/>
  <c r="C57" i="18"/>
  <c r="C57" i="6" s="1"/>
  <c r="C123" i="18"/>
  <c r="C123" i="6" s="1"/>
  <c r="C68" i="18"/>
  <c r="C68" i="6" s="1"/>
  <c r="N178" i="9"/>
  <c r="N173" i="10"/>
  <c r="C116" i="16"/>
  <c r="C116" i="12" s="1"/>
  <c r="C127" i="16"/>
  <c r="C28" i="16"/>
  <c r="C28" i="12" s="1"/>
  <c r="C138" i="16"/>
  <c r="C138" i="12" s="1"/>
  <c r="C6" i="16"/>
  <c r="C6" i="12" s="1"/>
  <c r="C105" i="16"/>
  <c r="C105" i="12" s="1"/>
  <c r="C72" i="16"/>
  <c r="C72" i="12" s="1"/>
  <c r="C50" i="16"/>
  <c r="C50" i="12" s="1"/>
  <c r="C61" i="16"/>
  <c r="C61" i="12" s="1"/>
  <c r="C149" i="16"/>
  <c r="C149" i="12" s="1"/>
  <c r="C39" i="16"/>
  <c r="C39" i="12" s="1"/>
  <c r="C83" i="16"/>
  <c r="C83" i="12" s="1"/>
  <c r="N171" i="10"/>
  <c r="C105" i="17"/>
  <c r="C105" i="13" s="1"/>
  <c r="C149" i="17"/>
  <c r="C149" i="13" s="1"/>
  <c r="C6" i="17"/>
  <c r="C6" i="13" s="1"/>
  <c r="C28" i="17"/>
  <c r="C28" i="13" s="1"/>
  <c r="C127" i="17"/>
  <c r="C50" i="17"/>
  <c r="C50" i="13" s="1"/>
  <c r="C39" i="17"/>
  <c r="C39" i="13" s="1"/>
  <c r="C72" i="17"/>
  <c r="C72" i="13" s="1"/>
  <c r="C138" i="17"/>
  <c r="C138" i="13" s="1"/>
  <c r="C61" i="17"/>
  <c r="C61" i="13" s="1"/>
  <c r="C116" i="17"/>
  <c r="C116" i="13" s="1"/>
  <c r="C83" i="17"/>
  <c r="C83" i="13" s="1"/>
  <c r="N171" i="11"/>
  <c r="C145" i="17"/>
  <c r="C145" i="13" s="1"/>
  <c r="C112" i="17"/>
  <c r="C112" i="13" s="1"/>
  <c r="C123" i="17"/>
  <c r="C123" i="13" s="1"/>
  <c r="C35" i="17"/>
  <c r="C35" i="13" s="1"/>
  <c r="C134" i="17"/>
  <c r="C134" i="13" s="1"/>
  <c r="C46" i="17"/>
  <c r="C46" i="13" s="1"/>
  <c r="C13" i="17"/>
  <c r="C13" i="13" s="1"/>
  <c r="C101" i="17"/>
  <c r="C101" i="13" s="1"/>
  <c r="C156" i="17"/>
  <c r="C156" i="13" s="1"/>
  <c r="C90" i="17"/>
  <c r="C90" i="13" s="1"/>
  <c r="C57" i="17"/>
  <c r="C57" i="13" s="1"/>
  <c r="C79" i="17"/>
  <c r="C79" i="13" s="1"/>
  <c r="C68" i="17"/>
  <c r="C68" i="13" s="1"/>
  <c r="N178" i="11"/>
  <c r="C148" i="17"/>
  <c r="C148" i="13" s="1"/>
  <c r="C126" i="17"/>
  <c r="C38" i="17"/>
  <c r="C38" i="13" s="1"/>
  <c r="C115" i="17"/>
  <c r="C115" i="13" s="1"/>
  <c r="C82" i="17"/>
  <c r="C82" i="13" s="1"/>
  <c r="C60" i="17"/>
  <c r="C60" i="13" s="1"/>
  <c r="C137" i="17"/>
  <c r="C137" i="13" s="1"/>
  <c r="C27" i="17"/>
  <c r="C27" i="13" s="1"/>
  <c r="C104" i="17"/>
  <c r="C104" i="13" s="1"/>
  <c r="C5" i="17"/>
  <c r="C5" i="13" s="1"/>
  <c r="C49" i="17"/>
  <c r="C49" i="13" s="1"/>
  <c r="C71" i="17"/>
  <c r="C71" i="13" s="1"/>
  <c r="N170" i="11"/>
  <c r="C72" i="18"/>
  <c r="C72" i="6" s="1"/>
  <c r="C6" i="18"/>
  <c r="C6" i="6" s="1"/>
  <c r="C127" i="18"/>
  <c r="C28" i="18"/>
  <c r="C28" i="6" s="1"/>
  <c r="C149" i="18"/>
  <c r="C149" i="6" s="1"/>
  <c r="C83" i="18"/>
  <c r="C83" i="6" s="1"/>
  <c r="C138" i="18"/>
  <c r="C138" i="6" s="1"/>
  <c r="C116" i="18"/>
  <c r="C116" i="6" s="1"/>
  <c r="C61" i="18"/>
  <c r="C61" i="6" s="1"/>
  <c r="C50" i="18"/>
  <c r="C50" i="6" s="1"/>
  <c r="C105" i="18"/>
  <c r="C105" i="6" s="1"/>
  <c r="C39" i="18"/>
  <c r="C39" i="6" s="1"/>
  <c r="N171" i="9"/>
  <c r="N173" i="9"/>
  <c r="C76" i="16"/>
  <c r="C76" i="12" s="1"/>
  <c r="C98" i="16"/>
  <c r="C98" i="12" s="1"/>
  <c r="C21" i="16"/>
  <c r="C21" i="12" s="1"/>
  <c r="C153" i="16"/>
  <c r="C153" i="12" s="1"/>
  <c r="C131" i="16"/>
  <c r="C131" i="12" s="1"/>
  <c r="C120" i="16"/>
  <c r="C120" i="12" s="1"/>
  <c r="C109" i="16"/>
  <c r="C109" i="12" s="1"/>
  <c r="C10" i="16"/>
  <c r="C10" i="12" s="1"/>
  <c r="C32" i="16"/>
  <c r="C32" i="12" s="1"/>
  <c r="C54" i="16"/>
  <c r="C54" i="12" s="1"/>
  <c r="C43" i="16"/>
  <c r="C43" i="12" s="1"/>
  <c r="C142" i="16"/>
  <c r="C142" i="12" s="1"/>
  <c r="C65" i="16"/>
  <c r="C65" i="12" s="1"/>
  <c r="C87" i="16"/>
  <c r="C87" i="12" s="1"/>
  <c r="N175" i="10"/>
  <c r="N176" i="9"/>
  <c r="C88" i="18"/>
  <c r="C88" i="6" s="1"/>
  <c r="C154" i="18"/>
  <c r="C154" i="6" s="1"/>
  <c r="C11" i="18"/>
  <c r="C11" i="6" s="1"/>
  <c r="C110" i="18"/>
  <c r="C110" i="6" s="1"/>
  <c r="C33" i="18"/>
  <c r="C33" i="6" s="1"/>
  <c r="C121" i="18"/>
  <c r="C121" i="6" s="1"/>
  <c r="C143" i="18"/>
  <c r="C143" i="6" s="1"/>
  <c r="C66" i="18"/>
  <c r="C66" i="6" s="1"/>
  <c r="C44" i="18"/>
  <c r="C44" i="6" s="1"/>
  <c r="C77" i="18"/>
  <c r="C77" i="6" s="1"/>
  <c r="C55" i="18"/>
  <c r="C55" i="6" s="1"/>
  <c r="N173" i="11"/>
  <c r="C32" i="17"/>
  <c r="C32" i="13" s="1"/>
  <c r="C153" i="17"/>
  <c r="C153" i="13" s="1"/>
  <c r="C54" i="17"/>
  <c r="C54" i="13" s="1"/>
  <c r="C120" i="17"/>
  <c r="C120" i="13" s="1"/>
  <c r="C10" i="17"/>
  <c r="C10" i="13" s="1"/>
  <c r="C98" i="17"/>
  <c r="C98" i="13" s="1"/>
  <c r="C131" i="17"/>
  <c r="C131" i="13" s="1"/>
  <c r="C43" i="17"/>
  <c r="C43" i="13" s="1"/>
  <c r="C65" i="17"/>
  <c r="C65" i="13" s="1"/>
  <c r="C87" i="17"/>
  <c r="C87" i="13" s="1"/>
  <c r="C142" i="17"/>
  <c r="C142" i="13" s="1"/>
  <c r="C76" i="17"/>
  <c r="C76" i="13" s="1"/>
  <c r="C109" i="17"/>
  <c r="C109" i="13" s="1"/>
  <c r="C21" i="17"/>
  <c r="C21" i="13" s="1"/>
  <c r="N175" i="11"/>
  <c r="C82" i="18"/>
  <c r="C148" i="18"/>
  <c r="C148" i="6" s="1"/>
  <c r="C5" i="18"/>
  <c r="C5" i="6" s="1"/>
  <c r="C38" i="18"/>
  <c r="C38" i="6" s="1"/>
  <c r="C71" i="18"/>
  <c r="C71" i="6" s="1"/>
  <c r="C104" i="18"/>
  <c r="C104" i="6" s="1"/>
  <c r="C27" i="18"/>
  <c r="C27" i="6" s="1"/>
  <c r="C60" i="18"/>
  <c r="C60" i="6" s="1"/>
  <c r="C137" i="18"/>
  <c r="C137" i="6" s="1"/>
  <c r="C115" i="18"/>
  <c r="C115" i="6" s="1"/>
  <c r="C49" i="18"/>
  <c r="C49" i="6" s="1"/>
  <c r="C126" i="18"/>
  <c r="N170" i="9"/>
  <c r="N172" i="9"/>
  <c r="C38" i="16"/>
  <c r="C38" i="12" s="1"/>
  <c r="C126" i="16"/>
  <c r="C148" i="16"/>
  <c r="C148" i="12" s="1"/>
  <c r="C104" i="16"/>
  <c r="C104" i="12" s="1"/>
  <c r="C82" i="16"/>
  <c r="C82" i="12" s="1"/>
  <c r="C27" i="16"/>
  <c r="C27" i="12" s="1"/>
  <c r="C5" i="16"/>
  <c r="C5" i="12" s="1"/>
  <c r="C137" i="16"/>
  <c r="C137" i="12" s="1"/>
  <c r="C71" i="16"/>
  <c r="C71" i="12" s="1"/>
  <c r="C49" i="16"/>
  <c r="C49" i="12" s="1"/>
  <c r="C115" i="16"/>
  <c r="C115" i="12" s="1"/>
  <c r="C60" i="16"/>
  <c r="C60" i="12" s="1"/>
  <c r="N170" i="10"/>
  <c r="C152" i="16"/>
  <c r="C119" i="16"/>
  <c r="C9" i="16"/>
  <c r="C20" i="16"/>
  <c r="C86" i="16"/>
  <c r="C75" i="16"/>
  <c r="C97" i="16"/>
  <c r="C42" i="16"/>
  <c r="C64" i="16"/>
  <c r="C31" i="16"/>
  <c r="C130" i="16"/>
  <c r="C108" i="16"/>
  <c r="C141" i="16"/>
  <c r="C53" i="16"/>
  <c r="N174" i="10"/>
  <c r="C132" i="16"/>
  <c r="N176" i="10"/>
  <c r="C154" i="16"/>
  <c r="C154" i="12" s="1"/>
  <c r="C121" i="16"/>
  <c r="C121" i="12" s="1"/>
  <c r="C55" i="16"/>
  <c r="C55" i="12" s="1"/>
  <c r="C88" i="16"/>
  <c r="C88" i="12" s="1"/>
  <c r="C110" i="16"/>
  <c r="C110" i="12" s="1"/>
  <c r="C33" i="16"/>
  <c r="C33" i="12" s="1"/>
  <c r="C44" i="16"/>
  <c r="C44" i="12" s="1"/>
  <c r="C11" i="16"/>
  <c r="C11" i="12" s="1"/>
  <c r="C66" i="16"/>
  <c r="C66" i="12" s="1"/>
  <c r="C77" i="16"/>
  <c r="C77" i="12" s="1"/>
  <c r="C143" i="16"/>
  <c r="C143" i="12" s="1"/>
  <c r="C152" i="17"/>
  <c r="C108" i="17"/>
  <c r="C42" i="17"/>
  <c r="C31" i="17"/>
  <c r="C86" i="17"/>
  <c r="C119" i="17"/>
  <c r="C75" i="17"/>
  <c r="C9" i="17"/>
  <c r="C130" i="17"/>
  <c r="C64" i="17"/>
  <c r="C53" i="17"/>
  <c r="C20" i="17"/>
  <c r="C141" i="17"/>
  <c r="C97" i="17"/>
  <c r="N174" i="11"/>
  <c r="C54" i="18"/>
  <c r="C54" i="6" s="1"/>
  <c r="C153" i="18"/>
  <c r="C153" i="6" s="1"/>
  <c r="C98" i="18"/>
  <c r="C98" i="6" s="1"/>
  <c r="C10" i="18"/>
  <c r="C10" i="6" s="1"/>
  <c r="C76" i="18"/>
  <c r="C76" i="6" s="1"/>
  <c r="C43" i="18"/>
  <c r="C43" i="6" s="1"/>
  <c r="C142" i="18"/>
  <c r="C142" i="6" s="1"/>
  <c r="C131" i="18"/>
  <c r="C131" i="6" s="1"/>
  <c r="C21" i="18"/>
  <c r="C21" i="6" s="1"/>
  <c r="C87" i="18"/>
  <c r="C87" i="6" s="1"/>
  <c r="C120" i="18"/>
  <c r="C120" i="6" s="1"/>
  <c r="C109" i="18"/>
  <c r="C109" i="6" s="1"/>
  <c r="C32" i="18"/>
  <c r="C32" i="6" s="1"/>
  <c r="C65" i="18"/>
  <c r="C65" i="6" s="1"/>
  <c r="N175" i="9"/>
  <c r="C9" i="18"/>
  <c r="C64" i="18"/>
  <c r="C86" i="18"/>
  <c r="C31" i="18"/>
  <c r="C20" i="18"/>
  <c r="C152" i="18"/>
  <c r="C119" i="18"/>
  <c r="C130" i="18"/>
  <c r="C53" i="18"/>
  <c r="C97" i="18"/>
  <c r="C141" i="18"/>
  <c r="C75" i="18"/>
  <c r="C108" i="18"/>
  <c r="C42" i="18"/>
  <c r="N174" i="9"/>
  <c r="N172" i="10"/>
  <c r="C58" i="16"/>
  <c r="C58" i="12" s="1"/>
  <c r="C14" i="16"/>
  <c r="C14" i="12" s="1"/>
  <c r="C135" i="16"/>
  <c r="C135" i="12" s="1"/>
  <c r="C80" i="16"/>
  <c r="C80" i="12" s="1"/>
  <c r="C113" i="16"/>
  <c r="C113" i="12" s="1"/>
  <c r="C124" i="16"/>
  <c r="C124" i="12" s="1"/>
  <c r="C157" i="16"/>
  <c r="C157" i="12" s="1"/>
  <c r="C146" i="16"/>
  <c r="C146" i="12" s="1"/>
  <c r="C47" i="16"/>
  <c r="C47" i="12" s="1"/>
  <c r="C25" i="16"/>
  <c r="C25" i="12" s="1"/>
  <c r="C102" i="16"/>
  <c r="C102" i="12" s="1"/>
  <c r="C91" i="16"/>
  <c r="C91" i="12" s="1"/>
  <c r="C36" i="16"/>
  <c r="C36" i="12" s="1"/>
  <c r="C69" i="16"/>
  <c r="C69" i="12" s="1"/>
  <c r="N179" i="10"/>
  <c r="N176" i="11"/>
  <c r="C132" i="17"/>
  <c r="C121" i="17"/>
  <c r="C121" i="13" s="1"/>
  <c r="C33" i="17"/>
  <c r="C33" i="13" s="1"/>
  <c r="C55" i="17"/>
  <c r="C55" i="13" s="1"/>
  <c r="C11" i="17"/>
  <c r="C11" i="13" s="1"/>
  <c r="C110" i="17"/>
  <c r="C110" i="13" s="1"/>
  <c r="C143" i="17"/>
  <c r="C143" i="13" s="1"/>
  <c r="C88" i="17"/>
  <c r="C88" i="13" s="1"/>
  <c r="C77" i="17"/>
  <c r="C77" i="13" s="1"/>
  <c r="C44" i="17"/>
  <c r="C44" i="13" s="1"/>
  <c r="C154" i="17"/>
  <c r="C154" i="13" s="1"/>
  <c r="C66" i="17"/>
  <c r="C66" i="13" s="1"/>
  <c r="D52" i="6" l="1"/>
  <c r="D53" i="6" s="1"/>
  <c r="D48" i="6" s="1"/>
  <c r="E129" i="13"/>
  <c r="K11" i="18"/>
  <c r="K11" i="6" s="1"/>
  <c r="K33" i="18"/>
  <c r="K33" i="6" s="1"/>
  <c r="K77" i="18"/>
  <c r="K77" i="6" s="1"/>
  <c r="K121" i="18"/>
  <c r="K121" i="6" s="1"/>
  <c r="K132" i="16"/>
  <c r="K143" i="18"/>
  <c r="K143" i="6" s="1"/>
  <c r="K55" i="18"/>
  <c r="K55" i="6" s="1"/>
  <c r="K66" i="18"/>
  <c r="K66" i="6" s="1"/>
  <c r="K154" i="18"/>
  <c r="K154" i="6" s="1"/>
  <c r="K110" i="18"/>
  <c r="K110" i="6" s="1"/>
  <c r="K44" i="18"/>
  <c r="K44" i="6" s="1"/>
  <c r="K88" i="18"/>
  <c r="K88" i="6" s="1"/>
  <c r="K143" i="16"/>
  <c r="K143" i="12" s="1"/>
  <c r="K121" i="16"/>
  <c r="K121" i="12" s="1"/>
  <c r="K77" i="16"/>
  <c r="K77" i="12" s="1"/>
  <c r="K55" i="16"/>
  <c r="K55" i="12" s="1"/>
  <c r="K110" i="16"/>
  <c r="K110" i="12" s="1"/>
  <c r="K66" i="16"/>
  <c r="K66" i="12" s="1"/>
  <c r="K11" i="16"/>
  <c r="K11" i="12" s="1"/>
  <c r="K88" i="16"/>
  <c r="K88" i="12" s="1"/>
  <c r="K154" i="16"/>
  <c r="K154" i="12" s="1"/>
  <c r="K44" i="16"/>
  <c r="K44" i="12" s="1"/>
  <c r="K33" i="16"/>
  <c r="K33" i="12" s="1"/>
  <c r="K154" i="17"/>
  <c r="K154" i="13" s="1"/>
  <c r="K143" i="17"/>
  <c r="K143" i="13" s="1"/>
  <c r="K121" i="17"/>
  <c r="K121" i="13" s="1"/>
  <c r="K88" i="17"/>
  <c r="K88" i="13" s="1"/>
  <c r="K44" i="17"/>
  <c r="K44" i="13" s="1"/>
  <c r="K110" i="17"/>
  <c r="K110" i="13" s="1"/>
  <c r="K55" i="17"/>
  <c r="K55" i="13" s="1"/>
  <c r="K77" i="17"/>
  <c r="K77" i="13" s="1"/>
  <c r="K11" i="17"/>
  <c r="K11" i="13" s="1"/>
  <c r="K66" i="17"/>
  <c r="K66" i="13" s="1"/>
  <c r="K33" i="17"/>
  <c r="K33" i="13" s="1"/>
  <c r="E129" i="12"/>
  <c r="E64" i="6"/>
  <c r="E59" i="6" s="1"/>
  <c r="D127" i="6"/>
  <c r="E52" i="12"/>
  <c r="E75" i="13"/>
  <c r="D42" i="6"/>
  <c r="D37" i="6" s="1"/>
  <c r="G125" i="6"/>
  <c r="D133" i="13"/>
  <c r="D127" i="13"/>
  <c r="D126" i="13"/>
  <c r="D128" i="13"/>
  <c r="D129" i="13"/>
  <c r="D132" i="13"/>
  <c r="E64" i="13"/>
  <c r="E86" i="6"/>
  <c r="E81" i="6" s="1"/>
  <c r="F125" i="6"/>
  <c r="D31" i="6"/>
  <c r="D26" i="6" s="1"/>
  <c r="E119" i="13"/>
  <c r="D108" i="6"/>
  <c r="D103" i="6" s="1"/>
  <c r="E152" i="6"/>
  <c r="E147" i="6" s="1"/>
  <c r="E31" i="13"/>
  <c r="D119" i="6"/>
  <c r="D114" i="6" s="1"/>
  <c r="E75" i="6"/>
  <c r="E70" i="6" s="1"/>
  <c r="E126" i="6"/>
  <c r="D152" i="13"/>
  <c r="D53" i="13"/>
  <c r="D64" i="6"/>
  <c r="D59" i="6" s="1"/>
  <c r="D9" i="13"/>
  <c r="D141" i="13"/>
  <c r="E152" i="13"/>
  <c r="E133" i="6"/>
  <c r="E31" i="6"/>
  <c r="E26" i="6" s="1"/>
  <c r="D42" i="13"/>
  <c r="E119" i="6"/>
  <c r="E114" i="6" s="1"/>
  <c r="C117" i="16"/>
  <c r="C117" i="12" s="1"/>
  <c r="D119" i="13"/>
  <c r="E42" i="6"/>
  <c r="E37" i="6" s="1"/>
  <c r="E129" i="6"/>
  <c r="C106" i="16"/>
  <c r="C106" i="12" s="1"/>
  <c r="E132" i="6"/>
  <c r="E53" i="13"/>
  <c r="E128" i="6"/>
  <c r="E127" i="6"/>
  <c r="E42" i="13"/>
  <c r="D86" i="6"/>
  <c r="D81" i="6" s="1"/>
  <c r="D75" i="6"/>
  <c r="D70" i="6" s="1"/>
  <c r="D64" i="13"/>
  <c r="C129" i="16"/>
  <c r="D75" i="13"/>
  <c r="E141" i="12"/>
  <c r="E127" i="13"/>
  <c r="C40" i="16"/>
  <c r="C40" i="12" s="1"/>
  <c r="C7" i="16"/>
  <c r="C7" i="12" s="1"/>
  <c r="C129" i="18"/>
  <c r="E133" i="13"/>
  <c r="E42" i="12"/>
  <c r="E132" i="13"/>
  <c r="D108" i="13"/>
  <c r="D132" i="12"/>
  <c r="E9" i="6"/>
  <c r="E4" i="6" s="1"/>
  <c r="F130" i="13"/>
  <c r="C118" i="17"/>
  <c r="C118" i="13" s="1"/>
  <c r="D133" i="12"/>
  <c r="E108" i="13"/>
  <c r="D129" i="12"/>
  <c r="D9" i="6"/>
  <c r="D4" i="6" s="1"/>
  <c r="C29" i="16"/>
  <c r="C29" i="12" s="1"/>
  <c r="D126" i="12"/>
  <c r="D141" i="6"/>
  <c r="D136" i="6" s="1"/>
  <c r="E108" i="6"/>
  <c r="E103" i="6" s="1"/>
  <c r="D31" i="13"/>
  <c r="E52" i="6"/>
  <c r="E141" i="13"/>
  <c r="D86" i="13"/>
  <c r="C150" i="16"/>
  <c r="C150" i="12" s="1"/>
  <c r="C129" i="17"/>
  <c r="E64" i="12"/>
  <c r="C139" i="16"/>
  <c r="C139" i="12" s="1"/>
  <c r="C84" i="16"/>
  <c r="C84" i="12" s="1"/>
  <c r="C52" i="17"/>
  <c r="C52" i="13" s="1"/>
  <c r="E152" i="12"/>
  <c r="E86" i="13"/>
  <c r="C140" i="17"/>
  <c r="C140" i="13" s="1"/>
  <c r="C62" i="16"/>
  <c r="C62" i="12" s="1"/>
  <c r="C74" i="17"/>
  <c r="C74" i="13" s="1"/>
  <c r="C30" i="17"/>
  <c r="C30" i="13" s="1"/>
  <c r="D64" i="12"/>
  <c r="D152" i="6"/>
  <c r="D147" i="6" s="1"/>
  <c r="C51" i="18"/>
  <c r="C51" i="6" s="1"/>
  <c r="C85" i="17"/>
  <c r="C85" i="13" s="1"/>
  <c r="C107" i="17"/>
  <c r="C107" i="13" s="1"/>
  <c r="C151" i="17"/>
  <c r="C151" i="13" s="1"/>
  <c r="E127" i="12"/>
  <c r="C51" i="16"/>
  <c r="C51" i="12" s="1"/>
  <c r="C7" i="18"/>
  <c r="C7" i="6" s="1"/>
  <c r="C84" i="18"/>
  <c r="C84" i="6" s="1"/>
  <c r="D52" i="12"/>
  <c r="C128" i="16"/>
  <c r="C128" i="12" s="1"/>
  <c r="C73" i="16"/>
  <c r="C73" i="12" s="1"/>
  <c r="C139" i="18"/>
  <c r="C139" i="6" s="1"/>
  <c r="C41" i="17"/>
  <c r="C41" i="13" s="1"/>
  <c r="C63" i="17"/>
  <c r="C63" i="13" s="1"/>
  <c r="E31" i="12"/>
  <c r="C106" i="18"/>
  <c r="C106" i="6" s="1"/>
  <c r="C73" i="18"/>
  <c r="C73" i="6" s="1"/>
  <c r="C8" i="17"/>
  <c r="C8" i="13" s="1"/>
  <c r="C29" i="18"/>
  <c r="C29" i="6" s="1"/>
  <c r="E75" i="12"/>
  <c r="D9" i="12"/>
  <c r="D126" i="6"/>
  <c r="F130" i="12"/>
  <c r="F53" i="12"/>
  <c r="C62" i="18"/>
  <c r="C62" i="6" s="1"/>
  <c r="C40" i="18"/>
  <c r="C40" i="6" s="1"/>
  <c r="C150" i="18"/>
  <c r="C150" i="6" s="1"/>
  <c r="D152" i="12"/>
  <c r="E86" i="12"/>
  <c r="D119" i="12"/>
  <c r="E9" i="12"/>
  <c r="E119" i="12"/>
  <c r="E141" i="6"/>
  <c r="E136" i="6" s="1"/>
  <c r="D127" i="12"/>
  <c r="D108" i="12"/>
  <c r="C117" i="18"/>
  <c r="C117" i="6" s="1"/>
  <c r="E128" i="12"/>
  <c r="E133" i="12"/>
  <c r="D31" i="12"/>
  <c r="E108" i="12"/>
  <c r="E132" i="12"/>
  <c r="D129" i="6"/>
  <c r="D42" i="12"/>
  <c r="E9" i="13"/>
  <c r="D141" i="12"/>
  <c r="D75" i="12"/>
  <c r="D86" i="12"/>
  <c r="E126" i="13"/>
  <c r="E126" i="12"/>
  <c r="D128" i="6"/>
  <c r="D133" i="6"/>
  <c r="D132" i="6"/>
  <c r="C164" i="6"/>
  <c r="C164" i="12"/>
  <c r="C74" i="18"/>
  <c r="C74" i="6" s="1"/>
  <c r="C30" i="18"/>
  <c r="C30" i="6" s="1"/>
  <c r="C118" i="16"/>
  <c r="C118" i="12" s="1"/>
  <c r="C140" i="16"/>
  <c r="C140" i="12" s="1"/>
  <c r="C156" i="6"/>
  <c r="C134" i="6"/>
  <c r="C29" i="17"/>
  <c r="C29" i="13" s="1"/>
  <c r="C84" i="17"/>
  <c r="C84" i="13" s="1"/>
  <c r="C139" i="17"/>
  <c r="C139" i="13" s="1"/>
  <c r="C168" i="12"/>
  <c r="C85" i="18"/>
  <c r="C85" i="6" s="1"/>
  <c r="C82" i="6"/>
  <c r="C151" i="18"/>
  <c r="C151" i="6" s="1"/>
  <c r="C41" i="18"/>
  <c r="C41" i="6" s="1"/>
  <c r="C140" i="18"/>
  <c r="C140" i="6" s="1"/>
  <c r="C151" i="16"/>
  <c r="C151" i="12" s="1"/>
  <c r="C107" i="16"/>
  <c r="C107" i="12" s="1"/>
  <c r="C30" i="16"/>
  <c r="C30" i="12" s="1"/>
  <c r="C40" i="17"/>
  <c r="C40" i="13" s="1"/>
  <c r="C73" i="17"/>
  <c r="C73" i="13" s="1"/>
  <c r="C150" i="17"/>
  <c r="C150" i="13" s="1"/>
  <c r="C128" i="18"/>
  <c r="C118" i="18"/>
  <c r="C118" i="6" s="1"/>
  <c r="C8" i="18"/>
  <c r="C8" i="6" s="1"/>
  <c r="C85" i="16"/>
  <c r="C85" i="12" s="1"/>
  <c r="C52" i="16"/>
  <c r="C8" i="16"/>
  <c r="C8" i="12" s="1"/>
  <c r="C168" i="6"/>
  <c r="C168" i="13"/>
  <c r="C117" i="17"/>
  <c r="C117" i="13" s="1"/>
  <c r="C106" i="17"/>
  <c r="C106" i="13" s="1"/>
  <c r="C128" i="17"/>
  <c r="C164" i="13"/>
  <c r="C52" i="18"/>
  <c r="C63" i="18"/>
  <c r="C63" i="6" s="1"/>
  <c r="C107" i="18"/>
  <c r="C107" i="6" s="1"/>
  <c r="C74" i="16"/>
  <c r="C74" i="12" s="1"/>
  <c r="C41" i="16"/>
  <c r="C41" i="12" s="1"/>
  <c r="C63" i="16"/>
  <c r="C63" i="12" s="1"/>
  <c r="C62" i="17"/>
  <c r="C62" i="13" s="1"/>
  <c r="C7" i="17"/>
  <c r="C7" i="13" s="1"/>
  <c r="C51" i="17"/>
  <c r="C51" i="13" s="1"/>
  <c r="E53" i="12" l="1"/>
  <c r="D130" i="12"/>
  <c r="E130" i="13"/>
  <c r="K167" i="18"/>
  <c r="K57" i="18" s="1"/>
  <c r="K57" i="6" s="1"/>
  <c r="K159" i="18"/>
  <c r="K49" i="18" s="1"/>
  <c r="K163" i="18"/>
  <c r="K108" i="18" s="1"/>
  <c r="K161" i="18"/>
  <c r="K162" i="18"/>
  <c r="K160" i="18"/>
  <c r="K50" i="18" s="1"/>
  <c r="K50" i="6" s="1"/>
  <c r="K164" i="18"/>
  <c r="K43" i="18" s="1"/>
  <c r="K43" i="6" s="1"/>
  <c r="K168" i="18"/>
  <c r="K102" i="18" s="1"/>
  <c r="K102" i="6" s="1"/>
  <c r="K25" i="16"/>
  <c r="K25" i="12" s="1"/>
  <c r="K61" i="16"/>
  <c r="K61" i="12" s="1"/>
  <c r="K75" i="16"/>
  <c r="K6" i="16"/>
  <c r="K6" i="12" s="1"/>
  <c r="K124" i="16"/>
  <c r="K124" i="12" s="1"/>
  <c r="K50" i="16"/>
  <c r="K50" i="12" s="1"/>
  <c r="K47" i="16"/>
  <c r="K47" i="12" s="1"/>
  <c r="K138" i="16"/>
  <c r="K138" i="12" s="1"/>
  <c r="K9" i="16"/>
  <c r="K135" i="16"/>
  <c r="K135" i="12" s="1"/>
  <c r="K28" i="16"/>
  <c r="K28" i="12" s="1"/>
  <c r="K116" i="16"/>
  <c r="K116" i="12" s="1"/>
  <c r="K82" i="16"/>
  <c r="K82" i="12" s="1"/>
  <c r="K105" i="16"/>
  <c r="K105" i="12" s="1"/>
  <c r="K108" i="16"/>
  <c r="K65" i="16"/>
  <c r="K65" i="12" s="1"/>
  <c r="K36" i="16"/>
  <c r="K36" i="12" s="1"/>
  <c r="K97" i="17"/>
  <c r="K120" i="17"/>
  <c r="K120" i="13" s="1"/>
  <c r="K82" i="17"/>
  <c r="K112" i="17"/>
  <c r="K112" i="13" s="1"/>
  <c r="K135" i="17"/>
  <c r="K135" i="13" s="1"/>
  <c r="K116" i="17"/>
  <c r="K116" i="13" s="1"/>
  <c r="C64" i="6"/>
  <c r="C59" i="6" s="1"/>
  <c r="C141" i="6"/>
  <c r="C136" i="6" s="1"/>
  <c r="D130" i="13"/>
  <c r="C129" i="6"/>
  <c r="C108" i="6"/>
  <c r="C103" i="6" s="1"/>
  <c r="C64" i="13"/>
  <c r="C86" i="13"/>
  <c r="C129" i="12"/>
  <c r="C152" i="13"/>
  <c r="C132" i="13"/>
  <c r="D130" i="6"/>
  <c r="C108" i="13"/>
  <c r="C9" i="12"/>
  <c r="C152" i="6"/>
  <c r="C147" i="6" s="1"/>
  <c r="E130" i="6"/>
  <c r="E125" i="6" s="1"/>
  <c r="D53" i="12"/>
  <c r="C53" i="13"/>
  <c r="C119" i="13"/>
  <c r="C75" i="13"/>
  <c r="C86" i="6"/>
  <c r="C81" i="6" s="1"/>
  <c r="C75" i="6"/>
  <c r="C70" i="6" s="1"/>
  <c r="C31" i="13"/>
  <c r="C133" i="12"/>
  <c r="C126" i="12"/>
  <c r="C132" i="12"/>
  <c r="C42" i="13"/>
  <c r="C127" i="12"/>
  <c r="C31" i="6"/>
  <c r="C26" i="6" s="1"/>
  <c r="C141" i="12"/>
  <c r="C141" i="13"/>
  <c r="C129" i="13"/>
  <c r="C9" i="6"/>
  <c r="C4" i="6" s="1"/>
  <c r="E53" i="6"/>
  <c r="C42" i="6"/>
  <c r="C37" i="6" s="1"/>
  <c r="C119" i="6"/>
  <c r="C114" i="6" s="1"/>
  <c r="E130" i="12"/>
  <c r="C108" i="12"/>
  <c r="C127" i="6"/>
  <c r="C9" i="13"/>
  <c r="C42" i="12"/>
  <c r="C86" i="12"/>
  <c r="C31" i="12"/>
  <c r="C128" i="13"/>
  <c r="C133" i="13"/>
  <c r="C127" i="13"/>
  <c r="C64" i="12"/>
  <c r="C52" i="6"/>
  <c r="C53" i="6" s="1"/>
  <c r="C48" i="6" s="1"/>
  <c r="C126" i="13"/>
  <c r="C126" i="6"/>
  <c r="C119" i="12"/>
  <c r="C52" i="12"/>
  <c r="C128" i="6"/>
  <c r="C132" i="6"/>
  <c r="C152" i="12"/>
  <c r="C75" i="12"/>
  <c r="C133" i="6"/>
  <c r="K20" i="18" l="1"/>
  <c r="K54" i="18"/>
  <c r="K54" i="6" s="1"/>
  <c r="K42" i="18"/>
  <c r="K148" i="18"/>
  <c r="K148" i="6" s="1"/>
  <c r="K145" i="18"/>
  <c r="K145" i="6" s="1"/>
  <c r="K98" i="18"/>
  <c r="K98" i="6" s="1"/>
  <c r="K141" i="18"/>
  <c r="K124" i="18"/>
  <c r="K124" i="6" s="1"/>
  <c r="K46" i="18"/>
  <c r="K46" i="6" s="1"/>
  <c r="K36" i="18"/>
  <c r="K36" i="6" s="1"/>
  <c r="K82" i="18"/>
  <c r="K82" i="6" s="1"/>
  <c r="K131" i="18"/>
  <c r="K131" i="6" s="1"/>
  <c r="K9" i="18"/>
  <c r="K32" i="18"/>
  <c r="K32" i="6" s="1"/>
  <c r="K134" i="18"/>
  <c r="K79" i="18"/>
  <c r="K79" i="6" s="1"/>
  <c r="K10" i="18"/>
  <c r="K10" i="6" s="1"/>
  <c r="K152" i="18"/>
  <c r="K157" i="18"/>
  <c r="K157" i="6" s="1"/>
  <c r="K64" i="18"/>
  <c r="K137" i="18"/>
  <c r="K137" i="6" s="1"/>
  <c r="K123" i="18"/>
  <c r="K123" i="6" s="1"/>
  <c r="K71" i="18"/>
  <c r="K71" i="6" s="1"/>
  <c r="K21" i="18"/>
  <c r="K21" i="6" s="1"/>
  <c r="K112" i="18"/>
  <c r="K112" i="6" s="1"/>
  <c r="K130" i="18"/>
  <c r="K97" i="18"/>
  <c r="K49" i="6"/>
  <c r="K52" i="18"/>
  <c r="K51" i="18"/>
  <c r="K51" i="6" s="1"/>
  <c r="K6" i="18"/>
  <c r="K6" i="6" s="1"/>
  <c r="K83" i="18"/>
  <c r="K127" i="18"/>
  <c r="K58" i="18"/>
  <c r="K58" i="6" s="1"/>
  <c r="K135" i="18"/>
  <c r="K135" i="6" s="1"/>
  <c r="K61" i="18"/>
  <c r="K61" i="6" s="1"/>
  <c r="K126" i="18"/>
  <c r="K87" i="18"/>
  <c r="K87" i="6" s="1"/>
  <c r="K38" i="18"/>
  <c r="K14" i="18"/>
  <c r="K14" i="6" s="1"/>
  <c r="K31" i="18"/>
  <c r="K13" i="18"/>
  <c r="K13" i="6" s="1"/>
  <c r="K5" i="18"/>
  <c r="K5" i="6" s="1"/>
  <c r="K75" i="18"/>
  <c r="K65" i="18"/>
  <c r="K65" i="6" s="1"/>
  <c r="K91" i="18"/>
  <c r="K91" i="6" s="1"/>
  <c r="K90" i="18"/>
  <c r="K90" i="6" s="1"/>
  <c r="K116" i="18"/>
  <c r="K116" i="6" s="1"/>
  <c r="K80" i="18"/>
  <c r="K80" i="6" s="1"/>
  <c r="K119" i="18"/>
  <c r="K35" i="18"/>
  <c r="K35" i="6" s="1"/>
  <c r="K142" i="18"/>
  <c r="K142" i="6" s="1"/>
  <c r="K53" i="18"/>
  <c r="K138" i="18"/>
  <c r="K27" i="18"/>
  <c r="K156" i="18"/>
  <c r="K39" i="18"/>
  <c r="K39" i="6" s="1"/>
  <c r="K105" i="18"/>
  <c r="K105" i="6" s="1"/>
  <c r="K149" i="18"/>
  <c r="K149" i="6" s="1"/>
  <c r="K113" i="18"/>
  <c r="K113" i="6" s="1"/>
  <c r="K60" i="18"/>
  <c r="K72" i="18"/>
  <c r="K28" i="18"/>
  <c r="K28" i="6" s="1"/>
  <c r="K109" i="18"/>
  <c r="K109" i="6" s="1"/>
  <c r="K115" i="18"/>
  <c r="K115" i="6" s="1"/>
  <c r="K47" i="18"/>
  <c r="K47" i="6" s="1"/>
  <c r="K86" i="18"/>
  <c r="K101" i="18"/>
  <c r="K101" i="6" s="1"/>
  <c r="K104" i="18"/>
  <c r="K104" i="6" s="1"/>
  <c r="K120" i="18"/>
  <c r="K120" i="6" s="1"/>
  <c r="K25" i="18"/>
  <c r="K25" i="6" s="1"/>
  <c r="K76" i="18"/>
  <c r="K76" i="6" s="1"/>
  <c r="K69" i="18"/>
  <c r="K69" i="6" s="1"/>
  <c r="K153" i="18"/>
  <c r="K153" i="6" s="1"/>
  <c r="K146" i="18"/>
  <c r="K146" i="6" s="1"/>
  <c r="K68" i="18"/>
  <c r="K68" i="6" s="1"/>
  <c r="K104" i="17"/>
  <c r="K104" i="13" s="1"/>
  <c r="K27" i="17"/>
  <c r="K27" i="13" s="1"/>
  <c r="K5" i="17"/>
  <c r="K5" i="13" s="1"/>
  <c r="K152" i="17"/>
  <c r="K53" i="17"/>
  <c r="K86" i="17"/>
  <c r="K68" i="17"/>
  <c r="K68" i="13" s="1"/>
  <c r="K25" i="17"/>
  <c r="K25" i="13" s="1"/>
  <c r="K80" i="17"/>
  <c r="K80" i="13" s="1"/>
  <c r="K156" i="17"/>
  <c r="K156" i="13" s="1"/>
  <c r="K90" i="17"/>
  <c r="K90" i="13" s="1"/>
  <c r="K46" i="17"/>
  <c r="K46" i="13" s="1"/>
  <c r="K31" i="17"/>
  <c r="K82" i="13"/>
  <c r="K127" i="17"/>
  <c r="K98" i="17"/>
  <c r="K98" i="13" s="1"/>
  <c r="K43" i="17"/>
  <c r="K43" i="13" s="1"/>
  <c r="K6" i="17"/>
  <c r="K142" i="17"/>
  <c r="K142" i="13" s="1"/>
  <c r="K109" i="17"/>
  <c r="K109" i="13" s="1"/>
  <c r="K134" i="17"/>
  <c r="K134" i="13" s="1"/>
  <c r="K28" i="17"/>
  <c r="K137" i="17"/>
  <c r="K137" i="13" s="1"/>
  <c r="K76" i="17"/>
  <c r="K76" i="13" s="1"/>
  <c r="K47" i="17"/>
  <c r="K47" i="13" s="1"/>
  <c r="K39" i="17"/>
  <c r="K39" i="13" s="1"/>
  <c r="K145" i="17"/>
  <c r="K145" i="13" s="1"/>
  <c r="K71" i="17"/>
  <c r="K75" i="17"/>
  <c r="K87" i="17"/>
  <c r="K87" i="13" s="1"/>
  <c r="K36" i="17"/>
  <c r="K36" i="13" s="1"/>
  <c r="K72" i="17"/>
  <c r="K72" i="13" s="1"/>
  <c r="K54" i="17"/>
  <c r="K54" i="13" s="1"/>
  <c r="K13" i="17"/>
  <c r="K13" i="13" s="1"/>
  <c r="K83" i="17"/>
  <c r="K83" i="13" s="1"/>
  <c r="K115" i="17"/>
  <c r="K117" i="17" s="1"/>
  <c r="K117" i="13" s="1"/>
  <c r="K141" i="17"/>
  <c r="K124" i="17"/>
  <c r="K124" i="13" s="1"/>
  <c r="K123" i="17"/>
  <c r="K123" i="13" s="1"/>
  <c r="K65" i="17"/>
  <c r="K65" i="13" s="1"/>
  <c r="K61" i="17"/>
  <c r="K61" i="13" s="1"/>
  <c r="K101" i="17"/>
  <c r="K101" i="13" s="1"/>
  <c r="K50" i="17"/>
  <c r="K50" i="13" s="1"/>
  <c r="K20" i="17"/>
  <c r="K21" i="17"/>
  <c r="K21" i="13" s="1"/>
  <c r="K91" i="17"/>
  <c r="K91" i="13" s="1"/>
  <c r="K126" i="17"/>
  <c r="K79" i="17"/>
  <c r="K79" i="13" s="1"/>
  <c r="K105" i="17"/>
  <c r="K49" i="17"/>
  <c r="K49" i="13" s="1"/>
  <c r="K42" i="17"/>
  <c r="K131" i="17"/>
  <c r="K131" i="13" s="1"/>
  <c r="K14" i="17"/>
  <c r="K14" i="13" s="1"/>
  <c r="K60" i="17"/>
  <c r="K69" i="17"/>
  <c r="K69" i="13" s="1"/>
  <c r="K149" i="17"/>
  <c r="K149" i="13" s="1"/>
  <c r="K148" i="17"/>
  <c r="K130" i="17"/>
  <c r="K10" i="17"/>
  <c r="K10" i="13" s="1"/>
  <c r="K102" i="17"/>
  <c r="K102" i="13" s="1"/>
  <c r="K113" i="17"/>
  <c r="K113" i="13" s="1"/>
  <c r="K32" i="17"/>
  <c r="K32" i="13" s="1"/>
  <c r="K57" i="17"/>
  <c r="K57" i="13" s="1"/>
  <c r="K119" i="17"/>
  <c r="K153" i="17"/>
  <c r="K153" i="13" s="1"/>
  <c r="K146" i="17"/>
  <c r="K146" i="13" s="1"/>
  <c r="K9" i="17"/>
  <c r="K35" i="17"/>
  <c r="K35" i="13" s="1"/>
  <c r="K138" i="17"/>
  <c r="K138" i="13" s="1"/>
  <c r="K64" i="17"/>
  <c r="K58" i="17"/>
  <c r="K58" i="13" s="1"/>
  <c r="K108" i="17"/>
  <c r="K38" i="17"/>
  <c r="K157" i="17"/>
  <c r="K157" i="13" s="1"/>
  <c r="K104" i="16"/>
  <c r="K104" i="12" s="1"/>
  <c r="K54" i="16"/>
  <c r="K54" i="12" s="1"/>
  <c r="K109" i="16"/>
  <c r="K109" i="12" s="1"/>
  <c r="K102" i="16"/>
  <c r="K102" i="12" s="1"/>
  <c r="K148" i="16"/>
  <c r="K148" i="12" s="1"/>
  <c r="K69" i="16"/>
  <c r="K69" i="12" s="1"/>
  <c r="K49" i="16"/>
  <c r="K14" i="16"/>
  <c r="K14" i="12" s="1"/>
  <c r="K142" i="16"/>
  <c r="K142" i="12" s="1"/>
  <c r="K157" i="16"/>
  <c r="K157" i="12" s="1"/>
  <c r="K97" i="16"/>
  <c r="K126" i="16"/>
  <c r="K113" i="16"/>
  <c r="K113" i="12" s="1"/>
  <c r="K137" i="16"/>
  <c r="K32" i="16"/>
  <c r="K32" i="12" s="1"/>
  <c r="K31" i="16"/>
  <c r="K72" i="16"/>
  <c r="K72" i="12" s="1"/>
  <c r="K87" i="16"/>
  <c r="K87" i="12" s="1"/>
  <c r="K80" i="16"/>
  <c r="K80" i="12" s="1"/>
  <c r="K86" i="16"/>
  <c r="K10" i="16"/>
  <c r="K10" i="12" s="1"/>
  <c r="K53" i="16"/>
  <c r="K71" i="16"/>
  <c r="K71" i="12" s="1"/>
  <c r="K141" i="16"/>
  <c r="K21" i="16"/>
  <c r="K21" i="12" s="1"/>
  <c r="K58" i="16"/>
  <c r="K58" i="12" s="1"/>
  <c r="K42" i="16"/>
  <c r="K27" i="16"/>
  <c r="K127" i="16"/>
  <c r="K130" i="16"/>
  <c r="K131" i="16"/>
  <c r="K131" i="12" s="1"/>
  <c r="K64" i="16"/>
  <c r="K76" i="16"/>
  <c r="K76" i="12" s="1"/>
  <c r="K153" i="16"/>
  <c r="K153" i="12" s="1"/>
  <c r="K38" i="16"/>
  <c r="K38" i="12" s="1"/>
  <c r="K5" i="16"/>
  <c r="K7" i="16" s="1"/>
  <c r="K7" i="12" s="1"/>
  <c r="K149" i="16"/>
  <c r="K149" i="12" s="1"/>
  <c r="K120" i="16"/>
  <c r="K120" i="12" s="1"/>
  <c r="K91" i="16"/>
  <c r="K91" i="12" s="1"/>
  <c r="K152" i="16"/>
  <c r="K60" i="16"/>
  <c r="K43" i="16"/>
  <c r="K43" i="12" s="1"/>
  <c r="K20" i="16"/>
  <c r="K98" i="16"/>
  <c r="K98" i="12" s="1"/>
  <c r="K39" i="16"/>
  <c r="K39" i="12" s="1"/>
  <c r="K146" i="16"/>
  <c r="K146" i="12" s="1"/>
  <c r="K119" i="16"/>
  <c r="K115" i="16"/>
  <c r="K115" i="12" s="1"/>
  <c r="K83" i="16"/>
  <c r="C130" i="6"/>
  <c r="D125" i="6"/>
  <c r="C130" i="12"/>
  <c r="E48" i="6"/>
  <c r="C130" i="13"/>
  <c r="C53" i="12"/>
  <c r="K63" i="18" l="1"/>
  <c r="K63" i="6" s="1"/>
  <c r="K52" i="6"/>
  <c r="K53" i="6" s="1"/>
  <c r="K48" i="6" s="1"/>
  <c r="K40" i="18"/>
  <c r="K40" i="6" s="1"/>
  <c r="K129" i="18"/>
  <c r="K107" i="17"/>
  <c r="K107" i="13" s="1"/>
  <c r="K73" i="18"/>
  <c r="K73" i="6" s="1"/>
  <c r="K84" i="18"/>
  <c r="K84" i="6" s="1"/>
  <c r="K150" i="18"/>
  <c r="K150" i="6" s="1"/>
  <c r="K164" i="6"/>
  <c r="K128" i="18"/>
  <c r="K60" i="6"/>
  <c r="K62" i="18"/>
  <c r="K62" i="6" s="1"/>
  <c r="K27" i="6"/>
  <c r="K29" i="18"/>
  <c r="K29" i="6" s="1"/>
  <c r="K30" i="18"/>
  <c r="K30" i="6" s="1"/>
  <c r="K107" i="18"/>
  <c r="K107" i="6" s="1"/>
  <c r="K138" i="6"/>
  <c r="K140" i="18"/>
  <c r="K140" i="6" s="1"/>
  <c r="K168" i="6"/>
  <c r="K117" i="18"/>
  <c r="K117" i="6" s="1"/>
  <c r="K139" i="18"/>
  <c r="K139" i="6" s="1"/>
  <c r="K151" i="18"/>
  <c r="K151" i="6" s="1"/>
  <c r="K38" i="6"/>
  <c r="K41" i="18"/>
  <c r="K41" i="6" s="1"/>
  <c r="K7" i="18"/>
  <c r="K7" i="6" s="1"/>
  <c r="K106" i="18"/>
  <c r="K106" i="6" s="1"/>
  <c r="K72" i="6"/>
  <c r="K74" i="18"/>
  <c r="K74" i="6" s="1"/>
  <c r="K134" i="6"/>
  <c r="K156" i="6"/>
  <c r="K8" i="18"/>
  <c r="K8" i="6" s="1"/>
  <c r="K83" i="6"/>
  <c r="K85" i="18"/>
  <c r="K85" i="6" s="1"/>
  <c r="K118" i="18"/>
  <c r="K118" i="6" s="1"/>
  <c r="K29" i="17"/>
  <c r="K29" i="13" s="1"/>
  <c r="K129" i="17"/>
  <c r="K74" i="17"/>
  <c r="K74" i="13" s="1"/>
  <c r="K128" i="17"/>
  <c r="K128" i="13" s="1"/>
  <c r="K139" i="17"/>
  <c r="K139" i="13" s="1"/>
  <c r="K84" i="17"/>
  <c r="K84" i="13" s="1"/>
  <c r="K60" i="13"/>
  <c r="K63" i="17"/>
  <c r="K63" i="13" s="1"/>
  <c r="K52" i="17"/>
  <c r="K52" i="13" s="1"/>
  <c r="K6" i="13"/>
  <c r="K7" i="17"/>
  <c r="K7" i="13" s="1"/>
  <c r="K148" i="13"/>
  <c r="K151" i="17"/>
  <c r="K151" i="13" s="1"/>
  <c r="K150" i="17"/>
  <c r="K150" i="13" s="1"/>
  <c r="K168" i="13"/>
  <c r="K105" i="13"/>
  <c r="K106" i="17"/>
  <c r="K106" i="13" s="1"/>
  <c r="K51" i="17"/>
  <c r="K51" i="13" s="1"/>
  <c r="K28" i="13"/>
  <c r="K30" i="17"/>
  <c r="K30" i="13" s="1"/>
  <c r="K85" i="17"/>
  <c r="K85" i="13" s="1"/>
  <c r="K115" i="13"/>
  <c r="K118" i="17"/>
  <c r="K118" i="13" s="1"/>
  <c r="K119" i="13" s="1"/>
  <c r="K71" i="13"/>
  <c r="K73" i="17"/>
  <c r="K73" i="13" s="1"/>
  <c r="K8" i="17"/>
  <c r="K8" i="13" s="1"/>
  <c r="K38" i="13"/>
  <c r="K41" i="17"/>
  <c r="K41" i="13" s="1"/>
  <c r="K40" i="17"/>
  <c r="K40" i="13" s="1"/>
  <c r="K164" i="13"/>
  <c r="K140" i="17"/>
  <c r="K140" i="13" s="1"/>
  <c r="K62" i="17"/>
  <c r="K62" i="13" s="1"/>
  <c r="K164" i="12"/>
  <c r="K140" i="16"/>
  <c r="K140" i="12" s="1"/>
  <c r="K137" i="12"/>
  <c r="K8" i="16"/>
  <c r="K8" i="12" s="1"/>
  <c r="K5" i="12"/>
  <c r="K85" i="16"/>
  <c r="K85" i="12" s="1"/>
  <c r="K83" i="12"/>
  <c r="K168" i="12"/>
  <c r="K63" i="16"/>
  <c r="K63" i="12" s="1"/>
  <c r="K60" i="12"/>
  <c r="K30" i="16"/>
  <c r="K30" i="12" s="1"/>
  <c r="K27" i="12"/>
  <c r="K52" i="16"/>
  <c r="K49" i="12"/>
  <c r="K74" i="16"/>
  <c r="K74" i="12" s="1"/>
  <c r="K29" i="16"/>
  <c r="K29" i="12" s="1"/>
  <c r="K139" i="16"/>
  <c r="K139" i="12" s="1"/>
  <c r="K84" i="16"/>
  <c r="K84" i="12" s="1"/>
  <c r="K41" i="16"/>
  <c r="K41" i="12" s="1"/>
  <c r="K40" i="16"/>
  <c r="K40" i="12" s="1"/>
  <c r="K62" i="16"/>
  <c r="K62" i="12" s="1"/>
  <c r="K51" i="16"/>
  <c r="K51" i="12" s="1"/>
  <c r="K73" i="16"/>
  <c r="K73" i="12" s="1"/>
  <c r="K117" i="16"/>
  <c r="K117" i="12" s="1"/>
  <c r="K118" i="16"/>
  <c r="K118" i="12" s="1"/>
  <c r="K128" i="16"/>
  <c r="K107" i="16"/>
  <c r="K107" i="12" s="1"/>
  <c r="K106" i="16"/>
  <c r="K106" i="12" s="1"/>
  <c r="K151" i="16"/>
  <c r="K151" i="12" s="1"/>
  <c r="K150" i="16"/>
  <c r="K150" i="12" s="1"/>
  <c r="K129" i="16"/>
  <c r="C125" i="6"/>
  <c r="K9" i="12" l="1"/>
  <c r="K64" i="6"/>
  <c r="K59" i="6" s="1"/>
  <c r="K53" i="13"/>
  <c r="K75" i="12"/>
  <c r="K42" i="6"/>
  <c r="K37" i="6" s="1"/>
  <c r="K141" i="13"/>
  <c r="K127" i="6"/>
  <c r="K86" i="6"/>
  <c r="K81" i="6" s="1"/>
  <c r="K108" i="6"/>
  <c r="K103" i="6" s="1"/>
  <c r="K108" i="13"/>
  <c r="K152" i="6"/>
  <c r="K147" i="6" s="1"/>
  <c r="K31" i="6"/>
  <c r="K26" i="6" s="1"/>
  <c r="K133" i="6"/>
  <c r="K129" i="6"/>
  <c r="K128" i="6"/>
  <c r="K132" i="6"/>
  <c r="K126" i="6"/>
  <c r="K9" i="6"/>
  <c r="K4" i="6" s="1"/>
  <c r="K141" i="6"/>
  <c r="K136" i="6" s="1"/>
  <c r="K119" i="6"/>
  <c r="K114" i="6" s="1"/>
  <c r="K75" i="6"/>
  <c r="K70" i="6" s="1"/>
  <c r="K31" i="13"/>
  <c r="K152" i="13"/>
  <c r="K132" i="13"/>
  <c r="K75" i="13"/>
  <c r="K133" i="13"/>
  <c r="K64" i="13"/>
  <c r="K129" i="13"/>
  <c r="K130" i="13" s="1"/>
  <c r="K126" i="13"/>
  <c r="K127" i="13"/>
  <c r="K42" i="13"/>
  <c r="K86" i="13"/>
  <c r="K9" i="13"/>
  <c r="K86" i="12"/>
  <c r="K64" i="12"/>
  <c r="K141" i="12"/>
  <c r="K42" i="12"/>
  <c r="K126" i="12"/>
  <c r="K119" i="12"/>
  <c r="K31" i="12"/>
  <c r="K152" i="12"/>
  <c r="K108" i="12"/>
  <c r="K128" i="12"/>
  <c r="K133" i="12"/>
  <c r="K132" i="12"/>
  <c r="K129" i="12"/>
  <c r="K52" i="12"/>
  <c r="K127" i="12"/>
  <c r="K53" i="12" l="1"/>
  <c r="K130" i="6"/>
  <c r="K125" i="6" s="1"/>
  <c r="K130" i="12"/>
  <c r="D39" i="15" l="1"/>
  <c r="D99" i="16" s="1"/>
  <c r="D40" i="15" s="1"/>
  <c r="F39" i="15"/>
  <c r="F99" i="16" s="1"/>
  <c r="F40" i="15" s="1"/>
  <c r="C51" i="15"/>
  <c r="C100" i="16" s="1"/>
  <c r="C52" i="15" s="1"/>
  <c r="E51" i="15"/>
  <c r="E100" i="16" s="1"/>
  <c r="E52" i="15" s="1"/>
  <c r="C49" i="15"/>
  <c r="C100" i="18" s="1"/>
  <c r="C50" i="15" s="1"/>
  <c r="D51" i="15"/>
  <c r="D100" i="16" s="1"/>
  <c r="D52" i="15" s="1"/>
  <c r="F49" i="15"/>
  <c r="F100" i="18" s="1"/>
  <c r="F50" i="15" s="1"/>
  <c r="G51" i="15"/>
  <c r="G100" i="16" s="1"/>
  <c r="G52" i="15" s="1"/>
  <c r="C39" i="15"/>
  <c r="C99" i="16" s="1"/>
  <c r="C40" i="15" s="1"/>
  <c r="E39" i="15"/>
  <c r="E99" i="16" s="1"/>
  <c r="E40" i="15" s="1"/>
  <c r="G37" i="15"/>
  <c r="G99" i="18" s="1"/>
  <c r="G38" i="15" s="1"/>
  <c r="C37" i="15"/>
  <c r="C99" i="18" s="1"/>
  <c r="C38" i="15" s="1"/>
  <c r="D37" i="15"/>
  <c r="D99" i="18" s="1"/>
  <c r="D38" i="15" s="1"/>
  <c r="D49" i="15"/>
  <c r="D100" i="18" s="1"/>
  <c r="D50" i="15" s="1"/>
  <c r="E49" i="15"/>
  <c r="E100" i="18" s="1"/>
  <c r="E50" i="15" s="1"/>
  <c r="F51" i="15"/>
  <c r="F100" i="16" s="1"/>
  <c r="F52" i="15" s="1"/>
  <c r="E37" i="15"/>
  <c r="E99" i="18" s="1"/>
  <c r="E38" i="15" s="1"/>
  <c r="G49" i="15"/>
  <c r="G100" i="18" s="1"/>
  <c r="G50" i="15" s="1"/>
  <c r="F37" i="15"/>
  <c r="F99" i="18" s="1"/>
  <c r="F38" i="15" s="1"/>
  <c r="G39" i="15"/>
  <c r="G99" i="16" s="1"/>
  <c r="G40" i="15" s="1"/>
  <c r="B39" i="15" l="1"/>
  <c r="B99" i="16" s="1"/>
  <c r="I51" i="15"/>
  <c r="I100" i="16" s="1"/>
  <c r="I52" i="15" s="1"/>
  <c r="J41" i="15"/>
  <c r="I53" i="15"/>
  <c r="I100" i="17" s="1"/>
  <c r="I54" i="15" s="1"/>
  <c r="H41" i="15"/>
  <c r="D41" i="15"/>
  <c r="B51" i="15"/>
  <c r="B100" i="16" s="1"/>
  <c r="K49" i="15"/>
  <c r="K100" i="18" s="1"/>
  <c r="K50" i="15" s="1"/>
  <c r="K41" i="15"/>
  <c r="I39" i="15"/>
  <c r="I99" i="16" s="1"/>
  <c r="I40" i="15" s="1"/>
  <c r="J53" i="15"/>
  <c r="J100" i="17" s="1"/>
  <c r="J54" i="15" s="1"/>
  <c r="K37" i="15"/>
  <c r="K99" i="18" s="1"/>
  <c r="K38" i="15" s="1"/>
  <c r="E41" i="15"/>
  <c r="G53" i="15"/>
  <c r="G100" i="17" s="1"/>
  <c r="G54" i="15" s="1"/>
  <c r="J49" i="15"/>
  <c r="J100" i="18" s="1"/>
  <c r="J50" i="15" s="1"/>
  <c r="K39" i="15"/>
  <c r="K99" i="16" s="1"/>
  <c r="K40" i="15" s="1"/>
  <c r="J37" i="15"/>
  <c r="J99" i="18" s="1"/>
  <c r="J38" i="15" s="1"/>
  <c r="B37" i="15"/>
  <c r="B99" i="18" s="1"/>
  <c r="C53" i="15"/>
  <c r="C100" i="17" s="1"/>
  <c r="C54" i="15" s="1"/>
  <c r="F53" i="15"/>
  <c r="F100" i="17" s="1"/>
  <c r="F54" i="15" s="1"/>
  <c r="H51" i="15"/>
  <c r="H100" i="16" s="1"/>
  <c r="H52" i="15" s="1"/>
  <c r="H37" i="15"/>
  <c r="H99" i="18" s="1"/>
  <c r="H38" i="15" s="1"/>
  <c r="J51" i="15"/>
  <c r="J100" i="16" s="1"/>
  <c r="J52" i="15" s="1"/>
  <c r="I49" i="15"/>
  <c r="I100" i="18" s="1"/>
  <c r="I50" i="15" s="1"/>
  <c r="J39" i="15"/>
  <c r="J99" i="16" s="1"/>
  <c r="J40" i="15" s="1"/>
  <c r="K53" i="15"/>
  <c r="K100" i="17" s="1"/>
  <c r="K54" i="15" s="1"/>
  <c r="H53" i="15"/>
  <c r="H100" i="17" s="1"/>
  <c r="H54" i="15" s="1"/>
  <c r="D53" i="15"/>
  <c r="D100" i="17" s="1"/>
  <c r="D54" i="15" s="1"/>
  <c r="F41" i="15"/>
  <c r="G41" i="15"/>
  <c r="C41" i="15"/>
  <c r="H49" i="15"/>
  <c r="H100" i="18" s="1"/>
  <c r="H50" i="15" s="1"/>
  <c r="H39" i="15"/>
  <c r="H99" i="16" s="1"/>
  <c r="H40" i="15" s="1"/>
  <c r="K51" i="15"/>
  <c r="K100" i="16" s="1"/>
  <c r="K52" i="15" s="1"/>
  <c r="I41" i="15"/>
  <c r="I37" i="15"/>
  <c r="I99" i="18" s="1"/>
  <c r="I38" i="15" s="1"/>
  <c r="E53" i="15"/>
  <c r="E100" i="17" s="1"/>
  <c r="E54" i="15" s="1"/>
  <c r="B100" i="12" l="1"/>
  <c r="B52" i="15"/>
  <c r="B99" i="12"/>
  <c r="B40" i="15"/>
  <c r="B99" i="6"/>
  <c r="B38" i="15"/>
  <c r="G99" i="17"/>
  <c r="G42" i="15" s="1"/>
  <c r="F99" i="17"/>
  <c r="F42" i="15" s="1"/>
  <c r="D99" i="17"/>
  <c r="D42" i="15" s="1"/>
  <c r="J99" i="17"/>
  <c r="J42" i="15" s="1"/>
  <c r="E99" i="17"/>
  <c r="E42" i="15" s="1"/>
  <c r="K99" i="17"/>
  <c r="K42" i="15" s="1"/>
  <c r="H99" i="17"/>
  <c r="H42" i="15" s="1"/>
  <c r="I99" i="17"/>
  <c r="I42" i="15" s="1"/>
  <c r="C99" i="17"/>
  <c r="C42" i="15" s="1"/>
  <c r="H171" i="16"/>
  <c r="I171" i="18"/>
  <c r="J174" i="18"/>
  <c r="B49" i="15"/>
  <c r="B100" i="18" s="1"/>
  <c r="G171" i="17"/>
  <c r="H174" i="16"/>
  <c r="H174" i="18"/>
  <c r="K174" i="18"/>
  <c r="I174" i="18"/>
  <c r="E171" i="17"/>
  <c r="B174" i="18"/>
  <c r="F174" i="18"/>
  <c r="D174" i="18"/>
  <c r="G174" i="18"/>
  <c r="C174" i="18"/>
  <c r="E174" i="18"/>
  <c r="B53" i="15"/>
  <c r="B100" i="17" s="1"/>
  <c r="B41" i="15"/>
  <c r="B99" i="17" s="1"/>
  <c r="B100" i="13" l="1"/>
  <c r="B54" i="15"/>
  <c r="B100" i="6"/>
  <c r="B50" i="15"/>
  <c r="B99" i="13"/>
  <c r="B42" i="15"/>
  <c r="J171" i="17"/>
  <c r="H171" i="17"/>
  <c r="D171" i="18"/>
  <c r="D96" i="18" s="1"/>
  <c r="I93" i="18"/>
  <c r="I96" i="18"/>
  <c r="I95" i="18"/>
  <c r="I94" i="18"/>
  <c r="H96" i="16"/>
  <c r="H93" i="16"/>
  <c r="H94" i="16"/>
  <c r="H95" i="16"/>
  <c r="I174" i="17"/>
  <c r="I174" i="16"/>
  <c r="G174" i="16"/>
  <c r="B174" i="17"/>
  <c r="B171" i="18"/>
  <c r="E174" i="16"/>
  <c r="K171" i="17"/>
  <c r="D171" i="17"/>
  <c r="I171" i="16"/>
  <c r="E171" i="18"/>
  <c r="F174" i="17"/>
  <c r="E171" i="16"/>
  <c r="K171" i="18"/>
  <c r="G171" i="18"/>
  <c r="H174" i="17"/>
  <c r="H95" i="17" s="1"/>
  <c r="H171" i="18"/>
  <c r="I171" i="17"/>
  <c r="G171" i="16"/>
  <c r="D174" i="16"/>
  <c r="K174" i="16"/>
  <c r="B171" i="17"/>
  <c r="F171" i="18"/>
  <c r="C171" i="18"/>
  <c r="C171" i="17"/>
  <c r="K171" i="16"/>
  <c r="J171" i="18"/>
  <c r="K174" i="17"/>
  <c r="C171" i="16"/>
  <c r="B174" i="16"/>
  <c r="C174" i="17"/>
  <c r="F171" i="17"/>
  <c r="D171" i="16"/>
  <c r="B171" i="16"/>
  <c r="J171" i="16"/>
  <c r="F171" i="16"/>
  <c r="J174" i="16"/>
  <c r="F174" i="16"/>
  <c r="G174" i="17"/>
  <c r="G93" i="17" s="1"/>
  <c r="D174" i="17"/>
  <c r="C174" i="16"/>
  <c r="E174" i="17"/>
  <c r="E94" i="17" s="1"/>
  <c r="J174" i="17"/>
  <c r="J95" i="17" s="1"/>
  <c r="D94" i="18" l="1"/>
  <c r="D93" i="18"/>
  <c r="D95" i="18"/>
  <c r="I96" i="6"/>
  <c r="H94" i="12"/>
  <c r="H94" i="17"/>
  <c r="H95" i="13"/>
  <c r="J95" i="13"/>
  <c r="K93" i="16"/>
  <c r="K96" i="16"/>
  <c r="K94" i="16"/>
  <c r="K95" i="16"/>
  <c r="I94" i="16"/>
  <c r="I96" i="16"/>
  <c r="I95" i="16"/>
  <c r="I93" i="16"/>
  <c r="F96" i="16"/>
  <c r="F95" i="16"/>
  <c r="F94" i="16"/>
  <c r="F93" i="16"/>
  <c r="F93" i="17"/>
  <c r="F94" i="17"/>
  <c r="F96" i="17"/>
  <c r="F95" i="17"/>
  <c r="C95" i="18"/>
  <c r="C94" i="18"/>
  <c r="C93" i="18"/>
  <c r="C96" i="18"/>
  <c r="K95" i="17"/>
  <c r="K93" i="17"/>
  <c r="K96" i="17"/>
  <c r="K94" i="17"/>
  <c r="E93" i="17"/>
  <c r="H93" i="17"/>
  <c r="J96" i="17"/>
  <c r="J96" i="13" s="1"/>
  <c r="H96" i="12"/>
  <c r="G95" i="17"/>
  <c r="I94" i="6"/>
  <c r="J94" i="16"/>
  <c r="J96" i="16"/>
  <c r="J93" i="16"/>
  <c r="J95" i="16"/>
  <c r="J93" i="18"/>
  <c r="J95" i="18"/>
  <c r="J96" i="18"/>
  <c r="J94" i="18"/>
  <c r="F95" i="18"/>
  <c r="F94" i="18"/>
  <c r="F96" i="18"/>
  <c r="F93" i="18"/>
  <c r="G94" i="16"/>
  <c r="G96" i="16"/>
  <c r="G95" i="16"/>
  <c r="G93" i="16"/>
  <c r="G93" i="18"/>
  <c r="G95" i="18"/>
  <c r="G96" i="18"/>
  <c r="G94" i="18"/>
  <c r="E93" i="18"/>
  <c r="E95" i="18"/>
  <c r="E94" i="18"/>
  <c r="E96" i="18"/>
  <c r="E95" i="17"/>
  <c r="H96" i="17"/>
  <c r="H96" i="13" s="1"/>
  <c r="J94" i="17"/>
  <c r="H95" i="12"/>
  <c r="H100" i="12"/>
  <c r="H99" i="12"/>
  <c r="G96" i="17"/>
  <c r="I95" i="6"/>
  <c r="I99" i="6"/>
  <c r="I100" i="6"/>
  <c r="I94" i="17"/>
  <c r="I96" i="17"/>
  <c r="I93" i="17"/>
  <c r="I95" i="17"/>
  <c r="B93" i="18"/>
  <c r="B93" i="6" s="1"/>
  <c r="B94" i="18"/>
  <c r="B94" i="6" s="1"/>
  <c r="B96" i="18"/>
  <c r="B96" i="6" s="1"/>
  <c r="B95" i="18"/>
  <c r="B95" i="6" s="1"/>
  <c r="E96" i="17"/>
  <c r="J93" i="17"/>
  <c r="G94" i="17"/>
  <c r="B96" i="16"/>
  <c r="B96" i="12" s="1"/>
  <c r="B95" i="16"/>
  <c r="B95" i="12" s="1"/>
  <c r="B93" i="16"/>
  <c r="B93" i="12" s="1"/>
  <c r="B94" i="16"/>
  <c r="B94" i="12" s="1"/>
  <c r="B93" i="17"/>
  <c r="B93" i="13" s="1"/>
  <c r="B95" i="17"/>
  <c r="B95" i="13" s="1"/>
  <c r="B96" i="17"/>
  <c r="B96" i="13" s="1"/>
  <c r="B94" i="17"/>
  <c r="B94" i="13" s="1"/>
  <c r="K96" i="18"/>
  <c r="K94" i="18"/>
  <c r="K95" i="18"/>
  <c r="K93" i="18"/>
  <c r="D95" i="16"/>
  <c r="D93" i="16"/>
  <c r="D94" i="16"/>
  <c r="D96" i="16"/>
  <c r="C94" i="16"/>
  <c r="C96" i="16"/>
  <c r="C93" i="16"/>
  <c r="C95" i="16"/>
  <c r="C94" i="17"/>
  <c r="C96" i="17"/>
  <c r="C95" i="17"/>
  <c r="C93" i="17"/>
  <c r="H95" i="18"/>
  <c r="H93" i="18"/>
  <c r="H96" i="18"/>
  <c r="H94" i="18"/>
  <c r="E95" i="16"/>
  <c r="E93" i="16"/>
  <c r="E94" i="16"/>
  <c r="E96" i="16"/>
  <c r="D93" i="17"/>
  <c r="D96" i="17"/>
  <c r="D94" i="17"/>
  <c r="D95" i="17"/>
  <c r="H93" i="12"/>
  <c r="I93" i="6"/>
  <c r="D94" i="6" l="1"/>
  <c r="D99" i="6"/>
  <c r="D100" i="6"/>
  <c r="D93" i="6"/>
  <c r="D96" i="6"/>
  <c r="D95" i="6"/>
  <c r="I97" i="6"/>
  <c r="I92" i="6" s="1"/>
  <c r="E96" i="13"/>
  <c r="G96" i="13"/>
  <c r="F96" i="6"/>
  <c r="E96" i="6"/>
  <c r="K96" i="13"/>
  <c r="G94" i="13"/>
  <c r="C93" i="6"/>
  <c r="F96" i="13"/>
  <c r="K96" i="6"/>
  <c r="H94" i="13"/>
  <c r="H97" i="12"/>
  <c r="J94" i="6"/>
  <c r="G96" i="6"/>
  <c r="J96" i="6"/>
  <c r="C94" i="6"/>
  <c r="C94" i="13"/>
  <c r="J94" i="13"/>
  <c r="E94" i="6"/>
  <c r="F94" i="13"/>
  <c r="I96" i="12"/>
  <c r="J93" i="13"/>
  <c r="F93" i="6"/>
  <c r="E96" i="12"/>
  <c r="H94" i="6"/>
  <c r="C93" i="13"/>
  <c r="D96" i="12"/>
  <c r="K93" i="6"/>
  <c r="G93" i="13"/>
  <c r="K93" i="13"/>
  <c r="K96" i="12"/>
  <c r="D96" i="13"/>
  <c r="E93" i="12"/>
  <c r="H93" i="6"/>
  <c r="C96" i="13"/>
  <c r="C96" i="12"/>
  <c r="D93" i="12"/>
  <c r="K94" i="6"/>
  <c r="I96" i="13"/>
  <c r="E95" i="13"/>
  <c r="E100" i="13"/>
  <c r="E99" i="13"/>
  <c r="E93" i="6"/>
  <c r="G93" i="6"/>
  <c r="G94" i="12"/>
  <c r="F95" i="6"/>
  <c r="F99" i="6"/>
  <c r="F100" i="6"/>
  <c r="J93" i="6"/>
  <c r="J94" i="12"/>
  <c r="K94" i="13"/>
  <c r="C96" i="6"/>
  <c r="F95" i="13"/>
  <c r="F100" i="13"/>
  <c r="F99" i="13"/>
  <c r="F93" i="12"/>
  <c r="I93" i="12"/>
  <c r="K95" i="12"/>
  <c r="K100" i="12"/>
  <c r="K99" i="12"/>
  <c r="J99" i="13"/>
  <c r="D93" i="13"/>
  <c r="E95" i="12"/>
  <c r="E100" i="12"/>
  <c r="E99" i="12"/>
  <c r="H95" i="6"/>
  <c r="H99" i="6"/>
  <c r="H100" i="6"/>
  <c r="C94" i="12"/>
  <c r="D95" i="12"/>
  <c r="D100" i="12"/>
  <c r="D99" i="12"/>
  <c r="B92" i="6"/>
  <c r="I94" i="13"/>
  <c r="G94" i="6"/>
  <c r="G93" i="12"/>
  <c r="J95" i="12"/>
  <c r="J100" i="12"/>
  <c r="J99" i="12"/>
  <c r="F94" i="12"/>
  <c r="I95" i="12"/>
  <c r="I100" i="12"/>
  <c r="I99" i="12"/>
  <c r="K94" i="12"/>
  <c r="J100" i="13"/>
  <c r="H99" i="13"/>
  <c r="C95" i="12"/>
  <c r="C99" i="12"/>
  <c r="C100" i="12"/>
  <c r="I95" i="13"/>
  <c r="I100" i="13"/>
  <c r="I99" i="13"/>
  <c r="G95" i="12"/>
  <c r="G99" i="12"/>
  <c r="G100" i="12"/>
  <c r="J93" i="12"/>
  <c r="H93" i="13"/>
  <c r="F95" i="12"/>
  <c r="F100" i="12"/>
  <c r="F99" i="12"/>
  <c r="J97" i="13"/>
  <c r="H100" i="13"/>
  <c r="D95" i="13"/>
  <c r="D100" i="13"/>
  <c r="D99" i="13"/>
  <c r="D94" i="13"/>
  <c r="E94" i="12"/>
  <c r="H96" i="6"/>
  <c r="C95" i="13"/>
  <c r="C100" i="13"/>
  <c r="C99" i="13"/>
  <c r="C93" i="12"/>
  <c r="D94" i="12"/>
  <c r="K99" i="6"/>
  <c r="K95" i="6"/>
  <c r="K100" i="6"/>
  <c r="I93" i="13"/>
  <c r="E95" i="6"/>
  <c r="E100" i="6"/>
  <c r="E99" i="6"/>
  <c r="G95" i="6"/>
  <c r="G100" i="6"/>
  <c r="G99" i="6"/>
  <c r="G96" i="12"/>
  <c r="F94" i="6"/>
  <c r="J95" i="6"/>
  <c r="J100" i="6"/>
  <c r="J99" i="6"/>
  <c r="J96" i="12"/>
  <c r="G95" i="13"/>
  <c r="G100" i="13"/>
  <c r="G99" i="13"/>
  <c r="E93" i="13"/>
  <c r="K95" i="13"/>
  <c r="K100" i="13"/>
  <c r="K99" i="13"/>
  <c r="C95" i="6"/>
  <c r="C100" i="6"/>
  <c r="C99" i="6"/>
  <c r="F93" i="13"/>
  <c r="F96" i="12"/>
  <c r="I94" i="12"/>
  <c r="K93" i="12"/>
  <c r="E94" i="13"/>
  <c r="H97" i="13"/>
  <c r="C97" i="13" l="1"/>
  <c r="G97" i="13"/>
  <c r="D97" i="6"/>
  <c r="D92" i="6" s="1"/>
  <c r="E97" i="13"/>
  <c r="K97" i="13"/>
  <c r="G97" i="6"/>
  <c r="G92" i="6" s="1"/>
  <c r="F97" i="6"/>
  <c r="F92" i="6" s="1"/>
  <c r="F97" i="13"/>
  <c r="J97" i="6"/>
  <c r="J92" i="6" s="1"/>
  <c r="E97" i="6"/>
  <c r="E92" i="6" s="1"/>
  <c r="I97" i="13"/>
  <c r="K97" i="6"/>
  <c r="K92" i="6" s="1"/>
  <c r="D97" i="12"/>
  <c r="K97" i="12"/>
  <c r="E97" i="12"/>
  <c r="C97" i="6"/>
  <c r="C92" i="6" s="1"/>
  <c r="I97" i="12"/>
  <c r="D97" i="13"/>
  <c r="C97" i="12"/>
  <c r="G97" i="12"/>
  <c r="F97" i="12"/>
  <c r="J97" i="12"/>
  <c r="H97" i="6"/>
  <c r="H92" i="6" s="1"/>
  <c r="B32" i="15" l="1"/>
  <c r="B30" i="15"/>
  <c r="B34" i="15"/>
  <c r="C34" i="15" l="1"/>
  <c r="B24" i="17"/>
  <c r="C30" i="15"/>
  <c r="B24" i="18"/>
  <c r="C32" i="15"/>
  <c r="B24" i="16"/>
  <c r="B31" i="15" l="1"/>
  <c r="B24" i="6"/>
  <c r="B167" i="6" s="1"/>
  <c r="D30" i="15"/>
  <c r="C24" i="18"/>
  <c r="B24" i="13"/>
  <c r="B167" i="13" s="1"/>
  <c r="B175" i="13" s="1"/>
  <c r="B35" i="15"/>
  <c r="B33" i="15"/>
  <c r="B24" i="12"/>
  <c r="B167" i="12" s="1"/>
  <c r="B175" i="12" s="1"/>
  <c r="D32" i="15"/>
  <c r="C24" i="16"/>
  <c r="C24" i="17"/>
  <c r="D34" i="15"/>
  <c r="C31" i="15" l="1"/>
  <c r="C24" i="6"/>
  <c r="C167" i="6" s="1"/>
  <c r="D24" i="16"/>
  <c r="E32" i="15"/>
  <c r="E34" i="15"/>
  <c r="D24" i="17"/>
  <c r="C35" i="15"/>
  <c r="C24" i="13"/>
  <c r="C167" i="13" s="1"/>
  <c r="C175" i="13" s="1"/>
  <c r="D24" i="18"/>
  <c r="E30" i="15"/>
  <c r="C24" i="12"/>
  <c r="C167" i="12" s="1"/>
  <c r="C175" i="12" s="1"/>
  <c r="C33" i="15"/>
  <c r="F32" i="15" l="1"/>
  <c r="E24" i="16"/>
  <c r="D24" i="12"/>
  <c r="D167" i="12" s="1"/>
  <c r="D175" i="12" s="1"/>
  <c r="D33" i="15"/>
  <c r="E24" i="18"/>
  <c r="F30" i="15"/>
  <c r="D35" i="15"/>
  <c r="D24" i="13"/>
  <c r="D167" i="13" s="1"/>
  <c r="D175" i="13" s="1"/>
  <c r="D24" i="6"/>
  <c r="D167" i="6" s="1"/>
  <c r="D31" i="15"/>
  <c r="E24" i="17"/>
  <c r="F34" i="15"/>
  <c r="F24" i="17" l="1"/>
  <c r="G34" i="15"/>
  <c r="G30" i="15"/>
  <c r="F24" i="18"/>
  <c r="E24" i="12"/>
  <c r="E167" i="12" s="1"/>
  <c r="E175" i="12" s="1"/>
  <c r="E33" i="15"/>
  <c r="E24" i="13"/>
  <c r="E167" i="13" s="1"/>
  <c r="E175" i="13" s="1"/>
  <c r="E35" i="15"/>
  <c r="E31" i="15"/>
  <c r="E24" i="6"/>
  <c r="E167" i="6" s="1"/>
  <c r="F24" i="16"/>
  <c r="G32" i="15"/>
  <c r="H32" i="15" l="1"/>
  <c r="G24" i="16"/>
  <c r="F24" i="6"/>
  <c r="F167" i="6" s="1"/>
  <c r="F31" i="15"/>
  <c r="G24" i="18"/>
  <c r="H30" i="15"/>
  <c r="F33" i="15"/>
  <c r="F24" i="12"/>
  <c r="F167" i="12" s="1"/>
  <c r="F175" i="12" s="1"/>
  <c r="H34" i="15"/>
  <c r="G24" i="17"/>
  <c r="F24" i="13"/>
  <c r="F167" i="13" s="1"/>
  <c r="F175" i="13" s="1"/>
  <c r="F35" i="15"/>
  <c r="G24" i="13" l="1"/>
  <c r="G167" i="13" s="1"/>
  <c r="G175" i="13" s="1"/>
  <c r="G35" i="15"/>
  <c r="H24" i="18"/>
  <c r="I30" i="15"/>
  <c r="G33" i="15"/>
  <c r="G24" i="12"/>
  <c r="G167" i="12" s="1"/>
  <c r="G175" i="12" s="1"/>
  <c r="H24" i="17"/>
  <c r="I34" i="15"/>
  <c r="G31" i="15"/>
  <c r="G24" i="6"/>
  <c r="G167" i="6" s="1"/>
  <c r="H24" i="16"/>
  <c r="I32" i="15"/>
  <c r="J32" i="15" l="1"/>
  <c r="I24" i="16"/>
  <c r="I24" i="17"/>
  <c r="J34" i="15"/>
  <c r="J30" i="15"/>
  <c r="I24" i="18"/>
  <c r="H33" i="15"/>
  <c r="H24" i="12"/>
  <c r="H167" i="12" s="1"/>
  <c r="H175" i="12" s="1"/>
  <c r="H24" i="13"/>
  <c r="H167" i="13" s="1"/>
  <c r="H175" i="13" s="1"/>
  <c r="H35" i="15"/>
  <c r="H24" i="6"/>
  <c r="H167" i="6" s="1"/>
  <c r="H31" i="15"/>
  <c r="F19" i="15"/>
  <c r="F23" i="18" s="1"/>
  <c r="F9" i="15"/>
  <c r="F22" i="16" s="1"/>
  <c r="E19" i="15"/>
  <c r="E23" i="18" s="1"/>
  <c r="C9" i="15"/>
  <c r="C22" i="16" s="1"/>
  <c r="E21" i="15"/>
  <c r="E23" i="16" s="1"/>
  <c r="G19" i="15"/>
  <c r="G23" i="18" s="1"/>
  <c r="F21" i="15"/>
  <c r="F23" i="16" s="1"/>
  <c r="D19" i="15"/>
  <c r="D23" i="18" s="1"/>
  <c r="E9" i="15"/>
  <c r="E22" i="16" s="1"/>
  <c r="G21" i="15"/>
  <c r="G23" i="16" s="1"/>
  <c r="D21" i="15"/>
  <c r="D23" i="16" s="1"/>
  <c r="G9" i="15"/>
  <c r="G22" i="16" s="1"/>
  <c r="C21" i="15"/>
  <c r="C23" i="16" s="1"/>
  <c r="D9" i="15"/>
  <c r="D22" i="16" s="1"/>
  <c r="C19" i="15"/>
  <c r="C23" i="18" s="1"/>
  <c r="G10" i="15" l="1"/>
  <c r="D20" i="15"/>
  <c r="C10" i="15"/>
  <c r="K34" i="15"/>
  <c r="K24" i="17" s="1"/>
  <c r="J24" i="17"/>
  <c r="C20" i="15"/>
  <c r="D22" i="15"/>
  <c r="F22" i="15"/>
  <c r="E20" i="15"/>
  <c r="I35" i="15"/>
  <c r="I24" i="13"/>
  <c r="I167" i="13" s="1"/>
  <c r="I175" i="13" s="1"/>
  <c r="D10" i="15"/>
  <c r="G22" i="15"/>
  <c r="G20" i="15"/>
  <c r="F10" i="15"/>
  <c r="I24" i="6"/>
  <c r="I167" i="6" s="1"/>
  <c r="I31" i="15"/>
  <c r="I24" i="12"/>
  <c r="I167" i="12" s="1"/>
  <c r="I175" i="12" s="1"/>
  <c r="I33" i="15"/>
  <c r="C22" i="15"/>
  <c r="E10" i="15"/>
  <c r="E22" i="15"/>
  <c r="F20" i="15"/>
  <c r="K30" i="15"/>
  <c r="K24" i="18" s="1"/>
  <c r="J24" i="18"/>
  <c r="J24" i="16"/>
  <c r="K32" i="15"/>
  <c r="K24" i="16" s="1"/>
  <c r="H19" i="15"/>
  <c r="H23" i="18" s="1"/>
  <c r="I9" i="15"/>
  <c r="I22" i="16" s="1"/>
  <c r="I10" i="15" s="1"/>
  <c r="K19" i="15"/>
  <c r="K23" i="18" s="1"/>
  <c r="I21" i="15"/>
  <c r="I23" i="16" s="1"/>
  <c r="I19" i="15"/>
  <c r="I23" i="18" s="1"/>
  <c r="B7" i="15"/>
  <c r="B22" i="18" s="1"/>
  <c r="K9" i="15"/>
  <c r="K22" i="16" s="1"/>
  <c r="K10" i="15" s="1"/>
  <c r="H9" i="15"/>
  <c r="H22" i="16" s="1"/>
  <c r="B19" i="15"/>
  <c r="B23" i="18" s="1"/>
  <c r="B173" i="18"/>
  <c r="J9" i="15"/>
  <c r="J22" i="16" s="1"/>
  <c r="J10" i="15" s="1"/>
  <c r="J21" i="15"/>
  <c r="J23" i="16" s="1"/>
  <c r="H21" i="15"/>
  <c r="H23" i="16" s="1"/>
  <c r="J19" i="15"/>
  <c r="J23" i="18" s="1"/>
  <c r="B21" i="15"/>
  <c r="B23" i="16" s="1"/>
  <c r="B9" i="15"/>
  <c r="B22" i="16" s="1"/>
  <c r="K21" i="15"/>
  <c r="K23" i="16" s="1"/>
  <c r="B22" i="12" l="1"/>
  <c r="B165" i="12" s="1"/>
  <c r="B173" i="12" s="1"/>
  <c r="B10" i="15"/>
  <c r="B23" i="12"/>
  <c r="B22" i="15"/>
  <c r="J22" i="15"/>
  <c r="H10" i="15"/>
  <c r="I20" i="15"/>
  <c r="H20" i="15"/>
  <c r="J31" i="15"/>
  <c r="J24" i="6"/>
  <c r="J167" i="6" s="1"/>
  <c r="J35" i="15"/>
  <c r="J24" i="13"/>
  <c r="J167" i="13" s="1"/>
  <c r="J175" i="13" s="1"/>
  <c r="K22" i="15"/>
  <c r="I22" i="15"/>
  <c r="K31" i="15"/>
  <c r="K24" i="6"/>
  <c r="K167" i="6" s="1"/>
  <c r="K24" i="13"/>
  <c r="K167" i="13" s="1"/>
  <c r="K175" i="13" s="1"/>
  <c r="K35" i="15"/>
  <c r="J20" i="15"/>
  <c r="B8" i="15"/>
  <c r="B22" i="6"/>
  <c r="B165" i="6" s="1"/>
  <c r="K20" i="15"/>
  <c r="K33" i="15"/>
  <c r="K24" i="12"/>
  <c r="K167" i="12" s="1"/>
  <c r="K175" i="12" s="1"/>
  <c r="H22" i="15"/>
  <c r="B20" i="15"/>
  <c r="B23" i="6"/>
  <c r="J33" i="15"/>
  <c r="J24" i="12"/>
  <c r="J167" i="12" s="1"/>
  <c r="J175" i="12" s="1"/>
  <c r="J173" i="16"/>
  <c r="B170" i="18"/>
  <c r="K173" i="16"/>
  <c r="J173" i="18"/>
  <c r="B173" i="16"/>
  <c r="H173" i="16"/>
  <c r="I173" i="18"/>
  <c r="J170" i="16"/>
  <c r="I173" i="16"/>
  <c r="K173" i="18"/>
  <c r="H173" i="18"/>
  <c r="F170" i="16"/>
  <c r="E170" i="16"/>
  <c r="C170" i="16"/>
  <c r="G170" i="16"/>
  <c r="D170" i="16"/>
  <c r="K170" i="16"/>
  <c r="I170" i="16"/>
  <c r="B170" i="16"/>
  <c r="E173" i="16"/>
  <c r="D173" i="16"/>
  <c r="C173" i="16"/>
  <c r="G173" i="16"/>
  <c r="F173" i="16"/>
  <c r="G173" i="18"/>
  <c r="D173" i="18"/>
  <c r="F173" i="18"/>
  <c r="E173" i="18"/>
  <c r="C173" i="18"/>
  <c r="H170" i="16"/>
  <c r="B166" i="6" l="1"/>
  <c r="B166" i="12"/>
  <c r="C17" i="16"/>
  <c r="C19" i="16"/>
  <c r="C16" i="16"/>
  <c r="C18" i="16"/>
  <c r="E17" i="16"/>
  <c r="E19" i="16"/>
  <c r="E18" i="16"/>
  <c r="E16" i="16"/>
  <c r="D17" i="16"/>
  <c r="D18" i="16"/>
  <c r="D16" i="16"/>
  <c r="D19" i="16"/>
  <c r="F16" i="16"/>
  <c r="F17" i="16"/>
  <c r="F19" i="16"/>
  <c r="F18" i="16"/>
  <c r="J17" i="16"/>
  <c r="J19" i="16"/>
  <c r="J16" i="16"/>
  <c r="J18" i="16"/>
  <c r="H19" i="16"/>
  <c r="H18" i="16"/>
  <c r="H16" i="16"/>
  <c r="H17" i="16"/>
  <c r="I18" i="16"/>
  <c r="I19" i="16"/>
  <c r="I17" i="16"/>
  <c r="I16" i="16"/>
  <c r="B18" i="18"/>
  <c r="B18" i="6" s="1"/>
  <c r="B161" i="6" s="1"/>
  <c r="B19" i="18"/>
  <c r="B19" i="6" s="1"/>
  <c r="B162" i="6" s="1"/>
  <c r="B17" i="18"/>
  <c r="B17" i="6" s="1"/>
  <c r="B160" i="6" s="1"/>
  <c r="B16" i="18"/>
  <c r="B16" i="6" s="1"/>
  <c r="K18" i="16"/>
  <c r="K19" i="16"/>
  <c r="K16" i="16"/>
  <c r="K17" i="16"/>
  <c r="B18" i="16"/>
  <c r="B18" i="12" s="1"/>
  <c r="B19" i="16"/>
  <c r="B19" i="12" s="1"/>
  <c r="B17" i="16"/>
  <c r="B17" i="12" s="1"/>
  <c r="B160" i="12" s="1"/>
  <c r="B172" i="12" s="1"/>
  <c r="B16" i="16"/>
  <c r="B16" i="12" s="1"/>
  <c r="B159" i="12" s="1"/>
  <c r="G18" i="16"/>
  <c r="G19" i="16"/>
  <c r="G17" i="16"/>
  <c r="G16" i="16"/>
  <c r="E19" i="12" l="1"/>
  <c r="B174" i="12"/>
  <c r="G19" i="12"/>
  <c r="K19" i="12"/>
  <c r="K162" i="12" s="1"/>
  <c r="I19" i="12"/>
  <c r="I177" i="12" s="1"/>
  <c r="J19" i="12"/>
  <c r="F17" i="12"/>
  <c r="F160" i="12" s="1"/>
  <c r="C19" i="12"/>
  <c r="G16" i="12"/>
  <c r="G159" i="12" s="1"/>
  <c r="G10" i="19" s="1"/>
  <c r="B171" i="12"/>
  <c r="K17" i="12"/>
  <c r="K160" i="12" s="1"/>
  <c r="B15" i="6"/>
  <c r="B159" i="6"/>
  <c r="B158" i="6" s="1"/>
  <c r="I16" i="12"/>
  <c r="I159" i="12" s="1"/>
  <c r="I10" i="19" s="1"/>
  <c r="H17" i="12"/>
  <c r="H160" i="12" s="1"/>
  <c r="J18" i="12"/>
  <c r="J23" i="12"/>
  <c r="J22" i="12"/>
  <c r="J165" i="12" s="1"/>
  <c r="J173" i="12" s="1"/>
  <c r="F18" i="12"/>
  <c r="F23" i="12"/>
  <c r="F22" i="12"/>
  <c r="F165" i="12" s="1"/>
  <c r="F173" i="12" s="1"/>
  <c r="D19" i="12"/>
  <c r="E16" i="12"/>
  <c r="E159" i="12" s="1"/>
  <c r="E10" i="19" s="1"/>
  <c r="C18" i="12"/>
  <c r="C22" i="12"/>
  <c r="C165" i="12" s="1"/>
  <c r="C173" i="12" s="1"/>
  <c r="C23" i="12"/>
  <c r="B162" i="12"/>
  <c r="B177" i="12"/>
  <c r="G17" i="12"/>
  <c r="G160" i="12" s="1"/>
  <c r="K16" i="12"/>
  <c r="K159" i="12" s="1"/>
  <c r="K10" i="19" s="1"/>
  <c r="I17" i="12"/>
  <c r="I160" i="12" s="1"/>
  <c r="H16" i="12"/>
  <c r="H159" i="12" s="1"/>
  <c r="H10" i="19" s="1"/>
  <c r="J16" i="12"/>
  <c r="J159" i="12" s="1"/>
  <c r="J10" i="19" s="1"/>
  <c r="F19" i="12"/>
  <c r="D16" i="12"/>
  <c r="D159" i="12" s="1"/>
  <c r="D10" i="19" s="1"/>
  <c r="E18" i="12"/>
  <c r="E22" i="12"/>
  <c r="E165" i="12" s="1"/>
  <c r="E173" i="12" s="1"/>
  <c r="E23" i="12"/>
  <c r="C16" i="12"/>
  <c r="C159" i="12" s="1"/>
  <c r="C10" i="19" s="1"/>
  <c r="H18" i="12"/>
  <c r="H22" i="12"/>
  <c r="H165" i="12" s="1"/>
  <c r="H173" i="12" s="1"/>
  <c r="H23" i="12"/>
  <c r="D18" i="12"/>
  <c r="D23" i="12"/>
  <c r="D22" i="12"/>
  <c r="D165" i="12" s="1"/>
  <c r="D173" i="12" s="1"/>
  <c r="G18" i="12"/>
  <c r="G22" i="12"/>
  <c r="G165" i="12" s="1"/>
  <c r="G173" i="12" s="1"/>
  <c r="G23" i="12"/>
  <c r="B176" i="12"/>
  <c r="B161" i="12"/>
  <c r="K18" i="12"/>
  <c r="K23" i="12"/>
  <c r="K22" i="12"/>
  <c r="K165" i="12" s="1"/>
  <c r="K173" i="12" s="1"/>
  <c r="I18" i="12"/>
  <c r="I23" i="12"/>
  <c r="I22" i="12"/>
  <c r="I165" i="12" s="1"/>
  <c r="I173" i="12" s="1"/>
  <c r="H19" i="12"/>
  <c r="J17" i="12"/>
  <c r="J160" i="12" s="1"/>
  <c r="F16" i="12"/>
  <c r="F159" i="12" s="1"/>
  <c r="F10" i="19" s="1"/>
  <c r="D17" i="12"/>
  <c r="D160" i="12" s="1"/>
  <c r="E17" i="12"/>
  <c r="E160" i="12" s="1"/>
  <c r="C17" i="12"/>
  <c r="C160" i="12" s="1"/>
  <c r="C19" i="19" s="1"/>
  <c r="K11" i="15"/>
  <c r="K170" i="17"/>
  <c r="J11" i="15"/>
  <c r="J170" i="17"/>
  <c r="C11" i="15"/>
  <c r="C170" i="17"/>
  <c r="B11" i="15"/>
  <c r="B22" i="17" s="1"/>
  <c r="B170" i="17"/>
  <c r="F23" i="15"/>
  <c r="F23" i="17" s="1"/>
  <c r="F173" i="17"/>
  <c r="B23" i="15"/>
  <c r="B23" i="17" s="1"/>
  <c r="B173" i="17"/>
  <c r="G23" i="15"/>
  <c r="G23" i="17" s="1"/>
  <c r="G173" i="17"/>
  <c r="I23" i="15"/>
  <c r="I23" i="17" s="1"/>
  <c r="I173" i="17"/>
  <c r="H11" i="15"/>
  <c r="H170" i="17"/>
  <c r="C23" i="15"/>
  <c r="C23" i="17" s="1"/>
  <c r="C173" i="17"/>
  <c r="E23" i="15"/>
  <c r="E23" i="17" s="1"/>
  <c r="E173" i="17"/>
  <c r="I11" i="15"/>
  <c r="I170" i="17"/>
  <c r="F11" i="15"/>
  <c r="F170" i="17"/>
  <c r="D11" i="15"/>
  <c r="D170" i="17"/>
  <c r="E11" i="15"/>
  <c r="E170" i="17"/>
  <c r="G11" i="15"/>
  <c r="G170" i="17"/>
  <c r="K23" i="15"/>
  <c r="K23" i="17" s="1"/>
  <c r="K173" i="17"/>
  <c r="J23" i="15"/>
  <c r="J23" i="17" s="1"/>
  <c r="J173" i="17"/>
  <c r="H23" i="15"/>
  <c r="H23" i="17" s="1"/>
  <c r="H173" i="17"/>
  <c r="D23" i="15"/>
  <c r="D23" i="17" s="1"/>
  <c r="D173" i="17"/>
  <c r="B22" i="13" l="1"/>
  <c r="B165" i="13" s="1"/>
  <c r="B173" i="13" s="1"/>
  <c r="B12" i="15"/>
  <c r="C172" i="12"/>
  <c r="J172" i="12"/>
  <c r="J19" i="19"/>
  <c r="E172" i="12"/>
  <c r="E19" i="19"/>
  <c r="I172" i="12"/>
  <c r="I19" i="19"/>
  <c r="H172" i="12"/>
  <c r="H19" i="19"/>
  <c r="K172" i="12"/>
  <c r="K19" i="19"/>
  <c r="F172" i="12"/>
  <c r="F19" i="19"/>
  <c r="D172" i="12"/>
  <c r="D19" i="19"/>
  <c r="G172" i="12"/>
  <c r="G19" i="19"/>
  <c r="E177" i="12"/>
  <c r="E162" i="12"/>
  <c r="C162" i="12"/>
  <c r="G177" i="12"/>
  <c r="I162" i="12"/>
  <c r="G162" i="12"/>
  <c r="C177" i="12"/>
  <c r="K177" i="12"/>
  <c r="H166" i="12"/>
  <c r="J177" i="12"/>
  <c r="J166" i="12"/>
  <c r="G166" i="12"/>
  <c r="C166" i="12"/>
  <c r="I166" i="12"/>
  <c r="D166" i="12"/>
  <c r="F166" i="12"/>
  <c r="K166" i="12"/>
  <c r="E166" i="12"/>
  <c r="J162" i="12"/>
  <c r="B158" i="12"/>
  <c r="D24" i="15"/>
  <c r="B23" i="13"/>
  <c r="B166" i="13" s="1"/>
  <c r="B174" i="13" s="1"/>
  <c r="B24" i="15"/>
  <c r="H24" i="15"/>
  <c r="K24" i="15"/>
  <c r="E22" i="17"/>
  <c r="E12" i="15" s="1"/>
  <c r="F22" i="17"/>
  <c r="F12" i="15" s="1"/>
  <c r="E24" i="15"/>
  <c r="H22" i="17"/>
  <c r="H12" i="15" s="1"/>
  <c r="G24" i="15"/>
  <c r="F24" i="15"/>
  <c r="C22" i="17"/>
  <c r="C12" i="15" s="1"/>
  <c r="K22" i="17"/>
  <c r="K12" i="15" s="1"/>
  <c r="F171" i="12"/>
  <c r="K20" i="12"/>
  <c r="K161" i="12"/>
  <c r="K176" i="12"/>
  <c r="C171" i="12"/>
  <c r="D171" i="12"/>
  <c r="E171" i="12"/>
  <c r="F176" i="12"/>
  <c r="F20" i="12"/>
  <c r="F161" i="12"/>
  <c r="G22" i="17"/>
  <c r="G12" i="15" s="1"/>
  <c r="D22" i="17"/>
  <c r="D12" i="15" s="1"/>
  <c r="I22" i="17"/>
  <c r="I12" i="15" s="1"/>
  <c r="G16" i="17"/>
  <c r="G17" i="17"/>
  <c r="G19" i="17"/>
  <c r="G18" i="17"/>
  <c r="G18" i="13" s="1"/>
  <c r="D16" i="17"/>
  <c r="D17" i="17"/>
  <c r="D18" i="17"/>
  <c r="D18" i="13" s="1"/>
  <c r="D19" i="17"/>
  <c r="I18" i="17"/>
  <c r="I18" i="13" s="1"/>
  <c r="I16" i="17"/>
  <c r="I17" i="17"/>
  <c r="I19" i="17"/>
  <c r="B19" i="17"/>
  <c r="B19" i="13" s="1"/>
  <c r="B17" i="17"/>
  <c r="B17" i="13" s="1"/>
  <c r="B160" i="13" s="1"/>
  <c r="B172" i="13" s="1"/>
  <c r="B18" i="17"/>
  <c r="B18" i="13" s="1"/>
  <c r="B16" i="17"/>
  <c r="B16" i="13" s="1"/>
  <c r="B159" i="13" s="1"/>
  <c r="J16" i="17"/>
  <c r="J18" i="17"/>
  <c r="J18" i="13" s="1"/>
  <c r="J19" i="17"/>
  <c r="J17" i="17"/>
  <c r="I161" i="12"/>
  <c r="I176" i="12"/>
  <c r="I20" i="12"/>
  <c r="G176" i="12"/>
  <c r="G20" i="12"/>
  <c r="G161" i="12"/>
  <c r="F162" i="12"/>
  <c r="F177" i="12"/>
  <c r="K171" i="12"/>
  <c r="D162" i="12"/>
  <c r="D177" i="12"/>
  <c r="I171" i="12"/>
  <c r="I24" i="15"/>
  <c r="J22" i="17"/>
  <c r="J12" i="15" s="1"/>
  <c r="H177" i="12"/>
  <c r="H162" i="12"/>
  <c r="D161" i="12"/>
  <c r="D20" i="12"/>
  <c r="D176" i="12"/>
  <c r="J171" i="12"/>
  <c r="B170" i="12"/>
  <c r="J24" i="15"/>
  <c r="C24" i="15"/>
  <c r="E19" i="17"/>
  <c r="E18" i="17"/>
  <c r="E18" i="13" s="1"/>
  <c r="E17" i="17"/>
  <c r="E16" i="17"/>
  <c r="F16" i="17"/>
  <c r="F19" i="17"/>
  <c r="F18" i="17"/>
  <c r="F18" i="13" s="1"/>
  <c r="F17" i="17"/>
  <c r="H18" i="17"/>
  <c r="H18" i="13" s="1"/>
  <c r="H17" i="17"/>
  <c r="H19" i="17"/>
  <c r="H16" i="17"/>
  <c r="C17" i="17"/>
  <c r="C16" i="17"/>
  <c r="C19" i="17"/>
  <c r="C18" i="17"/>
  <c r="C18" i="13" s="1"/>
  <c r="K18" i="17"/>
  <c r="K18" i="13" s="1"/>
  <c r="K17" i="17"/>
  <c r="K16" i="17"/>
  <c r="K19" i="17"/>
  <c r="H161" i="12"/>
  <c r="H176" i="12"/>
  <c r="H20" i="12"/>
  <c r="E176" i="12"/>
  <c r="E20" i="12"/>
  <c r="E161" i="12"/>
  <c r="H171" i="12"/>
  <c r="C20" i="12"/>
  <c r="C176" i="12"/>
  <c r="C161" i="12"/>
  <c r="J161" i="12"/>
  <c r="J176" i="12"/>
  <c r="J20" i="12"/>
  <c r="G171" i="12"/>
  <c r="K174" i="12" l="1"/>
  <c r="K170" i="12" s="1"/>
  <c r="G174" i="12"/>
  <c r="G170" i="12" s="1"/>
  <c r="C163" i="12"/>
  <c r="F174" i="12"/>
  <c r="F170" i="12" s="1"/>
  <c r="J163" i="12"/>
  <c r="H163" i="12"/>
  <c r="D163" i="12"/>
  <c r="I163" i="12"/>
  <c r="E174" i="12"/>
  <c r="E170" i="12" s="1"/>
  <c r="D174" i="12"/>
  <c r="D170" i="12" s="1"/>
  <c r="I174" i="12"/>
  <c r="I170" i="12" s="1"/>
  <c r="C174" i="12"/>
  <c r="C170" i="12" s="1"/>
  <c r="J174" i="12"/>
  <c r="J170" i="12" s="1"/>
  <c r="E163" i="12"/>
  <c r="G163" i="12"/>
  <c r="F163" i="12"/>
  <c r="H174" i="12"/>
  <c r="H170" i="12" s="1"/>
  <c r="K163" i="12"/>
  <c r="I19" i="13"/>
  <c r="I20" i="13" s="1"/>
  <c r="I163" i="13" s="1"/>
  <c r="D19" i="13"/>
  <c r="D177" i="13" s="1"/>
  <c r="J23" i="13"/>
  <c r="J166" i="13" s="1"/>
  <c r="J174" i="13" s="1"/>
  <c r="I23" i="13"/>
  <c r="I166" i="13" s="1"/>
  <c r="I174" i="13" s="1"/>
  <c r="K17" i="13"/>
  <c r="K160" i="13" s="1"/>
  <c r="C16" i="13"/>
  <c r="C159" i="13" s="1"/>
  <c r="H17" i="13"/>
  <c r="H160" i="13" s="1"/>
  <c r="F19" i="13"/>
  <c r="F162" i="13" s="1"/>
  <c r="J22" i="13"/>
  <c r="J165" i="13" s="1"/>
  <c r="J173" i="13" s="1"/>
  <c r="C17" i="13"/>
  <c r="C160" i="13" s="1"/>
  <c r="C21" i="19" s="1"/>
  <c r="J17" i="13"/>
  <c r="J160" i="13" s="1"/>
  <c r="J19" i="13"/>
  <c r="J20" i="13" s="1"/>
  <c r="J163" i="13" s="1"/>
  <c r="E176" i="13"/>
  <c r="E161" i="13"/>
  <c r="B171" i="13"/>
  <c r="G161" i="13"/>
  <c r="G176" i="13"/>
  <c r="K22" i="13"/>
  <c r="K165" i="13" s="1"/>
  <c r="K173" i="13" s="1"/>
  <c r="F23" i="13"/>
  <c r="F166" i="13" s="1"/>
  <c r="F174" i="13" s="1"/>
  <c r="H22" i="13"/>
  <c r="H165" i="13" s="1"/>
  <c r="H173" i="13" s="1"/>
  <c r="F22" i="13"/>
  <c r="F165" i="13" s="1"/>
  <c r="F173" i="13" s="1"/>
  <c r="K23" i="13"/>
  <c r="K166" i="13" s="1"/>
  <c r="K174" i="13" s="1"/>
  <c r="H176" i="13"/>
  <c r="H161" i="13"/>
  <c r="F16" i="13"/>
  <c r="F159" i="13" s="1"/>
  <c r="F12" i="19" s="1"/>
  <c r="E19" i="13"/>
  <c r="B161" i="13"/>
  <c r="B176" i="13"/>
  <c r="I17" i="13"/>
  <c r="I160" i="13" s="1"/>
  <c r="D161" i="13"/>
  <c r="D176" i="13"/>
  <c r="G19" i="13"/>
  <c r="I22" i="13"/>
  <c r="I165" i="13" s="1"/>
  <c r="I173" i="13" s="1"/>
  <c r="G22" i="13"/>
  <c r="G165" i="13" s="1"/>
  <c r="G173" i="13" s="1"/>
  <c r="K19" i="13"/>
  <c r="K20" i="13" s="1"/>
  <c r="K163" i="13" s="1"/>
  <c r="C176" i="13"/>
  <c r="C161" i="13"/>
  <c r="H16" i="13"/>
  <c r="H159" i="13" s="1"/>
  <c r="H12" i="19" s="1"/>
  <c r="F17" i="13"/>
  <c r="F160" i="13" s="1"/>
  <c r="E16" i="13"/>
  <c r="E159" i="13" s="1"/>
  <c r="E12" i="19" s="1"/>
  <c r="C23" i="13"/>
  <c r="C166" i="13" s="1"/>
  <c r="C174" i="13" s="1"/>
  <c r="J161" i="13"/>
  <c r="J176" i="13"/>
  <c r="I16" i="13"/>
  <c r="I159" i="13" s="1"/>
  <c r="I12" i="19" s="1"/>
  <c r="D17" i="13"/>
  <c r="D160" i="13" s="1"/>
  <c r="G17" i="13"/>
  <c r="G160" i="13" s="1"/>
  <c r="D22" i="13"/>
  <c r="D165" i="13" s="1"/>
  <c r="D173" i="13" s="1"/>
  <c r="G23" i="13"/>
  <c r="G166" i="13" s="1"/>
  <c r="G174" i="13" s="1"/>
  <c r="E23" i="13"/>
  <c r="E166" i="13" s="1"/>
  <c r="E174" i="13" s="1"/>
  <c r="E22" i="13"/>
  <c r="E165" i="13" s="1"/>
  <c r="E173" i="13" s="1"/>
  <c r="H23" i="13"/>
  <c r="H166" i="13" s="1"/>
  <c r="H174" i="13" s="1"/>
  <c r="D23" i="13"/>
  <c r="D166" i="13" s="1"/>
  <c r="D174" i="13" s="1"/>
  <c r="K161" i="13"/>
  <c r="K176" i="13"/>
  <c r="K16" i="13"/>
  <c r="K159" i="13" s="1"/>
  <c r="K12" i="19" s="1"/>
  <c r="C19" i="13"/>
  <c r="H19" i="13"/>
  <c r="F176" i="13"/>
  <c r="F161" i="13"/>
  <c r="E17" i="13"/>
  <c r="E160" i="13" s="1"/>
  <c r="J16" i="13"/>
  <c r="J159" i="13" s="1"/>
  <c r="J12" i="19" s="1"/>
  <c r="B162" i="13"/>
  <c r="B177" i="13"/>
  <c r="I161" i="13"/>
  <c r="I176" i="13"/>
  <c r="D16" i="13"/>
  <c r="D159" i="13" s="1"/>
  <c r="D12" i="19" s="1"/>
  <c r="G16" i="13"/>
  <c r="G159" i="13" s="1"/>
  <c r="G12" i="19" s="1"/>
  <c r="C22" i="13"/>
  <c r="C165" i="13" s="1"/>
  <c r="C173" i="13" s="1"/>
  <c r="G172" i="13" l="1"/>
  <c r="G21" i="19"/>
  <c r="C172" i="13"/>
  <c r="C171" i="13"/>
  <c r="C12" i="19"/>
  <c r="D172" i="13"/>
  <c r="D21" i="19"/>
  <c r="I172" i="13"/>
  <c r="I21" i="19"/>
  <c r="K172" i="13"/>
  <c r="K21" i="19"/>
  <c r="E172" i="13"/>
  <c r="E21" i="19"/>
  <c r="F172" i="13"/>
  <c r="F21" i="19"/>
  <c r="J172" i="13"/>
  <c r="J21" i="19"/>
  <c r="H172" i="13"/>
  <c r="H21" i="19"/>
  <c r="H158" i="12"/>
  <c r="I158" i="12"/>
  <c r="F20" i="13"/>
  <c r="F163" i="13" s="1"/>
  <c r="F158" i="13" s="1"/>
  <c r="I162" i="13"/>
  <c r="I158" i="13" s="1"/>
  <c r="G158" i="12"/>
  <c r="D20" i="13"/>
  <c r="D163" i="13" s="1"/>
  <c r="D158" i="12"/>
  <c r="C158" i="12"/>
  <c r="E158" i="12"/>
  <c r="F158" i="12"/>
  <c r="J158" i="12"/>
  <c r="I177" i="13"/>
  <c r="K158" i="12"/>
  <c r="D162" i="13"/>
  <c r="F177" i="13"/>
  <c r="J162" i="13"/>
  <c r="J158" i="13" s="1"/>
  <c r="B158" i="13"/>
  <c r="J177" i="13"/>
  <c r="J171" i="13"/>
  <c r="H162" i="13"/>
  <c r="H177" i="13"/>
  <c r="H171" i="13"/>
  <c r="K177" i="13"/>
  <c r="K162" i="13"/>
  <c r="K158" i="13" s="1"/>
  <c r="F171" i="13"/>
  <c r="G171" i="13"/>
  <c r="C177" i="13"/>
  <c r="C162" i="13"/>
  <c r="I171" i="13"/>
  <c r="C20" i="13"/>
  <c r="C163" i="13" s="1"/>
  <c r="H20" i="13"/>
  <c r="H163" i="13" s="1"/>
  <c r="B170" i="13"/>
  <c r="D171" i="13"/>
  <c r="K171" i="13"/>
  <c r="E171" i="13"/>
  <c r="G20" i="13"/>
  <c r="G163" i="13" s="1"/>
  <c r="G162" i="13"/>
  <c r="G177" i="13"/>
  <c r="E162" i="13"/>
  <c r="E177" i="13"/>
  <c r="E20" i="13"/>
  <c r="E163" i="13" s="1"/>
  <c r="C170" i="13" l="1"/>
  <c r="D170" i="13"/>
  <c r="D158" i="13"/>
  <c r="K170" i="13"/>
  <c r="I170" i="13"/>
  <c r="F170" i="13"/>
  <c r="G158" i="13"/>
  <c r="C158" i="13"/>
  <c r="J170" i="13"/>
  <c r="H158" i="13"/>
  <c r="E158" i="13"/>
  <c r="G170" i="13"/>
  <c r="H170" i="13"/>
  <c r="E170" i="13"/>
  <c r="I7" i="15" l="1"/>
  <c r="I22" i="18" s="1"/>
  <c r="I170" i="18"/>
  <c r="I19" i="18" l="1"/>
  <c r="I18" i="18"/>
  <c r="I17" i="18"/>
  <c r="I16" i="18"/>
  <c r="I8" i="15"/>
  <c r="H7" i="15"/>
  <c r="H22" i="18" s="1"/>
  <c r="G170" i="18"/>
  <c r="I22" i="6" l="1"/>
  <c r="I165" i="6" s="1"/>
  <c r="I16" i="6"/>
  <c r="I159" i="6" s="1"/>
  <c r="I8" i="19" s="1"/>
  <c r="I19" i="6"/>
  <c r="I162" i="6" s="1"/>
  <c r="I17" i="6"/>
  <c r="I160" i="6" s="1"/>
  <c r="I17" i="19" s="1"/>
  <c r="H8" i="15"/>
  <c r="I18" i="6"/>
  <c r="I23" i="6"/>
  <c r="I166" i="6" s="1"/>
  <c r="G18" i="18"/>
  <c r="G17" i="18"/>
  <c r="G16" i="18"/>
  <c r="G19" i="18"/>
  <c r="G7" i="15"/>
  <c r="G22" i="18" s="1"/>
  <c r="H170" i="18"/>
  <c r="J7" i="15"/>
  <c r="J22" i="18" s="1"/>
  <c r="J170" i="18"/>
  <c r="E7" i="15"/>
  <c r="E22" i="18" s="1"/>
  <c r="E170" i="18"/>
  <c r="K7" i="15"/>
  <c r="K22" i="18" s="1"/>
  <c r="K170" i="18"/>
  <c r="G19" i="6" l="1"/>
  <c r="G162" i="6" s="1"/>
  <c r="E8" i="15"/>
  <c r="G22" i="6"/>
  <c r="G165" i="6" s="1"/>
  <c r="G8" i="15"/>
  <c r="G18" i="6"/>
  <c r="G23" i="6"/>
  <c r="G166" i="6" s="1"/>
  <c r="K18" i="18"/>
  <c r="K19" i="18"/>
  <c r="K17" i="18"/>
  <c r="K16" i="18"/>
  <c r="J18" i="18"/>
  <c r="J19" i="18"/>
  <c r="J17" i="18"/>
  <c r="J16" i="18"/>
  <c r="K8" i="15"/>
  <c r="J8" i="15"/>
  <c r="G16" i="6"/>
  <c r="I20" i="6"/>
  <c r="I163" i="6" s="1"/>
  <c r="I161" i="6"/>
  <c r="E17" i="18"/>
  <c r="E16" i="18"/>
  <c r="E19" i="18"/>
  <c r="E18" i="18"/>
  <c r="H16" i="18"/>
  <c r="H18" i="18"/>
  <c r="H17" i="18"/>
  <c r="H19" i="18"/>
  <c r="G17" i="6"/>
  <c r="G160" i="6" s="1"/>
  <c r="G17" i="19" s="1"/>
  <c r="F7" i="15"/>
  <c r="F22" i="18" s="1"/>
  <c r="F170" i="18"/>
  <c r="K22" i="6" l="1"/>
  <c r="K165" i="6" s="1"/>
  <c r="E17" i="6"/>
  <c r="E160" i="6" s="1"/>
  <c r="E17" i="19" s="1"/>
  <c r="I158" i="6"/>
  <c r="E16" i="6"/>
  <c r="E159" i="6" s="1"/>
  <c r="E8" i="19" s="1"/>
  <c r="J19" i="6"/>
  <c r="J162" i="6" s="1"/>
  <c r="K19" i="6"/>
  <c r="K162" i="6" s="1"/>
  <c r="H16" i="6"/>
  <c r="G159" i="6"/>
  <c r="G8" i="19" s="1"/>
  <c r="J18" i="6"/>
  <c r="J23" i="6"/>
  <c r="J166" i="6" s="1"/>
  <c r="K18" i="6"/>
  <c r="K23" i="6"/>
  <c r="K166" i="6" s="1"/>
  <c r="F16" i="18"/>
  <c r="F17" i="18"/>
  <c r="F19" i="18"/>
  <c r="F18" i="18"/>
  <c r="H19" i="6"/>
  <c r="H162" i="6" s="1"/>
  <c r="E18" i="6"/>
  <c r="E23" i="6"/>
  <c r="E166" i="6" s="1"/>
  <c r="I15" i="6"/>
  <c r="J22" i="6"/>
  <c r="J165" i="6" s="1"/>
  <c r="J16" i="6"/>
  <c r="K16" i="6"/>
  <c r="E22" i="6"/>
  <c r="E165" i="6" s="1"/>
  <c r="H18" i="6"/>
  <c r="H23" i="6"/>
  <c r="H166" i="6" s="1"/>
  <c r="H22" i="6"/>
  <c r="H165" i="6" s="1"/>
  <c r="F8" i="15"/>
  <c r="H17" i="6"/>
  <c r="H160" i="6" s="1"/>
  <c r="H17" i="19" s="1"/>
  <c r="E19" i="6"/>
  <c r="E162" i="6" s="1"/>
  <c r="J17" i="6"/>
  <c r="J160" i="6" s="1"/>
  <c r="J17" i="19" s="1"/>
  <c r="K17" i="6"/>
  <c r="K160" i="6" s="1"/>
  <c r="K17" i="19" s="1"/>
  <c r="G20" i="6"/>
  <c r="G163" i="6" s="1"/>
  <c r="G161" i="6"/>
  <c r="F22" i="6" l="1"/>
  <c r="F165" i="6" s="1"/>
  <c r="F17" i="6"/>
  <c r="F160" i="6" s="1"/>
  <c r="F17" i="19" s="1"/>
  <c r="H161" i="6"/>
  <c r="H20" i="6"/>
  <c r="H163" i="6" s="1"/>
  <c r="F16" i="6"/>
  <c r="J161" i="6"/>
  <c r="J20" i="6"/>
  <c r="J163" i="6" s="1"/>
  <c r="J159" i="6"/>
  <c r="J8" i="19" s="1"/>
  <c r="F18" i="6"/>
  <c r="F23" i="6"/>
  <c r="F166" i="6" s="1"/>
  <c r="G15" i="6"/>
  <c r="E20" i="6"/>
  <c r="E163" i="6" s="1"/>
  <c r="E161" i="6"/>
  <c r="K159" i="6"/>
  <c r="K8" i="19" s="1"/>
  <c r="F19" i="6"/>
  <c r="F162" i="6" s="1"/>
  <c r="K20" i="6"/>
  <c r="K163" i="6" s="1"/>
  <c r="K161" i="6"/>
  <c r="G158" i="6"/>
  <c r="H159" i="6"/>
  <c r="H8" i="19" s="1"/>
  <c r="D7" i="15"/>
  <c r="D22" i="18" s="1"/>
  <c r="D170" i="18"/>
  <c r="C7" i="15"/>
  <c r="C22" i="18" s="1"/>
  <c r="C170" i="18"/>
  <c r="H158" i="6" l="1"/>
  <c r="E15" i="6"/>
  <c r="H15" i="6"/>
  <c r="E158" i="6"/>
  <c r="J15" i="6"/>
  <c r="J158" i="6"/>
  <c r="C8" i="15"/>
  <c r="F161" i="6"/>
  <c r="F20" i="6"/>
  <c r="F163" i="6" s="1"/>
  <c r="D8" i="15"/>
  <c r="F159" i="6"/>
  <c r="F8" i="19" s="1"/>
  <c r="D16" i="18"/>
  <c r="D17" i="18"/>
  <c r="D18" i="18"/>
  <c r="D19" i="18"/>
  <c r="C16" i="18"/>
  <c r="C17" i="18"/>
  <c r="C18" i="18"/>
  <c r="C19" i="18"/>
  <c r="K15" i="6"/>
  <c r="K158" i="6"/>
  <c r="C19" i="6" l="1"/>
  <c r="C162" i="6" s="1"/>
  <c r="D19" i="6"/>
  <c r="D162" i="6" s="1"/>
  <c r="F15" i="6"/>
  <c r="F158" i="6"/>
  <c r="D18" i="6"/>
  <c r="D23" i="6"/>
  <c r="D166" i="6" s="1"/>
  <c r="C18" i="6"/>
  <c r="C23" i="6"/>
  <c r="C166" i="6" s="1"/>
  <c r="C17" i="6"/>
  <c r="C160" i="6" s="1"/>
  <c r="C17" i="19" s="1"/>
  <c r="D17" i="6"/>
  <c r="D160" i="6" s="1"/>
  <c r="D17" i="19" s="1"/>
  <c r="D22" i="6"/>
  <c r="D165" i="6" s="1"/>
  <c r="C22" i="6"/>
  <c r="C165" i="6" s="1"/>
  <c r="C16" i="6"/>
  <c r="D16" i="6"/>
  <c r="C20" i="6" l="1"/>
  <c r="C163" i="6" s="1"/>
  <c r="C161" i="6"/>
  <c r="D159" i="6"/>
  <c r="D8" i="19" s="1"/>
  <c r="C159" i="6"/>
  <c r="C8" i="19" s="1"/>
  <c r="D161" i="6"/>
  <c r="D20" i="6"/>
  <c r="D163" i="6" s="1"/>
  <c r="C15" i="6" l="1"/>
  <c r="C158" i="6"/>
  <c r="D15" i="6"/>
  <c r="D158" i="6"/>
</calcChain>
</file>

<file path=xl/sharedStrings.xml><?xml version="1.0" encoding="utf-8"?>
<sst xmlns="http://schemas.openxmlformats.org/spreadsheetml/2006/main" count="540" uniqueCount="126">
  <si>
    <t>Region</t>
  </si>
  <si>
    <t>Fiscal Year</t>
  </si>
  <si>
    <t>Mode</t>
  </si>
  <si>
    <t>People in Sample</t>
  </si>
  <si>
    <t>Trips in Sample</t>
  </si>
  <si>
    <t>Total Trips</t>
  </si>
  <si>
    <t>(Million)</t>
  </si>
  <si>
    <t>Total Distance</t>
  </si>
  <si>
    <t>(Million KM)</t>
  </si>
  <si>
    <t>Total Duration</t>
  </si>
  <si>
    <t>(Milllion Hours)</t>
  </si>
  <si>
    <t>Total Trips (Millions)</t>
  </si>
  <si>
    <t>TOTAL</t>
  </si>
  <si>
    <t>Total Distance (Million Kilometres)</t>
  </si>
  <si>
    <t>Total Duration (Million Hours)</t>
  </si>
  <si>
    <t>Total Population</t>
  </si>
  <si>
    <t>Local Bus xAuck-Well-Chris</t>
  </si>
  <si>
    <t>Total Trips Before Final Adjustment (Millions)</t>
  </si>
  <si>
    <t>ADJUSTMENT CONSTANTS</t>
  </si>
  <si>
    <t>ACTUAL TOTAL</t>
  </si>
  <si>
    <t>Local Bus</t>
  </si>
  <si>
    <t>ORIGINAL TOTAL</t>
  </si>
  <si>
    <t>2012/13</t>
  </si>
  <si>
    <t>2013/14</t>
  </si>
  <si>
    <t>2014/15</t>
  </si>
  <si>
    <t>2017/18</t>
  </si>
  <si>
    <t>2022/23</t>
  </si>
  <si>
    <t>2027/28</t>
  </si>
  <si>
    <t>2032/33</t>
  </si>
  <si>
    <t>2037/38</t>
  </si>
  <si>
    <t>2042/43</t>
  </si>
  <si>
    <t>Actual</t>
  </si>
  <si>
    <t>Projected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</si>
  <si>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</si>
  <si>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</si>
  <si>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</si>
  <si>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</si>
  <si>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</si>
  <si>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</si>
  <si>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</si>
  <si>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</si>
  <si>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</si>
  <si>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</si>
  <si>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</si>
  <si>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</si>
  <si>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</si>
  <si>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</si>
  <si>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Congestion Charging Assumptions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</si>
  <si>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</si>
  <si>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</si>
  <si>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</si>
  <si>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</si>
  <si>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</si>
  <si>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</si>
  <si>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</si>
  <si>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</si>
  <si>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</si>
  <si>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</si>
  <si>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</si>
  <si>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Total Duration Before Final Adjustment (Million Hours)</t>
  </si>
  <si>
    <t xml:space="preserve">PT Assumptions </t>
  </si>
  <si>
    <t>Fraction Drawn from Other Modes</t>
  </si>
  <si>
    <t>Pedestrian</t>
  </si>
  <si>
    <t>Cyclist</t>
  </si>
  <si>
    <t>Light Vehicle Drivers</t>
  </si>
  <si>
    <t>Light Vehicle Passengers</t>
  </si>
  <si>
    <t>Bus</t>
  </si>
  <si>
    <t>NET LOCAL TRAIN INCREASE</t>
  </si>
  <si>
    <t>NET LOCAL BUS INCREASE</t>
  </si>
  <si>
    <t>Assumed Change in Average Trip Length</t>
  </si>
  <si>
    <t>Total Distance Travelled Before Final Adjustment (Million KM)</t>
  </si>
  <si>
    <t>All Regions</t>
  </si>
  <si>
    <t xml:space="preserve">Active Mode Assumptions </t>
  </si>
  <si>
    <t>Growth of Pedestrian Trips Compared to BAU</t>
  </si>
  <si>
    <t>Implied Pedestrian Trips Per Capita</t>
  </si>
  <si>
    <t>Growth of Cycling Trips Compared to BAU</t>
  </si>
  <si>
    <t>Implied Cycling Trips per Capita</t>
  </si>
  <si>
    <t>Growth of Pedestrian Kilometres Compared to BAU</t>
  </si>
  <si>
    <t>Implied Pedestrian Kilometres Per Capita</t>
  </si>
  <si>
    <t>Growth of Pedestrian Hours Compared to BAU</t>
  </si>
  <si>
    <t>Implied Pedestrian Hours Per Capita</t>
  </si>
  <si>
    <t>Growth of Cycling Kilometres Compared to BAU</t>
  </si>
  <si>
    <t>Implied Cycling Kilometres per Capita</t>
  </si>
  <si>
    <t>Growth of Cycling Hours Compared to BAU</t>
  </si>
  <si>
    <t>Implied Cycling Hours per Capita</t>
  </si>
  <si>
    <t>Growth of Local Train Trips Compared to BAU</t>
  </si>
  <si>
    <t>Growth of Local Ferry Trips Compared to BAU</t>
  </si>
  <si>
    <t>Implied Local Train Trips (Millions)</t>
  </si>
  <si>
    <t>Implied Local Bus Trips (Millions)</t>
  </si>
  <si>
    <t>Implied Local Train Passenger-Kilometres (Millions)</t>
  </si>
  <si>
    <t>Implied Local Bus Passenger-Kilometres (Millions)</t>
  </si>
  <si>
    <t>Implied Local Bus Passenger-Hours (Millions)</t>
  </si>
  <si>
    <t>Implied Local Train Passenger-Hours (Millions)</t>
  </si>
  <si>
    <t>Implied Local Ferry Trips (Millions)</t>
  </si>
  <si>
    <t>Growth of Local Train Passenger-Kilometres Compared to BAU</t>
  </si>
  <si>
    <t>Growth of Local Train Passenger-Hours Compared to BAU</t>
  </si>
  <si>
    <t>Growth of Local Bus Trips Compared to BAU</t>
  </si>
  <si>
    <t>Growth of Local Bus Passenger-Kilometres Compared to BAU</t>
  </si>
  <si>
    <t>Growth of Local Bus Passenger-Hours Compared to BAU</t>
  </si>
  <si>
    <t>Growth of Local Ferry Passenger-Kilometres Compared to BAU</t>
  </si>
  <si>
    <t>Implied Local Ferry Passenger-Kilometres (Millions)</t>
  </si>
  <si>
    <t>Growth of Local Ferry Passenger-Hours Compared to BAU</t>
  </si>
  <si>
    <t>Implied Local Ferry Passenger-Hours (Millions)</t>
  </si>
  <si>
    <t>NEW ZEALAND TOTAL</t>
  </si>
  <si>
    <t>Local Train</t>
  </si>
  <si>
    <t>Other Modes</t>
  </si>
  <si>
    <t>Light Vehicle Driver</t>
  </si>
  <si>
    <t>Light Vehicle Passenger</t>
  </si>
  <si>
    <t>RESULTS FOR HEALTH MODEL (VEHICLE SHARE COMBINED W/LIGHT VEHICLE DRIVERS AND PASSENGERS)</t>
  </si>
  <si>
    <t>TRIPS/PERSON BASED ON ORIGINAL TOTALS AND ORIGINAL POPULATION</t>
  </si>
  <si>
    <t>CHECK: TRIPS/PERSON BASED ON ACTUAL TOTALS AND  UPDATED POPULATION</t>
  </si>
  <si>
    <t>TOTAL - XAUCK-WELL-CANT</t>
  </si>
  <si>
    <t>KILOMETRES/PERSON BASED ON ORIGINAL TOTALS AND ORIGINAL POPULATION</t>
  </si>
  <si>
    <t>CHECK: KILOMETRES/PERSON BASED ON ACTUAL TOTALS AND  UPDATED POPULATION</t>
  </si>
  <si>
    <t>HOURS/PERSON BASED ON ORIGINAL TOTALS AND ORIGINAL POPULATION</t>
  </si>
  <si>
    <t>CHECK: HOURS/PERSON BASED ON ACTUAL TOTALS AND  UPDATED POPULATION</t>
  </si>
  <si>
    <t>Taxi/Vehicle Share</t>
  </si>
  <si>
    <t>This workbook was copied from X:\Transport Outlook\Scenarios\base\Model Results\trip_summary_region_postprocess base 20170717 updated.xlsx</t>
  </si>
  <si>
    <t>2015/16</t>
  </si>
  <si>
    <t>2016/17</t>
  </si>
  <si>
    <t>2047/48</t>
  </si>
  <si>
    <t>2052/53</t>
  </si>
  <si>
    <t>2057/58</t>
  </si>
  <si>
    <t>NET LOCAL TRAIN INCREASE BEYOND BASE YEAR ADJUSTMENT</t>
  </si>
  <si>
    <t>NET LOCAL BUS INCREASE BEYOND BASE YEAR ADJUSTMENT</t>
  </si>
  <si>
    <t xml:space="preserve">Copied again from X:\Transport Outlook\Version 2 Models\Base\trip_summary_region_postprocess Version 2 base 20181206.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</si>
</sst>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000"/>
    <numFmt numFmtId="167" formatCode="0.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/>
    <xf numFmtId="165" fontId="0" fillId="0" borderId="0" xfId="0" applyNumberFormat="1"/>
    <xf numFmtId="1" fontId="0" fillId="0" borderId="0" xfId="0" applyNumberFormat="1"/>
    <xf numFmtId="0" fontId="18" fillId="0" borderId="10" xfId="0" applyFont="1" applyBorder="1"/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33" borderId="18" xfId="0" applyFont="1" applyFill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0" borderId="13" xfId="0" applyNumberFormat="1" applyBorder="1"/>
    <xf numFmtId="167" fontId="0" fillId="0" borderId="0" xfId="0" applyNumberFormat="1" applyBorder="1"/>
    <xf numFmtId="167" fontId="0" fillId="34" borderId="0" xfId="0" applyNumberFormat="1" applyFill="1" applyBorder="1"/>
    <xf numFmtId="167" fontId="0" fillId="34" borderId="14" xfId="0" applyNumberFormat="1" applyFill="1" applyBorder="1"/>
    <xf numFmtId="0" fontId="18" fillId="33" borderId="19" xfId="0" applyFont="1" applyFill="1" applyBorder="1"/>
    <xf numFmtId="167" fontId="0" fillId="0" borderId="20" xfId="0" applyNumberFormat="1" applyBorder="1"/>
    <xf numFmtId="167" fontId="0" fillId="0" borderId="21" xfId="0" applyNumberFormat="1" applyBorder="1"/>
    <xf numFmtId="167" fontId="0" fillId="34" borderId="21" xfId="0" applyNumberFormat="1" applyFill="1" applyBorder="1"/>
    <xf numFmtId="167" fontId="0" fillId="34" borderId="22" xfId="0" applyNumberFormat="1" applyFill="1" applyBorder="1"/>
    <xf numFmtId="0" fontId="0" fillId="0" borderId="23" xfId="0" applyBorder="1"/>
    <xf numFmtId="0" fontId="0" fillId="0" borderId="0" xfId="0" applyBorder="1"/>
    <xf numFmtId="0" fontId="0" fillId="0" borderId="14" xfId="0" applyBorder="1"/>
    <xf numFmtId="0" fontId="0" fillId="33" borderId="0" xfId="0" applyFill="1" applyBorder="1"/>
    <xf numFmtId="0" fontId="0" fillId="33" borderId="18" xfId="0" applyFill="1" applyBorder="1"/>
    <xf numFmtId="0" fontId="0" fillId="0" borderId="0" xfId="0" applyFill="1" applyBorder="1"/>
    <xf numFmtId="0" fontId="0" fillId="0" borderId="21" xfId="0" applyBorder="1"/>
    <xf numFmtId="167" fontId="0" fillId="0" borderId="10" xfId="0" applyNumberFormat="1" applyFill="1" applyBorder="1"/>
    <xf numFmtId="167" fontId="0" fillId="0" borderId="11" xfId="0" applyNumberFormat="1" applyFill="1" applyBorder="1"/>
    <xf numFmtId="167" fontId="0" fillId="0" borderId="12" xfId="0" applyNumberFormat="1" applyFill="1" applyBorder="1"/>
    <xf numFmtId="0" fontId="18" fillId="33" borderId="18" xfId="0" applyFont="1" applyFill="1" applyBorder="1" applyAlignment="1">
      <alignment horizontal="left" indent="1"/>
    </xf>
    <xf numFmtId="167" fontId="0" fillId="0" borderId="13" xfId="0" applyNumberFormat="1" applyFill="1" applyBorder="1"/>
    <xf numFmtId="167" fontId="0" fillId="0" borderId="0" xfId="0" applyNumberFormat="1" applyFill="1" applyBorder="1"/>
    <xf numFmtId="167" fontId="0" fillId="0" borderId="14" xfId="0" applyNumberFormat="1" applyFill="1" applyBorder="1"/>
    <xf numFmtId="0" fontId="18" fillId="33" borderId="18" xfId="0" applyFont="1" applyFill="1" applyBorder="1" applyAlignment="1">
      <alignment horizontal="left" indent="2"/>
    </xf>
    <xf numFmtId="0" fontId="18" fillId="33" borderId="19" xfId="0" applyFont="1" applyFill="1" applyBorder="1" applyAlignment="1">
      <alignment horizontal="left" indent="2"/>
    </xf>
    <xf numFmtId="164" fontId="0" fillId="0" borderId="0" xfId="0" applyNumberFormat="1" applyFill="1" applyBorder="1"/>
    <xf numFmtId="164" fontId="0" fillId="0" borderId="14" xfId="0" applyNumberFormat="1" applyFill="1" applyBorder="1"/>
    <xf numFmtId="167" fontId="0" fillId="34" borderId="13" xfId="0" applyNumberFormat="1" applyFill="1" applyBorder="1"/>
    <xf numFmtId="0" fontId="18" fillId="33" borderId="0" xfId="0" applyFont="1" applyFill="1" applyBorder="1" applyAlignment="1">
      <alignment horizontal="left" indent="1"/>
    </xf>
    <xf numFmtId="0" fontId="18" fillId="33" borderId="22" xfId="0" applyFont="1" applyFill="1" applyBorder="1" applyAlignment="1">
      <alignment horizontal="left" indent="1"/>
    </xf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13" xfId="0" applyNumberFormat="1" applyFill="1" applyBorder="1"/>
    <xf numFmtId="164" fontId="0" fillId="0" borderId="20" xfId="0" applyNumberFormat="1" applyFill="1" applyBorder="1"/>
    <xf numFmtId="167" fontId="0" fillId="0" borderId="21" xfId="0" applyNumberFormat="1" applyFill="1" applyBorder="1"/>
    <xf numFmtId="167" fontId="0" fillId="0" borderId="22" xfId="0" applyNumberFormat="1" applyFill="1" applyBorder="1"/>
    <xf numFmtId="0" fontId="0" fillId="0" borderId="14" xfId="0" applyFill="1" applyBorder="1"/>
    <xf numFmtId="4" fontId="0" fillId="0" borderId="0" xfId="0" applyNumberFormat="1"/>
    <xf numFmtId="167" fontId="0" fillId="34" borderId="20" xfId="0" applyNumberFormat="1" applyFill="1" applyBorder="1"/>
    <xf numFmtId="166" fontId="0" fillId="35" borderId="0" xfId="0" applyNumberFormat="1" applyFill="1"/>
    <xf numFmtId="0" fontId="0" fillId="35" borderId="0" xfId="0" applyFill="1"/>
    <xf numFmtId="165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PT%20Trips%20from%20AT%2020181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PT%20Trips%20from%20GWRC%20201811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golden\Assumptions\Population%20and%20GDP%20gold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Gold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golden\Model%20Results\trip_summary_region%20golden%2020161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M PT 2018 outputs"/>
      <sheetName val="PT Projections 2017"/>
      <sheetName val="Historical Statistics"/>
      <sheetName val="Summary Data"/>
      <sheetName val="Annual Projections"/>
      <sheetName val="Transition "/>
    </sheetNames>
    <sheetDataSet>
      <sheetData sheetId="0"/>
      <sheetData sheetId="1"/>
      <sheetData sheetId="2"/>
      <sheetData sheetId="3">
        <row r="32">
          <cell r="B32">
            <v>1.1504942223956107</v>
          </cell>
        </row>
      </sheetData>
      <sheetData sheetId="4"/>
      <sheetData sheetId="5">
        <row r="30">
          <cell r="B30">
            <v>0.94809013753953852</v>
          </cell>
          <cell r="C30">
            <v>1.9292233689221983</v>
          </cell>
          <cell r="D30">
            <v>3.123397949541312</v>
          </cell>
          <cell r="E30">
            <v>4.1465737157088958</v>
          </cell>
          <cell r="F30">
            <v>4.48351564957657</v>
          </cell>
          <cell r="G30">
            <v>4.8558252426324851</v>
          </cell>
          <cell r="H30">
            <v>5.2294284789181615</v>
          </cell>
          <cell r="I30">
            <v>5.5298819820419149</v>
          </cell>
          <cell r="J30">
            <v>5.8442434518179809</v>
          </cell>
          <cell r="K30">
            <v>6.1897779032082072</v>
          </cell>
        </row>
        <row r="31">
          <cell r="B31">
            <v>1.2566494043264</v>
          </cell>
          <cell r="C31">
            <v>2.2936556106006964</v>
          </cell>
          <cell r="D31">
            <v>4.3203624402873233</v>
          </cell>
          <cell r="E31">
            <v>6.0760797357522387</v>
          </cell>
          <cell r="F31">
            <v>6.6819455632741089</v>
          </cell>
          <cell r="G31">
            <v>7.312884286797189</v>
          </cell>
          <cell r="H31">
            <v>7.934249919146402</v>
          </cell>
          <cell r="I31">
            <v>8.468889343292652</v>
          </cell>
          <cell r="J31">
            <v>9.0276532051720597</v>
          </cell>
          <cell r="K31">
            <v>9.6440090170115429</v>
          </cell>
        </row>
        <row r="32">
          <cell r="B32">
            <v>1.2566494043264</v>
          </cell>
          <cell r="C32">
            <v>2.2925800761473454</v>
          </cell>
          <cell r="D32">
            <v>4.30712661223588</v>
          </cell>
          <cell r="E32">
            <v>6.0634122924469587</v>
          </cell>
          <cell r="F32">
            <v>6.6970856810023145</v>
          </cell>
          <cell r="G32">
            <v>7.3312050555085744</v>
          </cell>
          <cell r="H32">
            <v>7.9587296700766048</v>
          </cell>
          <cell r="I32">
            <v>8.4950186313654861</v>
          </cell>
          <cell r="J32">
            <v>9.0555064621527315</v>
          </cell>
          <cell r="K32">
            <v>9.6737639328650715</v>
          </cell>
        </row>
        <row r="33">
          <cell r="B33">
            <v>0.98394675642792462</v>
          </cell>
          <cell r="C33">
            <v>1.0830075391043177</v>
          </cell>
          <cell r="D33">
            <v>1.1584383991115319</v>
          </cell>
          <cell r="E33">
            <v>1.2130129472760938</v>
          </cell>
          <cell r="F33">
            <v>1.280897763401694</v>
          </cell>
          <cell r="G33">
            <v>1.3457408612961363</v>
          </cell>
          <cell r="H33">
            <v>1.414516930860535</v>
          </cell>
          <cell r="I33">
            <v>1.4598770258046889</v>
          </cell>
          <cell r="J33">
            <v>1.5082759409922215</v>
          </cell>
          <cell r="K33">
            <v>1.5616354680338453</v>
          </cell>
        </row>
        <row r="34">
          <cell r="B34">
            <v>0.9988948230602277</v>
          </cell>
          <cell r="C34">
            <v>1.0046613689713551</v>
          </cell>
          <cell r="D34">
            <v>1.2907847563447119</v>
          </cell>
          <cell r="E34">
            <v>1.5391728524155042</v>
          </cell>
          <cell r="F34">
            <v>1.6739346213673436</v>
          </cell>
          <cell r="G34">
            <v>1.7997570261763227</v>
          </cell>
          <cell r="H34">
            <v>1.9289186839452586</v>
          </cell>
          <cell r="I34">
            <v>2.0200758711641384</v>
          </cell>
          <cell r="J34">
            <v>2.1158111479412391</v>
          </cell>
          <cell r="K34">
            <v>2.2208562669733793</v>
          </cell>
        </row>
        <row r="35">
          <cell r="B35">
            <v>0.99889482306022759</v>
          </cell>
          <cell r="C35">
            <v>1.0061853723655385</v>
          </cell>
          <cell r="D35">
            <v>1.2974079117855295</v>
          </cell>
          <cell r="E35">
            <v>1.547398640597585</v>
          </cell>
          <cell r="F35">
            <v>1.6805437550477911</v>
          </cell>
          <cell r="G35">
            <v>1.8045473728694712</v>
          </cell>
          <cell r="H35">
            <v>1.9311867680398123</v>
          </cell>
          <cell r="I35">
            <v>2.0224511407860848</v>
          </cell>
          <cell r="J35">
            <v>2.1182989861542576</v>
          </cell>
          <cell r="K35">
            <v>2.2234676205868502</v>
          </cell>
        </row>
        <row r="38">
          <cell r="B38">
            <v>0</v>
          </cell>
          <cell r="C38">
            <v>11.712251088164892</v>
          </cell>
          <cell r="D38">
            <v>28.000682979208626</v>
          </cell>
          <cell r="E38">
            <v>44.25966355655089</v>
          </cell>
          <cell r="F38">
            <v>51.980302712231953</v>
          </cell>
          <cell r="G38">
            <v>59.922255752793333</v>
          </cell>
          <cell r="H38">
            <v>67.953214092293521</v>
          </cell>
          <cell r="I38">
            <v>75.847254183959393</v>
          </cell>
          <cell r="J38">
            <v>84.265331378817223</v>
          </cell>
          <cell r="K38">
            <v>93.587997994290433</v>
          </cell>
        </row>
        <row r="39">
          <cell r="B39">
            <v>0</v>
          </cell>
          <cell r="C39">
            <v>149.6667176390672</v>
          </cell>
          <cell r="D39">
            <v>479.09040598299362</v>
          </cell>
          <cell r="E39">
            <v>809.17631438213607</v>
          </cell>
          <cell r="F39">
            <v>970.39278933689013</v>
          </cell>
          <cell r="G39">
            <v>1134.7104900301629</v>
          </cell>
          <cell r="H39">
            <v>1300.4296097457241</v>
          </cell>
          <cell r="I39">
            <v>1464.9089669298294</v>
          </cell>
          <cell r="J39">
            <v>1640.9940580316547</v>
          </cell>
          <cell r="K39">
            <v>1837.4276023704674</v>
          </cell>
        </row>
        <row r="40">
          <cell r="B40">
            <v>0</v>
          </cell>
          <cell r="C40">
            <v>5.0749186565425477</v>
          </cell>
          <cell r="D40">
            <v>16.23381290769316</v>
          </cell>
          <cell r="E40">
            <v>27.438308738315701</v>
          </cell>
          <cell r="F40">
            <v>32.940162329693052</v>
          </cell>
          <cell r="G40">
            <v>38.51776049307044</v>
          </cell>
          <cell r="H40">
            <v>44.145758385105552</v>
          </cell>
          <cell r="I40">
            <v>49.727215937492161</v>
          </cell>
          <cell r="J40">
            <v>55.702384820338949</v>
          </cell>
          <cell r="K40">
            <v>62.367904211211012</v>
          </cell>
        </row>
        <row r="41">
          <cell r="B41">
            <v>0</v>
          </cell>
          <cell r="C41">
            <v>5.87829619751016</v>
          </cell>
          <cell r="D41">
            <v>10.861423076137818</v>
          </cell>
          <cell r="E41">
            <v>15.097914622730613</v>
          </cell>
          <cell r="F41">
            <v>20.372765188747607</v>
          </cell>
          <cell r="G41">
            <v>25.756648355021383</v>
          </cell>
          <cell r="H41">
            <v>31.575560302421323</v>
          </cell>
          <cell r="I41">
            <v>36.401937959674001</v>
          </cell>
          <cell r="J41">
            <v>41.694102138376337</v>
          </cell>
          <cell r="K41">
            <v>47.656216567004762</v>
          </cell>
        </row>
        <row r="42">
          <cell r="B42">
            <v>0</v>
          </cell>
          <cell r="C42">
            <v>2.7920897337303359</v>
          </cell>
          <cell r="D42">
            <v>149.0547866152898</v>
          </cell>
          <cell r="E42">
            <v>291.99274191995642</v>
          </cell>
          <cell r="F42">
            <v>378.25025298041726</v>
          </cell>
          <cell r="G42">
            <v>464.60412008258197</v>
          </cell>
          <cell r="H42">
            <v>554.574613999897</v>
          </cell>
          <cell r="I42">
            <v>635.10085314243668</v>
          </cell>
          <cell r="J42">
            <v>722.18756261278156</v>
          </cell>
          <cell r="K42">
            <v>819.67549985521759</v>
          </cell>
        </row>
        <row r="43">
          <cell r="B43">
            <v>0</v>
          </cell>
          <cell r="C43">
            <v>0.18151910476814237</v>
          </cell>
          <cell r="D43">
            <v>7.8104173676279487</v>
          </cell>
          <cell r="E43">
            <v>15.185404176046603</v>
          </cell>
          <cell r="F43">
            <v>19.593230290737221</v>
          </cell>
          <cell r="G43">
            <v>24.006309636254777</v>
          </cell>
          <cell r="H43">
            <v>28.596589241456901</v>
          </cell>
          <cell r="I43">
            <v>32.745234426743714</v>
          </cell>
          <cell r="J43">
            <v>37.231685264280401</v>
          </cell>
          <cell r="K43">
            <v>42.253770569481119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Annual Projections"/>
      <sheetName val="Transition "/>
      <sheetName val="Sheet2"/>
      <sheetName val="Sheet3"/>
    </sheetNames>
    <sheetDataSet>
      <sheetData sheetId="0"/>
      <sheetData sheetId="1"/>
      <sheetData sheetId="2">
        <row r="30">
          <cell r="B30">
            <v>1.2168898928977931</v>
          </cell>
          <cell r="C30">
            <v>1.2432678644930908</v>
          </cell>
          <cell r="D30">
            <v>1.3278700831628523</v>
          </cell>
          <cell r="E30">
            <v>1.4037087788346065</v>
          </cell>
          <cell r="F30">
            <v>1.4638936117321586</v>
          </cell>
          <cell r="G30">
            <v>1.5143857151672186</v>
          </cell>
          <cell r="H30">
            <v>1.5674022023737166</v>
          </cell>
          <cell r="I30">
            <v>1.6467479323641134</v>
          </cell>
          <cell r="J30">
            <v>1.7349793316507192</v>
          </cell>
          <cell r="K30">
            <v>1.8318749142151585</v>
          </cell>
        </row>
        <row r="31">
          <cell r="B31">
            <v>1.1859723137389515</v>
          </cell>
          <cell r="C31">
            <v>1.1927260431886724</v>
          </cell>
          <cell r="D31">
            <v>1.2732430263295709</v>
          </cell>
          <cell r="E31">
            <v>1.3371138829914495</v>
          </cell>
          <cell r="F31">
            <v>1.4003263132422203</v>
          </cell>
          <cell r="G31">
            <v>1.4583352987972347</v>
          </cell>
          <cell r="H31">
            <v>1.5211747250902652</v>
          </cell>
          <cell r="I31">
            <v>1.5980420821825705</v>
          </cell>
          <cell r="J31">
            <v>1.6835202135443743</v>
          </cell>
          <cell r="K31">
            <v>1.7773902356024713</v>
          </cell>
        </row>
        <row r="32">
          <cell r="B32">
            <v>1.1859723137389515</v>
          </cell>
          <cell r="C32">
            <v>1.1967693826000709</v>
          </cell>
          <cell r="D32">
            <v>1.2809148141591724</v>
          </cell>
          <cell r="E32">
            <v>1.3486655859117562</v>
          </cell>
          <cell r="F32">
            <v>1.4112775092789409</v>
          </cell>
          <cell r="G32">
            <v>1.4702176391553523</v>
          </cell>
          <cell r="H32">
            <v>1.533728096326372</v>
          </cell>
          <cell r="I32">
            <v>1.6112297950584653</v>
          </cell>
          <cell r="J32">
            <v>1.6974133277774275</v>
          </cell>
          <cell r="K32">
            <v>1.7920580045910897</v>
          </cell>
        </row>
        <row r="33">
          <cell r="B33">
            <v>0.94273733534187465</v>
          </cell>
          <cell r="C33">
            <v>0.95872465215781943</v>
          </cell>
          <cell r="D33">
            <v>1.0596539897351755</v>
          </cell>
          <cell r="E33">
            <v>1.1278812136242518</v>
          </cell>
          <cell r="F33">
            <v>1.1634760999713571</v>
          </cell>
          <cell r="G33">
            <v>1.206798010012091</v>
          </cell>
          <cell r="H33">
            <v>1.2567245354862757</v>
          </cell>
          <cell r="I33">
            <v>1.2848302439103947</v>
          </cell>
          <cell r="J33">
            <v>1.3176284914837382</v>
          </cell>
          <cell r="K33">
            <v>1.3541741975831174</v>
          </cell>
        </row>
        <row r="34">
          <cell r="B34">
            <v>0.87704976700634296</v>
          </cell>
          <cell r="C34">
            <v>0.87473339435438169</v>
          </cell>
          <cell r="D34">
            <v>0.96300312938686305</v>
          </cell>
          <cell r="E34">
            <v>1.0221124210346433</v>
          </cell>
          <cell r="F34">
            <v>1.0446970901622226</v>
          </cell>
          <cell r="G34">
            <v>1.071720286844438</v>
          </cell>
          <cell r="H34">
            <v>1.10456723251494</v>
          </cell>
          <cell r="I34">
            <v>1.1252325167719961</v>
          </cell>
          <cell r="J34">
            <v>1.1498575698437246</v>
          </cell>
          <cell r="K34">
            <v>1.1775521633959207</v>
          </cell>
        </row>
        <row r="35">
          <cell r="B35">
            <v>0.87704976700634285</v>
          </cell>
          <cell r="C35">
            <v>0.87840718512215454</v>
          </cell>
          <cell r="D35">
            <v>0.96727891116790554</v>
          </cell>
          <cell r="E35">
            <v>1.0245637344927596</v>
          </cell>
          <cell r="F35">
            <v>1.0477921240960064</v>
          </cell>
          <cell r="G35">
            <v>1.0762274878737872</v>
          </cell>
          <cell r="H35">
            <v>1.1104117613700513</v>
          </cell>
          <cell r="I35">
            <v>1.1311863905783102</v>
          </cell>
          <cell r="J35">
            <v>1.1559417406831205</v>
          </cell>
          <cell r="K35">
            <v>1.1837828729396902</v>
          </cell>
        </row>
        <row r="38">
          <cell r="B38">
            <v>0</v>
          </cell>
          <cell r="C38">
            <v>0.28854635749980773</v>
          </cell>
          <cell r="D38">
            <v>1.2724689095795387</v>
          </cell>
          <cell r="E38">
            <v>2.2172709087787457</v>
          </cell>
          <cell r="F38">
            <v>3.005092854551604</v>
          </cell>
          <cell r="G38">
            <v>3.7246262519093296</v>
          </cell>
          <cell r="H38">
            <v>4.497124307268372</v>
          </cell>
          <cell r="I38">
            <v>5.5516150990482043</v>
          </cell>
          <cell r="J38">
            <v>6.713934060584716</v>
          </cell>
          <cell r="K38">
            <v>7.9795899905257315</v>
          </cell>
        </row>
        <row r="39">
          <cell r="B39">
            <v>0</v>
          </cell>
          <cell r="C39">
            <v>1.8125443048732564</v>
          </cell>
          <cell r="D39">
            <v>24.583470168114673</v>
          </cell>
          <cell r="E39">
            <v>44.380066406277251</v>
          </cell>
          <cell r="F39">
            <v>64.240700271677611</v>
          </cell>
          <cell r="G39">
            <v>83.430739683517118</v>
          </cell>
          <cell r="H39">
            <v>104.39882007406368</v>
          </cell>
          <cell r="I39">
            <v>129.18791421694652</v>
          </cell>
          <cell r="J39">
            <v>156.51792000892442</v>
          </cell>
          <cell r="K39">
            <v>186.28048406112038</v>
          </cell>
        </row>
        <row r="40">
          <cell r="B40">
            <v>0</v>
          </cell>
          <cell r="C40">
            <v>6.3557504535590503E-2</v>
          </cell>
          <cell r="D40">
            <v>0.58507581978432821</v>
          </cell>
          <cell r="E40">
            <v>1.0423738284840027</v>
          </cell>
          <cell r="F40">
            <v>1.4745261290924159</v>
          </cell>
          <cell r="G40">
            <v>1.9007844067922921</v>
          </cell>
          <cell r="H40">
            <v>2.3641732846539263</v>
          </cell>
          <cell r="I40">
            <v>2.9101782097085138</v>
          </cell>
          <cell r="J40">
            <v>3.5118924877581694</v>
          </cell>
          <cell r="K40">
            <v>4.1669990052605765</v>
          </cell>
        </row>
        <row r="41">
          <cell r="B41">
            <v>0</v>
          </cell>
          <cell r="C41">
            <v>0.41188752627259362</v>
          </cell>
          <cell r="D41">
            <v>3.0562724795702536</v>
          </cell>
          <cell r="E41">
            <v>4.9048596751611662</v>
          </cell>
          <cell r="F41">
            <v>5.849175684566692</v>
          </cell>
          <cell r="G41">
            <v>6.9538134562679588</v>
          </cell>
          <cell r="H41">
            <v>8.1774492106575707</v>
          </cell>
          <cell r="I41">
            <v>8.9683522881181439</v>
          </cell>
          <cell r="J41">
            <v>9.8617007749256409</v>
          </cell>
          <cell r="K41">
            <v>10.836612184069303</v>
          </cell>
        </row>
        <row r="42">
          <cell r="B42">
            <v>0</v>
          </cell>
          <cell r="C42">
            <v>-0.45467703292075612</v>
          </cell>
          <cell r="D42">
            <v>17.199542166879439</v>
          </cell>
          <cell r="E42">
            <v>29.460659222508326</v>
          </cell>
          <cell r="F42">
            <v>34.226017684354559</v>
          </cell>
          <cell r="G42">
            <v>39.776190632410533</v>
          </cell>
          <cell r="H42">
            <v>46.279323381775384</v>
          </cell>
          <cell r="I42">
            <v>50.816708145982744</v>
          </cell>
          <cell r="J42">
            <v>56.04924435355656</v>
          </cell>
          <cell r="K42">
            <v>61.816529624469467</v>
          </cell>
        </row>
        <row r="43">
          <cell r="B43">
            <v>0</v>
          </cell>
          <cell r="C43">
            <v>1.3301984160015934E-2</v>
          </cell>
          <cell r="D43">
            <v>0.90116684100100208</v>
          </cell>
          <cell r="E43">
            <v>1.4983319546275489</v>
          </cell>
          <cell r="F43">
            <v>1.7423870906884495</v>
          </cell>
          <cell r="G43">
            <v>2.031746403488766</v>
          </cell>
          <cell r="H43">
            <v>2.3672212982516001</v>
          </cell>
          <cell r="I43">
            <v>2.5950077802134857</v>
          </cell>
          <cell r="J43">
            <v>2.8574948872089223</v>
          </cell>
          <cell r="K43">
            <v>3.1466888765694669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</sheetNames>
    <sheetDataSet>
      <sheetData sheetId="0">
        <row r="4">
          <cell r="D4">
            <v>164700</v>
          </cell>
          <cell r="E4">
            <v>171100</v>
          </cell>
          <cell r="F4">
            <v>175500</v>
          </cell>
          <cell r="G4">
            <v>179100</v>
          </cell>
          <cell r="H4">
            <v>181600</v>
          </cell>
          <cell r="I4">
            <v>182700</v>
          </cell>
          <cell r="J4">
            <v>182900</v>
          </cell>
        </row>
        <row r="5">
          <cell r="D5">
            <v>1493200</v>
          </cell>
          <cell r="E5">
            <v>1645068.1228668941</v>
          </cell>
          <cell r="F5">
            <v>1785792.4550625705</v>
          </cell>
          <cell r="G5">
            <v>1936301.5790671217</v>
          </cell>
          <cell r="H5">
            <v>2089800.5005688283</v>
          </cell>
          <cell r="I5">
            <v>2242755.8225255972</v>
          </cell>
          <cell r="J5">
            <v>2403185.638225256</v>
          </cell>
        </row>
        <row r="6">
          <cell r="D6">
            <v>424600</v>
          </cell>
          <cell r="E6">
            <v>467784.57337883959</v>
          </cell>
          <cell r="F6">
            <v>507800.34584755381</v>
          </cell>
          <cell r="G6">
            <v>550598.48009101255</v>
          </cell>
          <cell r="H6">
            <v>594246.78043230949</v>
          </cell>
          <cell r="I6">
            <v>637740.50511945388</v>
          </cell>
          <cell r="J6">
            <v>683359.64505119459</v>
          </cell>
        </row>
        <row r="7">
          <cell r="D7">
            <v>279700</v>
          </cell>
          <cell r="E7">
            <v>308147.30375426624</v>
          </cell>
          <cell r="F7">
            <v>334507.19908987475</v>
          </cell>
          <cell r="G7">
            <v>362699.94084186578</v>
          </cell>
          <cell r="H7">
            <v>391452.71899886237</v>
          </cell>
          <cell r="I7">
            <v>420103.67235494882</v>
          </cell>
          <cell r="J7">
            <v>450154.71672354947</v>
          </cell>
        </row>
        <row r="8">
          <cell r="D8">
            <v>47000</v>
          </cell>
          <cell r="E8">
            <v>47800</v>
          </cell>
          <cell r="F8">
            <v>48300</v>
          </cell>
          <cell r="G8">
            <v>48600</v>
          </cell>
          <cell r="H8">
            <v>48600</v>
          </cell>
          <cell r="I8">
            <v>48200</v>
          </cell>
          <cell r="J8">
            <v>47600</v>
          </cell>
        </row>
        <row r="9">
          <cell r="D9">
            <v>158000</v>
          </cell>
          <cell r="E9">
            <v>162400</v>
          </cell>
          <cell r="F9">
            <v>164600</v>
          </cell>
          <cell r="G9">
            <v>166200</v>
          </cell>
          <cell r="H9">
            <v>166600</v>
          </cell>
          <cell r="I9">
            <v>165800</v>
          </cell>
          <cell r="J9">
            <v>164000</v>
          </cell>
        </row>
        <row r="10">
          <cell r="D10">
            <v>113600</v>
          </cell>
          <cell r="E10">
            <v>118800</v>
          </cell>
          <cell r="F10">
            <v>122000</v>
          </cell>
          <cell r="G10">
            <v>124900</v>
          </cell>
          <cell r="H10">
            <v>127200</v>
          </cell>
          <cell r="I10">
            <v>128900</v>
          </cell>
          <cell r="J10">
            <v>130200</v>
          </cell>
        </row>
        <row r="11">
          <cell r="D11">
            <v>231200</v>
          </cell>
          <cell r="E11">
            <v>234800</v>
          </cell>
          <cell r="F11">
            <v>237000</v>
          </cell>
          <cell r="G11">
            <v>238500</v>
          </cell>
          <cell r="H11">
            <v>238600</v>
          </cell>
          <cell r="I11">
            <v>237300</v>
          </cell>
          <cell r="J11">
            <v>234700</v>
          </cell>
        </row>
        <row r="12">
          <cell r="D12">
            <v>486700</v>
          </cell>
          <cell r="E12">
            <v>505800</v>
          </cell>
          <cell r="F12">
            <v>518200</v>
          </cell>
          <cell r="G12">
            <v>529500</v>
          </cell>
          <cell r="H12">
            <v>538500</v>
          </cell>
          <cell r="I12">
            <v>544700</v>
          </cell>
          <cell r="J12">
            <v>548400</v>
          </cell>
        </row>
        <row r="13">
          <cell r="D13">
            <v>142200</v>
          </cell>
          <cell r="E13">
            <v>147900</v>
          </cell>
          <cell r="F13">
            <v>151500</v>
          </cell>
          <cell r="G13">
            <v>154400</v>
          </cell>
          <cell r="H13">
            <v>156200</v>
          </cell>
          <cell r="I13">
            <v>156900</v>
          </cell>
          <cell r="J13">
            <v>156600</v>
          </cell>
        </row>
        <row r="14">
          <cell r="D14">
            <v>33000</v>
          </cell>
          <cell r="E14">
            <v>33800</v>
          </cell>
          <cell r="F14">
            <v>34000</v>
          </cell>
          <cell r="G14">
            <v>34100</v>
          </cell>
          <cell r="H14">
            <v>34000</v>
          </cell>
          <cell r="I14">
            <v>33700</v>
          </cell>
          <cell r="J14">
            <v>33200</v>
          </cell>
        </row>
        <row r="15">
          <cell r="D15">
            <v>562900</v>
          </cell>
          <cell r="E15">
            <v>611900</v>
          </cell>
          <cell r="F15">
            <v>638900</v>
          </cell>
          <cell r="G15">
            <v>665000</v>
          </cell>
          <cell r="H15">
            <v>689000</v>
          </cell>
          <cell r="I15">
            <v>710300</v>
          </cell>
          <cell r="J15">
            <v>729200</v>
          </cell>
        </row>
        <row r="16">
          <cell r="D16">
            <v>208800</v>
          </cell>
          <cell r="E16">
            <v>218000</v>
          </cell>
          <cell r="F16">
            <v>223800</v>
          </cell>
          <cell r="G16">
            <v>229100</v>
          </cell>
          <cell r="H16">
            <v>233600</v>
          </cell>
          <cell r="I16">
            <v>237100</v>
          </cell>
          <cell r="J16">
            <v>239800</v>
          </cell>
        </row>
        <row r="17">
          <cell r="D17">
            <v>96000</v>
          </cell>
          <cell r="E17">
            <v>98400</v>
          </cell>
          <cell r="F17">
            <v>98900</v>
          </cell>
          <cell r="G17">
            <v>99200</v>
          </cell>
          <cell r="H17">
            <v>98900</v>
          </cell>
          <cell r="I17">
            <v>98000</v>
          </cell>
          <cell r="J17">
            <v>96800</v>
          </cell>
        </row>
        <row r="18">
          <cell r="D18">
            <v>4441600</v>
          </cell>
          <cell r="E18">
            <v>4771700</v>
          </cell>
          <cell r="F18">
            <v>5040799.9999999991</v>
          </cell>
          <cell r="G18">
            <v>5318200</v>
          </cell>
          <cell r="H18">
            <v>5588300</v>
          </cell>
          <cell r="I18">
            <v>5844200</v>
          </cell>
          <cell r="J18">
            <v>6100100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4">
          <cell r="D4">
            <v>164700</v>
          </cell>
          <cell r="E4">
            <v>176100</v>
          </cell>
          <cell r="F4">
            <v>183300</v>
          </cell>
          <cell r="G4">
            <v>188600</v>
          </cell>
          <cell r="H4">
            <v>192500</v>
          </cell>
          <cell r="I4">
            <v>195100</v>
          </cell>
          <cell r="J4">
            <v>196700</v>
          </cell>
          <cell r="K4">
            <v>197632.92754735926</v>
          </cell>
          <cell r="L4">
            <v>197938.19645723698</v>
          </cell>
          <cell r="M4">
            <v>197817.89786960755</v>
          </cell>
        </row>
        <row r="5">
          <cell r="D5">
            <v>1493200</v>
          </cell>
          <cell r="E5">
            <v>1752361.0830489192</v>
          </cell>
          <cell r="F5">
            <v>1969461.1513083049</v>
          </cell>
          <cell r="G5">
            <v>2169913.4835039815</v>
          </cell>
          <cell r="H5">
            <v>2367715.7679180885</v>
          </cell>
          <cell r="I5">
            <v>2560353.8566552904</v>
          </cell>
          <cell r="J5">
            <v>2750817.5472127418</v>
          </cell>
          <cell r="K5">
            <v>2897459.5377513119</v>
          </cell>
          <cell r="L5">
            <v>3083611.8493312756</v>
          </cell>
          <cell r="M5">
            <v>3277133.4054458239</v>
          </cell>
        </row>
        <row r="6">
          <cell r="D6">
            <v>424600</v>
          </cell>
          <cell r="E6">
            <v>498293.94311717863</v>
          </cell>
          <cell r="F6">
            <v>560027.59499431169</v>
          </cell>
          <cell r="G6">
            <v>617027.3674630262</v>
          </cell>
          <cell r="H6">
            <v>673273.58361774741</v>
          </cell>
          <cell r="I6">
            <v>728051.33105802047</v>
          </cell>
          <cell r="J6">
            <v>782210.77588168369</v>
          </cell>
          <cell r="K6">
            <v>823909.26850335323</v>
          </cell>
          <cell r="L6">
            <v>876842.74794137396</v>
          </cell>
          <cell r="M6">
            <v>931871.71440684225</v>
          </cell>
        </row>
        <row r="7">
          <cell r="D7">
            <v>279700</v>
          </cell>
          <cell r="E7">
            <v>328244.97383390216</v>
          </cell>
          <cell r="F7">
            <v>368911.25369738339</v>
          </cell>
          <cell r="G7">
            <v>406459.14903299202</v>
          </cell>
          <cell r="H7">
            <v>443510.64846416382</v>
          </cell>
          <cell r="I7">
            <v>479594.81228668947</v>
          </cell>
          <cell r="J7">
            <v>515271.67690557451</v>
          </cell>
          <cell r="K7">
            <v>542740.04333581706</v>
          </cell>
          <cell r="L7">
            <v>577609.31841545529</v>
          </cell>
          <cell r="M7">
            <v>613858.96966461092</v>
          </cell>
        </row>
        <row r="8">
          <cell r="D8">
            <v>47000</v>
          </cell>
          <cell r="E8">
            <v>48500</v>
          </cell>
          <cell r="F8">
            <v>49400</v>
          </cell>
          <cell r="G8">
            <v>50000</v>
          </cell>
          <cell r="H8">
            <v>50300</v>
          </cell>
          <cell r="I8">
            <v>50200</v>
          </cell>
          <cell r="J8">
            <v>49900</v>
          </cell>
          <cell r="K8">
            <v>49431.663701127458</v>
          </cell>
          <cell r="L8">
            <v>48811.850271600131</v>
          </cell>
          <cell r="M8">
            <v>48096.224053239421</v>
          </cell>
        </row>
        <row r="9">
          <cell r="D9">
            <v>158000</v>
          </cell>
          <cell r="E9">
            <v>164100</v>
          </cell>
          <cell r="F9">
            <v>167400</v>
          </cell>
          <cell r="G9">
            <v>169900</v>
          </cell>
          <cell r="H9">
            <v>171200</v>
          </cell>
          <cell r="I9">
            <v>171400</v>
          </cell>
          <cell r="J9">
            <v>170800</v>
          </cell>
          <cell r="K9">
            <v>169618.32437766416</v>
          </cell>
          <cell r="L9">
            <v>167908.6352501736</v>
          </cell>
          <cell r="M9">
            <v>165858.96984434372</v>
          </cell>
        </row>
        <row r="10">
          <cell r="D10">
            <v>113600</v>
          </cell>
          <cell r="E10">
            <v>119100</v>
          </cell>
          <cell r="F10">
            <v>122500</v>
          </cell>
          <cell r="G10">
            <v>125500</v>
          </cell>
          <cell r="H10">
            <v>127800</v>
          </cell>
          <cell r="I10">
            <v>129500</v>
          </cell>
          <cell r="J10">
            <v>130800</v>
          </cell>
          <cell r="K10">
            <v>131659.91580643697</v>
          </cell>
          <cell r="L10">
            <v>132103.63348676322</v>
          </cell>
          <cell r="M10">
            <v>132263.99054396391</v>
          </cell>
        </row>
        <row r="11">
          <cell r="D11">
            <v>231200</v>
          </cell>
          <cell r="E11">
            <v>240500</v>
          </cell>
          <cell r="F11">
            <v>244600</v>
          </cell>
          <cell r="G11">
            <v>247500</v>
          </cell>
          <cell r="H11">
            <v>248900</v>
          </cell>
          <cell r="I11">
            <v>248800</v>
          </cell>
          <cell r="J11">
            <v>247600</v>
          </cell>
          <cell r="K11">
            <v>245560.64087617269</v>
          </cell>
          <cell r="L11">
            <v>242762.85528000264</v>
          </cell>
          <cell r="M11">
            <v>239481.17720785996</v>
          </cell>
        </row>
        <row r="12">
          <cell r="D12">
            <v>486700</v>
          </cell>
          <cell r="E12">
            <v>515200</v>
          </cell>
          <cell r="F12">
            <v>532500</v>
          </cell>
          <cell r="G12">
            <v>546200</v>
          </cell>
          <cell r="H12">
            <v>557400</v>
          </cell>
          <cell r="I12">
            <v>565600</v>
          </cell>
          <cell r="J12">
            <v>571300</v>
          </cell>
          <cell r="K12">
            <v>575078.1948151195</v>
          </cell>
          <cell r="L12">
            <v>577038.69691146258</v>
          </cell>
          <cell r="M12">
            <v>577761.56152978097</v>
          </cell>
        </row>
        <row r="13">
          <cell r="D13">
            <v>142200</v>
          </cell>
          <cell r="E13">
            <v>149100</v>
          </cell>
          <cell r="F13">
            <v>153600</v>
          </cell>
          <cell r="G13">
            <v>157000</v>
          </cell>
          <cell r="H13">
            <v>159400</v>
          </cell>
          <cell r="I13">
            <v>160700</v>
          </cell>
          <cell r="J13">
            <v>161000</v>
          </cell>
          <cell r="K13">
            <v>160754.89583405922</v>
          </cell>
          <cell r="L13">
            <v>160006.7871768855</v>
          </cell>
          <cell r="M13">
            <v>158927.40643210392</v>
          </cell>
        </row>
        <row r="14">
          <cell r="D14">
            <v>33000</v>
          </cell>
          <cell r="E14">
            <v>32500</v>
          </cell>
          <cell r="F14">
            <v>32500</v>
          </cell>
          <cell r="G14">
            <v>32300</v>
          </cell>
          <cell r="H14">
            <v>31900</v>
          </cell>
          <cell r="I14">
            <v>31300</v>
          </cell>
          <cell r="J14">
            <v>30600</v>
          </cell>
          <cell r="K14">
            <v>29813.047284347907</v>
          </cell>
          <cell r="L14">
            <v>28953.873470953382</v>
          </cell>
          <cell r="M14">
            <v>28059.029410232182</v>
          </cell>
        </row>
        <row r="15">
          <cell r="D15">
            <v>562900</v>
          </cell>
          <cell r="E15">
            <v>623200</v>
          </cell>
          <cell r="F15">
            <v>664200</v>
          </cell>
          <cell r="G15">
            <v>694300</v>
          </cell>
          <cell r="H15">
            <v>721700</v>
          </cell>
          <cell r="I15">
            <v>745800</v>
          </cell>
          <cell r="J15">
            <v>767300</v>
          </cell>
          <cell r="K15">
            <v>786712.17423192051</v>
          </cell>
          <cell r="L15">
            <v>804047.86741988454</v>
          </cell>
          <cell r="M15">
            <v>819999.53614564182</v>
          </cell>
        </row>
        <row r="16">
          <cell r="D16">
            <v>208800</v>
          </cell>
          <cell r="E16">
            <v>225800</v>
          </cell>
          <cell r="F16">
            <v>236000</v>
          </cell>
          <cell r="G16">
            <v>242700</v>
          </cell>
          <cell r="H16">
            <v>248300</v>
          </cell>
          <cell r="I16">
            <v>252700</v>
          </cell>
          <cell r="J16">
            <v>256100</v>
          </cell>
          <cell r="K16">
            <v>258655.53031246335</v>
          </cell>
          <cell r="L16">
            <v>260405.000361026</v>
          </cell>
          <cell r="M16">
            <v>261602.89099372854</v>
          </cell>
        </row>
        <row r="17">
          <cell r="D17">
            <v>96000</v>
          </cell>
          <cell r="E17">
            <v>99200</v>
          </cell>
          <cell r="F17">
            <v>100100</v>
          </cell>
          <cell r="G17">
            <v>100600</v>
          </cell>
          <cell r="H17">
            <v>100600</v>
          </cell>
          <cell r="I17">
            <v>100000</v>
          </cell>
          <cell r="J17">
            <v>99000</v>
          </cell>
          <cell r="K17">
            <v>97673.835622846746</v>
          </cell>
          <cell r="L17">
            <v>96058.688225904029</v>
          </cell>
          <cell r="M17">
            <v>94267.226452221803</v>
          </cell>
        </row>
        <row r="18">
          <cell r="D18">
            <v>4441600</v>
          </cell>
          <cell r="E18">
            <v>4972200</v>
          </cell>
          <cell r="F18">
            <v>5384500</v>
          </cell>
          <cell r="G18">
            <v>5748000</v>
          </cell>
          <cell r="H18">
            <v>6094500</v>
          </cell>
          <cell r="I18">
            <v>6419100</v>
          </cell>
          <cell r="J18">
            <v>6729400</v>
          </cell>
          <cell r="K18">
            <v>6966700.0000000009</v>
          </cell>
          <cell r="L18">
            <v>7254099.9999999991</v>
          </cell>
          <cell r="M18">
            <v>7547000.0000000009</v>
          </cell>
        </row>
      </sheetData>
      <sheetData sheetId="2"/>
      <sheetData sheetId="3"/>
      <sheetData sheetId="4"/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0.15</v>
          </cell>
          <cell r="L6">
            <v>0.3</v>
          </cell>
          <cell r="M6">
            <v>0.45</v>
          </cell>
          <cell r="N6">
            <v>0.6</v>
          </cell>
          <cell r="O6">
            <v>0.6</v>
          </cell>
          <cell r="P6">
            <v>0.6</v>
          </cell>
          <cell r="Q6">
            <v>0.6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0.15</v>
          </cell>
          <cell r="L7">
            <v>0.3</v>
          </cell>
          <cell r="M7">
            <v>0.45</v>
          </cell>
          <cell r="N7">
            <v>0.6</v>
          </cell>
          <cell r="O7">
            <v>0.6</v>
          </cell>
          <cell r="P7">
            <v>0.6</v>
          </cell>
          <cell r="Q7">
            <v>0.6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</v>
          </cell>
          <cell r="L8">
            <v>0.3</v>
          </cell>
          <cell r="M8">
            <v>0.45</v>
          </cell>
          <cell r="N8">
            <v>0.6</v>
          </cell>
          <cell r="O8">
            <v>0.6</v>
          </cell>
          <cell r="P8">
            <v>0.6</v>
          </cell>
          <cell r="Q8">
            <v>0.6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</v>
          </cell>
          <cell r="L9">
            <v>0.3</v>
          </cell>
          <cell r="M9">
            <v>0.45</v>
          </cell>
          <cell r="N9">
            <v>0.6</v>
          </cell>
          <cell r="O9">
            <v>0.6</v>
          </cell>
          <cell r="P9">
            <v>0.6</v>
          </cell>
          <cell r="Q9">
            <v>0.6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0.15</v>
          </cell>
          <cell r="L10">
            <v>0.3</v>
          </cell>
          <cell r="M10">
            <v>0.45</v>
          </cell>
          <cell r="N10">
            <v>0.6</v>
          </cell>
          <cell r="O10">
            <v>0.6</v>
          </cell>
          <cell r="P10">
            <v>0.6</v>
          </cell>
          <cell r="Q10">
            <v>0.6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</v>
          </cell>
          <cell r="L11">
            <v>0.3</v>
          </cell>
          <cell r="M11">
            <v>0.45</v>
          </cell>
          <cell r="N11">
            <v>0.6</v>
          </cell>
          <cell r="O11">
            <v>0.6</v>
          </cell>
          <cell r="P11">
            <v>0.6</v>
          </cell>
          <cell r="Q11">
            <v>0.6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</v>
          </cell>
          <cell r="L12">
            <v>0.3</v>
          </cell>
          <cell r="M12">
            <v>0.45</v>
          </cell>
          <cell r="N12">
            <v>0.6</v>
          </cell>
          <cell r="O12">
            <v>0.6</v>
          </cell>
          <cell r="P12">
            <v>0.6</v>
          </cell>
          <cell r="Q12">
            <v>0.6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</v>
          </cell>
          <cell r="L13">
            <v>0.3</v>
          </cell>
          <cell r="M13">
            <v>0.45</v>
          </cell>
          <cell r="N13">
            <v>0.6</v>
          </cell>
          <cell r="O13">
            <v>0.6</v>
          </cell>
          <cell r="P13">
            <v>0.6</v>
          </cell>
          <cell r="Q13">
            <v>0.6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0.15</v>
          </cell>
          <cell r="L14">
            <v>0.3</v>
          </cell>
          <cell r="M14">
            <v>0.45</v>
          </cell>
          <cell r="N14">
            <v>0.6</v>
          </cell>
          <cell r="O14">
            <v>0.6</v>
          </cell>
          <cell r="P14">
            <v>0.6</v>
          </cell>
          <cell r="Q14">
            <v>0.6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0.15</v>
          </cell>
          <cell r="L15">
            <v>0.3</v>
          </cell>
          <cell r="M15">
            <v>0.45</v>
          </cell>
          <cell r="N15">
            <v>0.6</v>
          </cell>
          <cell r="O15">
            <v>0.6</v>
          </cell>
          <cell r="P15">
            <v>0.6</v>
          </cell>
          <cell r="Q15">
            <v>0.6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0.15</v>
          </cell>
          <cell r="L16">
            <v>0.3</v>
          </cell>
          <cell r="M16">
            <v>0.45</v>
          </cell>
          <cell r="N16">
            <v>0.6</v>
          </cell>
          <cell r="O16">
            <v>0.6</v>
          </cell>
          <cell r="P16">
            <v>0.6</v>
          </cell>
          <cell r="Q16">
            <v>0.6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0.15</v>
          </cell>
          <cell r="L17">
            <v>0.3</v>
          </cell>
          <cell r="M17">
            <v>0.45</v>
          </cell>
          <cell r="N17">
            <v>0.6</v>
          </cell>
          <cell r="O17">
            <v>0.6</v>
          </cell>
          <cell r="P17">
            <v>0.6</v>
          </cell>
          <cell r="Q17">
            <v>0.6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0.15</v>
          </cell>
          <cell r="L18">
            <v>0.3</v>
          </cell>
          <cell r="M18">
            <v>0.45</v>
          </cell>
          <cell r="N18">
            <v>0.6</v>
          </cell>
          <cell r="O18">
            <v>0.6</v>
          </cell>
          <cell r="P18">
            <v>0.6</v>
          </cell>
          <cell r="Q18">
            <v>0.6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0.15</v>
          </cell>
          <cell r="L19">
            <v>0.3</v>
          </cell>
          <cell r="M19">
            <v>0.45</v>
          </cell>
          <cell r="N19">
            <v>0.6</v>
          </cell>
          <cell r="O19">
            <v>0.6</v>
          </cell>
          <cell r="P19">
            <v>0.6</v>
          </cell>
          <cell r="Q19">
            <v>0.6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4">
          <cell r="I44">
            <v>0</v>
          </cell>
          <cell r="J44">
            <v>0.02</v>
          </cell>
          <cell r="K44">
            <v>0.04</v>
          </cell>
          <cell r="L44">
            <v>0.06</v>
          </cell>
          <cell r="M44">
            <v>0.08</v>
          </cell>
          <cell r="N44">
            <v>0.1</v>
          </cell>
          <cell r="O44">
            <v>0.12</v>
          </cell>
          <cell r="P44">
            <v>0.14000000000000001</v>
          </cell>
          <cell r="Q44">
            <v>0.16</v>
          </cell>
        </row>
        <row r="45">
          <cell r="I45">
            <v>0</v>
          </cell>
          <cell r="J45">
            <v>0.02</v>
          </cell>
          <cell r="K45">
            <v>0.04</v>
          </cell>
          <cell r="L45">
            <v>0.06</v>
          </cell>
          <cell r="M45">
            <v>0.08</v>
          </cell>
          <cell r="N45">
            <v>0.1</v>
          </cell>
          <cell r="O45">
            <v>0.12</v>
          </cell>
          <cell r="P45">
            <v>0.14000000000000001</v>
          </cell>
          <cell r="Q45">
            <v>0.16</v>
          </cell>
        </row>
        <row r="46">
          <cell r="I46">
            <v>0</v>
          </cell>
          <cell r="J46">
            <v>0.02</v>
          </cell>
          <cell r="K46">
            <v>0.04</v>
          </cell>
          <cell r="L46">
            <v>0.06</v>
          </cell>
          <cell r="M46">
            <v>0.08</v>
          </cell>
          <cell r="N46">
            <v>0.1</v>
          </cell>
          <cell r="O46">
            <v>0.12</v>
          </cell>
          <cell r="P46">
            <v>0.14000000000000001</v>
          </cell>
          <cell r="Q46">
            <v>0.16</v>
          </cell>
        </row>
        <row r="47">
          <cell r="I47">
            <v>0</v>
          </cell>
          <cell r="J47">
            <v>0.02</v>
          </cell>
          <cell r="K47">
            <v>0.04</v>
          </cell>
          <cell r="L47">
            <v>0.06</v>
          </cell>
          <cell r="M47">
            <v>0.08</v>
          </cell>
          <cell r="N47">
            <v>0.1</v>
          </cell>
          <cell r="O47">
            <v>0.12</v>
          </cell>
          <cell r="P47">
            <v>0.14000000000000001</v>
          </cell>
          <cell r="Q47">
            <v>0.16</v>
          </cell>
        </row>
        <row r="48">
          <cell r="I48">
            <v>0</v>
          </cell>
          <cell r="J48">
            <v>0.02</v>
          </cell>
          <cell r="K48">
            <v>0.04</v>
          </cell>
          <cell r="L48">
            <v>0.06</v>
          </cell>
          <cell r="M48">
            <v>0.08</v>
          </cell>
          <cell r="N48">
            <v>0.1</v>
          </cell>
          <cell r="O48">
            <v>0.12</v>
          </cell>
          <cell r="P48">
            <v>0.14000000000000001</v>
          </cell>
          <cell r="Q48">
            <v>0.16</v>
          </cell>
        </row>
        <row r="49">
          <cell r="I49">
            <v>0</v>
          </cell>
          <cell r="J49">
            <v>0.02</v>
          </cell>
          <cell r="K49">
            <v>0.04</v>
          </cell>
          <cell r="L49">
            <v>0.06</v>
          </cell>
          <cell r="M49">
            <v>0.08</v>
          </cell>
          <cell r="N49">
            <v>0.1</v>
          </cell>
          <cell r="O49">
            <v>0.12</v>
          </cell>
          <cell r="P49">
            <v>0.14000000000000001</v>
          </cell>
          <cell r="Q49">
            <v>0.16</v>
          </cell>
        </row>
        <row r="50">
          <cell r="I50">
            <v>0</v>
          </cell>
          <cell r="J50">
            <v>0.02</v>
          </cell>
          <cell r="K50">
            <v>0.04</v>
          </cell>
          <cell r="L50">
            <v>0.06</v>
          </cell>
          <cell r="M50">
            <v>0.08</v>
          </cell>
          <cell r="N50">
            <v>0.1</v>
          </cell>
          <cell r="O50">
            <v>0.12</v>
          </cell>
          <cell r="P50">
            <v>0.14000000000000001</v>
          </cell>
          <cell r="Q50">
            <v>0.16</v>
          </cell>
        </row>
        <row r="51">
          <cell r="I51">
            <v>0</v>
          </cell>
          <cell r="J51">
            <v>0.02</v>
          </cell>
          <cell r="K51">
            <v>0.04</v>
          </cell>
          <cell r="L51">
            <v>0.06</v>
          </cell>
          <cell r="M51">
            <v>0.08</v>
          </cell>
          <cell r="N51">
            <v>0.1</v>
          </cell>
          <cell r="O51">
            <v>0.12</v>
          </cell>
          <cell r="P51">
            <v>0.14000000000000001</v>
          </cell>
          <cell r="Q51">
            <v>0.16</v>
          </cell>
        </row>
        <row r="52">
          <cell r="I52">
            <v>0</v>
          </cell>
          <cell r="J52">
            <v>0.02</v>
          </cell>
          <cell r="K52">
            <v>0.04</v>
          </cell>
          <cell r="L52">
            <v>0.06</v>
          </cell>
          <cell r="M52">
            <v>0.08</v>
          </cell>
          <cell r="N52">
            <v>0.1</v>
          </cell>
          <cell r="O52">
            <v>0.12</v>
          </cell>
          <cell r="P52">
            <v>0.14000000000000001</v>
          </cell>
          <cell r="Q52">
            <v>0.16</v>
          </cell>
        </row>
        <row r="53">
          <cell r="I53">
            <v>0</v>
          </cell>
          <cell r="J53">
            <v>0.02</v>
          </cell>
          <cell r="K53">
            <v>0.04</v>
          </cell>
          <cell r="L53">
            <v>0.06</v>
          </cell>
          <cell r="M53">
            <v>0.08</v>
          </cell>
          <cell r="N53">
            <v>0.1</v>
          </cell>
          <cell r="O53">
            <v>0.12</v>
          </cell>
          <cell r="P53">
            <v>0.14000000000000001</v>
          </cell>
          <cell r="Q53">
            <v>0.16</v>
          </cell>
        </row>
        <row r="54">
          <cell r="I54">
            <v>0</v>
          </cell>
          <cell r="J54">
            <v>0.02</v>
          </cell>
          <cell r="K54">
            <v>0.04</v>
          </cell>
          <cell r="L54">
            <v>0.06</v>
          </cell>
          <cell r="M54">
            <v>0.08</v>
          </cell>
          <cell r="N54">
            <v>0.1</v>
          </cell>
          <cell r="O54">
            <v>0.12</v>
          </cell>
          <cell r="P54">
            <v>0.14000000000000001</v>
          </cell>
          <cell r="Q54">
            <v>0.16</v>
          </cell>
        </row>
        <row r="55">
          <cell r="I55">
            <v>0</v>
          </cell>
          <cell r="J55">
            <v>0.02</v>
          </cell>
          <cell r="K55">
            <v>0.04</v>
          </cell>
          <cell r="L55">
            <v>0.06</v>
          </cell>
          <cell r="M55">
            <v>0.08</v>
          </cell>
          <cell r="N55">
            <v>0.1</v>
          </cell>
          <cell r="O55">
            <v>0.12</v>
          </cell>
          <cell r="P55">
            <v>0.14000000000000001</v>
          </cell>
          <cell r="Q55">
            <v>0.16</v>
          </cell>
        </row>
        <row r="56">
          <cell r="I56">
            <v>0</v>
          </cell>
          <cell r="J56">
            <v>0.02</v>
          </cell>
          <cell r="K56">
            <v>0.04</v>
          </cell>
          <cell r="L56">
            <v>0.06</v>
          </cell>
          <cell r="M56">
            <v>0.08</v>
          </cell>
          <cell r="N56">
            <v>0.1</v>
          </cell>
          <cell r="O56">
            <v>0.12</v>
          </cell>
          <cell r="P56">
            <v>0.14000000000000001</v>
          </cell>
          <cell r="Q56">
            <v>0.16</v>
          </cell>
        </row>
        <row r="57">
          <cell r="I57">
            <v>0</v>
          </cell>
          <cell r="J57">
            <v>0.02</v>
          </cell>
          <cell r="K57">
            <v>0.04</v>
          </cell>
          <cell r="L57">
            <v>0.06</v>
          </cell>
          <cell r="M57">
            <v>0.08</v>
          </cell>
          <cell r="N57">
            <v>0.1</v>
          </cell>
          <cell r="O57">
            <v>0.12</v>
          </cell>
          <cell r="P57">
            <v>0.14000000000000001</v>
          </cell>
          <cell r="Q57">
            <v>0.16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1"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p_summary_region"/>
      <sheetName val="trip_summary_region golden 2016"/>
    </sheetNames>
    <sheetDataSet>
      <sheetData sheetId="0">
        <row r="1">
          <cell r="A1" t="str">
            <v>region_NS</v>
          </cell>
          <cell r="B1" t="str">
            <v>outmode</v>
          </cell>
          <cell r="C1" t="str">
            <v>Year</v>
          </cell>
          <cell r="D1" t="str">
            <v>sampeopler</v>
          </cell>
          <cell r="E1" t="str">
            <v>samcountr</v>
          </cell>
          <cell r="F1" t="str">
            <v>tottripr</v>
          </cell>
          <cell r="G1" t="str">
            <v>totdistr</v>
          </cell>
          <cell r="H1" t="str">
            <v>totdurationr</v>
          </cell>
          <cell r="I1" t="str">
            <v>modename</v>
          </cell>
          <cell r="J1" t="str">
            <v>yearname</v>
          </cell>
        </row>
        <row r="2">
          <cell r="A2" t="str">
            <v>01 NORTHLAND</v>
          </cell>
          <cell r="B2">
            <v>0</v>
          </cell>
          <cell r="C2">
            <v>2013</v>
          </cell>
          <cell r="D2">
            <v>259</v>
          </cell>
          <cell r="E2">
            <v>844</v>
          </cell>
          <cell r="F2">
            <v>23.706864376999999</v>
          </cell>
          <cell r="G2">
            <v>17.849116999</v>
          </cell>
          <cell r="H2">
            <v>5.0772161771000004</v>
          </cell>
          <cell r="I2" t="str">
            <v>Pedestrian</v>
          </cell>
          <cell r="J2" t="str">
            <v>2012/13</v>
          </cell>
        </row>
        <row r="3">
          <cell r="A3" t="str">
            <v>01 NORTHLAND</v>
          </cell>
          <cell r="B3">
            <v>0</v>
          </cell>
          <cell r="C3">
            <v>2018</v>
          </cell>
          <cell r="D3">
            <v>259</v>
          </cell>
          <cell r="E3">
            <v>844</v>
          </cell>
          <cell r="F3">
            <v>21.952727676999999</v>
          </cell>
          <cell r="G3">
            <v>16.287674259999999</v>
          </cell>
          <cell r="H3">
            <v>4.6406849414</v>
          </cell>
          <cell r="I3" t="str">
            <v>Pedestrian</v>
          </cell>
          <cell r="J3" t="str">
            <v>2017/18</v>
          </cell>
        </row>
        <row r="4">
          <cell r="A4" t="str">
            <v>01 NORTHLAND</v>
          </cell>
          <cell r="B4">
            <v>0</v>
          </cell>
          <cell r="C4">
            <v>2023</v>
          </cell>
          <cell r="D4">
            <v>259</v>
          </cell>
          <cell r="E4">
            <v>844</v>
          </cell>
          <cell r="F4">
            <v>21.964663739999999</v>
          </cell>
          <cell r="G4">
            <v>16.015147476999999</v>
          </cell>
          <cell r="H4">
            <v>4.5734702428</v>
          </cell>
          <cell r="I4" t="str">
            <v>Pedestrian</v>
          </cell>
          <cell r="J4" t="str">
            <v>2022/23</v>
          </cell>
        </row>
        <row r="5">
          <cell r="A5" t="str">
            <v>01 NORTHLAND</v>
          </cell>
          <cell r="B5">
            <v>0</v>
          </cell>
          <cell r="C5">
            <v>2028</v>
          </cell>
          <cell r="D5">
            <v>259</v>
          </cell>
          <cell r="E5">
            <v>844</v>
          </cell>
          <cell r="F5">
            <v>20.955878895000001</v>
          </cell>
          <cell r="G5">
            <v>15.006773715</v>
          </cell>
          <cell r="H5">
            <v>4.2682686530999998</v>
          </cell>
          <cell r="I5" t="str">
            <v>Pedestrian</v>
          </cell>
          <cell r="J5" t="str">
            <v>2027/28</v>
          </cell>
        </row>
        <row r="6">
          <cell r="A6" t="str">
            <v>01 NORTHLAND</v>
          </cell>
          <cell r="B6">
            <v>0</v>
          </cell>
          <cell r="C6">
            <v>2033</v>
          </cell>
          <cell r="D6">
            <v>259</v>
          </cell>
          <cell r="E6">
            <v>844</v>
          </cell>
          <cell r="F6">
            <v>19.861789483999999</v>
          </cell>
          <cell r="G6">
            <v>13.867542179000001</v>
          </cell>
          <cell r="H6">
            <v>3.9386565709000001</v>
          </cell>
          <cell r="I6" t="str">
            <v>Pedestrian</v>
          </cell>
          <cell r="J6" t="str">
            <v>2032/33</v>
          </cell>
        </row>
        <row r="7">
          <cell r="A7" t="str">
            <v>01 NORTHLAND</v>
          </cell>
          <cell r="B7">
            <v>0</v>
          </cell>
          <cell r="C7">
            <v>2038</v>
          </cell>
          <cell r="D7">
            <v>259</v>
          </cell>
          <cell r="E7">
            <v>844</v>
          </cell>
          <cell r="F7">
            <v>18.660588799999999</v>
          </cell>
          <cell r="G7">
            <v>12.622053044999999</v>
          </cell>
          <cell r="H7">
            <v>3.5826017528</v>
          </cell>
          <cell r="I7" t="str">
            <v>Pedestrian</v>
          </cell>
          <cell r="J7" t="str">
            <v>2037/38</v>
          </cell>
        </row>
        <row r="8">
          <cell r="A8" t="str">
            <v>01 NORTHLAND</v>
          </cell>
          <cell r="B8">
            <v>0</v>
          </cell>
          <cell r="C8">
            <v>2043</v>
          </cell>
          <cell r="D8">
            <v>259</v>
          </cell>
          <cell r="E8">
            <v>844</v>
          </cell>
          <cell r="F8">
            <v>17.511807036</v>
          </cell>
          <cell r="G8">
            <v>11.44996671</v>
          </cell>
          <cell r="H8">
            <v>3.2486232056</v>
          </cell>
          <cell r="I8" t="str">
            <v>Pedestrian</v>
          </cell>
          <cell r="J8" t="str">
            <v>2042/43</v>
          </cell>
        </row>
        <row r="9">
          <cell r="A9" t="str">
            <v>01 NORTHLAND</v>
          </cell>
          <cell r="B9">
            <v>1</v>
          </cell>
          <cell r="C9">
            <v>2013</v>
          </cell>
          <cell r="D9">
            <v>5</v>
          </cell>
          <cell r="E9">
            <v>19</v>
          </cell>
          <cell r="F9">
            <v>0.66592947719999995</v>
          </cell>
          <cell r="G9">
            <v>1.0072239942000001</v>
          </cell>
          <cell r="H9">
            <v>0.15772883609999999</v>
          </cell>
          <cell r="I9" t="str">
            <v>Cyclist</v>
          </cell>
          <cell r="J9" t="str">
            <v>2012/13</v>
          </cell>
        </row>
        <row r="10">
          <cell r="A10" t="str">
            <v>01 NORTHLAND</v>
          </cell>
          <cell r="B10">
            <v>1</v>
          </cell>
          <cell r="C10">
            <v>2018</v>
          </cell>
          <cell r="D10">
            <v>5</v>
          </cell>
          <cell r="E10">
            <v>19</v>
          </cell>
          <cell r="F10">
            <v>0.59247920750000005</v>
          </cell>
          <cell r="G10">
            <v>0.91412754689999998</v>
          </cell>
          <cell r="H10">
            <v>0.14327489290000001</v>
          </cell>
          <cell r="I10" t="str">
            <v>Cyclist</v>
          </cell>
          <cell r="J10" t="str">
            <v>2017/18</v>
          </cell>
        </row>
        <row r="11">
          <cell r="A11" t="str">
            <v>01 NORTHLAND</v>
          </cell>
          <cell r="B11">
            <v>1</v>
          </cell>
          <cell r="C11">
            <v>2023</v>
          </cell>
          <cell r="D11">
            <v>5</v>
          </cell>
          <cell r="E11">
            <v>19</v>
          </cell>
          <cell r="F11">
            <v>0.58956368579999996</v>
          </cell>
          <cell r="G11">
            <v>0.92269632989999995</v>
          </cell>
          <cell r="H11">
            <v>0.14432525830000001</v>
          </cell>
          <cell r="I11" t="str">
            <v>Cyclist</v>
          </cell>
          <cell r="J11" t="str">
            <v>2022/23</v>
          </cell>
        </row>
        <row r="12">
          <cell r="A12" t="str">
            <v>01 NORTHLAND</v>
          </cell>
          <cell r="B12">
            <v>1</v>
          </cell>
          <cell r="C12">
            <v>2028</v>
          </cell>
          <cell r="D12">
            <v>5</v>
          </cell>
          <cell r="E12">
            <v>19</v>
          </cell>
          <cell r="F12">
            <v>0.52850230860000003</v>
          </cell>
          <cell r="G12">
            <v>0.83605250600000003</v>
          </cell>
          <cell r="H12">
            <v>0.13111751420000001</v>
          </cell>
          <cell r="I12" t="str">
            <v>Cyclist</v>
          </cell>
          <cell r="J12" t="str">
            <v>2027/28</v>
          </cell>
        </row>
        <row r="13">
          <cell r="A13" t="str">
            <v>01 NORTHLAND</v>
          </cell>
          <cell r="B13">
            <v>1</v>
          </cell>
          <cell r="C13">
            <v>2033</v>
          </cell>
          <cell r="D13">
            <v>5</v>
          </cell>
          <cell r="E13">
            <v>19</v>
          </cell>
          <cell r="F13">
            <v>0.44584004030000002</v>
          </cell>
          <cell r="G13">
            <v>0.71153155840000004</v>
          </cell>
          <cell r="H13">
            <v>0.11178205400000001</v>
          </cell>
          <cell r="I13" t="str">
            <v>Cyclist</v>
          </cell>
          <cell r="J13" t="str">
            <v>2032/33</v>
          </cell>
        </row>
        <row r="14">
          <cell r="A14" t="str">
            <v>01 NORTHLAND</v>
          </cell>
          <cell r="B14">
            <v>1</v>
          </cell>
          <cell r="C14">
            <v>2038</v>
          </cell>
          <cell r="D14">
            <v>5</v>
          </cell>
          <cell r="E14">
            <v>19</v>
          </cell>
          <cell r="F14">
            <v>0.32374908000000002</v>
          </cell>
          <cell r="G14">
            <v>0.52121459130000003</v>
          </cell>
          <cell r="H14">
            <v>8.1804211799999998E-2</v>
          </cell>
          <cell r="I14" t="str">
            <v>Cyclist</v>
          </cell>
          <cell r="J14" t="str">
            <v>2037/38</v>
          </cell>
        </row>
        <row r="15">
          <cell r="A15" t="str">
            <v>01 NORTHLAND</v>
          </cell>
          <cell r="B15">
            <v>1</v>
          </cell>
          <cell r="C15">
            <v>2043</v>
          </cell>
          <cell r="D15">
            <v>5</v>
          </cell>
          <cell r="E15">
            <v>19</v>
          </cell>
          <cell r="F15">
            <v>0.21835749469999999</v>
          </cell>
          <cell r="G15">
            <v>0.35445561450000002</v>
          </cell>
          <cell r="H15">
            <v>5.5584665300000002E-2</v>
          </cell>
          <cell r="I15" t="str">
            <v>Cyclist</v>
          </cell>
          <cell r="J15" t="str">
            <v>2042/43</v>
          </cell>
        </row>
        <row r="16">
          <cell r="A16" t="str">
            <v>01 NORTHLAND</v>
          </cell>
          <cell r="B16">
            <v>2</v>
          </cell>
          <cell r="C16">
            <v>2013</v>
          </cell>
          <cell r="D16">
            <v>476</v>
          </cell>
          <cell r="E16">
            <v>2980</v>
          </cell>
          <cell r="F16">
            <v>86.333691700000003</v>
          </cell>
          <cell r="G16">
            <v>1011.4273062</v>
          </cell>
          <cell r="H16">
            <v>23.421840091</v>
          </cell>
          <cell r="I16" t="str">
            <v>Light Vehicle Driver</v>
          </cell>
          <cell r="J16" t="str">
            <v>2012/13</v>
          </cell>
        </row>
        <row r="17">
          <cell r="A17" t="str">
            <v>01 NORTHLAND</v>
          </cell>
          <cell r="B17">
            <v>2</v>
          </cell>
          <cell r="C17">
            <v>2018</v>
          </cell>
          <cell r="D17">
            <v>476</v>
          </cell>
          <cell r="E17">
            <v>2980</v>
          </cell>
          <cell r="F17">
            <v>82.587707332999997</v>
          </cell>
          <cell r="G17">
            <v>979.62097317999996</v>
          </cell>
          <cell r="H17">
            <v>22.626610604</v>
          </cell>
          <cell r="I17" t="str">
            <v>Light Vehicle Driver</v>
          </cell>
          <cell r="J17" t="str">
            <v>2017/18</v>
          </cell>
        </row>
        <row r="18">
          <cell r="A18" t="str">
            <v>01 NORTHLAND</v>
          </cell>
          <cell r="B18">
            <v>2</v>
          </cell>
          <cell r="C18">
            <v>2023</v>
          </cell>
          <cell r="D18">
            <v>476</v>
          </cell>
          <cell r="E18">
            <v>2980</v>
          </cell>
          <cell r="F18">
            <v>85.163748853000001</v>
          </cell>
          <cell r="G18">
            <v>1020.5107126</v>
          </cell>
          <cell r="H18">
            <v>23.449053301999999</v>
          </cell>
          <cell r="I18" t="str">
            <v>Light Vehicle Driver</v>
          </cell>
          <cell r="J18" t="str">
            <v>2022/23</v>
          </cell>
        </row>
        <row r="19">
          <cell r="A19" t="str">
            <v>01 NORTHLAND</v>
          </cell>
          <cell r="B19">
            <v>2</v>
          </cell>
          <cell r="C19">
            <v>2028</v>
          </cell>
          <cell r="D19">
            <v>476</v>
          </cell>
          <cell r="E19">
            <v>2980</v>
          </cell>
          <cell r="F19">
            <v>85.187123835999998</v>
          </cell>
          <cell r="G19">
            <v>1022.0614009</v>
          </cell>
          <cell r="H19">
            <v>23.336826415000001</v>
          </cell>
          <cell r="I19" t="str">
            <v>Light Vehicle Driver</v>
          </cell>
          <cell r="J19" t="str">
            <v>2027/28</v>
          </cell>
        </row>
        <row r="20">
          <cell r="A20" t="str">
            <v>01 NORTHLAND</v>
          </cell>
          <cell r="B20">
            <v>2</v>
          </cell>
          <cell r="C20">
            <v>2033</v>
          </cell>
          <cell r="D20">
            <v>476</v>
          </cell>
          <cell r="E20">
            <v>2980</v>
          </cell>
          <cell r="F20">
            <v>84.770374771999997</v>
          </cell>
          <cell r="G20">
            <v>1019.0959518</v>
          </cell>
          <cell r="H20">
            <v>23.181106792000001</v>
          </cell>
          <cell r="I20" t="str">
            <v>Light Vehicle Driver</v>
          </cell>
          <cell r="J20" t="str">
            <v>2032/33</v>
          </cell>
        </row>
        <row r="21">
          <cell r="A21" t="str">
            <v>01 NORTHLAND</v>
          </cell>
          <cell r="B21">
            <v>2</v>
          </cell>
          <cell r="C21">
            <v>2038</v>
          </cell>
          <cell r="D21">
            <v>476</v>
          </cell>
          <cell r="E21">
            <v>2980</v>
          </cell>
          <cell r="F21">
            <v>82.865942935000007</v>
          </cell>
          <cell r="G21">
            <v>1000.5854423</v>
          </cell>
          <cell r="H21">
            <v>22.699583088000001</v>
          </cell>
          <cell r="I21" t="str">
            <v>Light Vehicle Driver</v>
          </cell>
          <cell r="J21" t="str">
            <v>2037/38</v>
          </cell>
        </row>
        <row r="22">
          <cell r="A22" t="str">
            <v>01 NORTHLAND</v>
          </cell>
          <cell r="B22">
            <v>2</v>
          </cell>
          <cell r="C22">
            <v>2043</v>
          </cell>
          <cell r="D22">
            <v>476</v>
          </cell>
          <cell r="E22">
            <v>2980</v>
          </cell>
          <cell r="F22">
            <v>80.958199407999999</v>
          </cell>
          <cell r="G22">
            <v>978.35266875000002</v>
          </cell>
          <cell r="H22">
            <v>22.145916459999999</v>
          </cell>
          <cell r="I22" t="str">
            <v>Light Vehicle Driver</v>
          </cell>
          <cell r="J22" t="str">
            <v>2042/43</v>
          </cell>
        </row>
        <row r="23">
          <cell r="A23" t="str">
            <v>01 NORTHLAND</v>
          </cell>
          <cell r="B23">
            <v>3</v>
          </cell>
          <cell r="C23">
            <v>2013</v>
          </cell>
          <cell r="D23">
            <v>380</v>
          </cell>
          <cell r="E23">
            <v>1743</v>
          </cell>
          <cell r="F23">
            <v>50.299563868</v>
          </cell>
          <cell r="G23">
            <v>666.23785996000004</v>
          </cell>
          <cell r="H23">
            <v>15.174949781</v>
          </cell>
          <cell r="I23" t="str">
            <v>Light Vehicle Passenger</v>
          </cell>
          <cell r="J23" t="str">
            <v>2012/13</v>
          </cell>
        </row>
        <row r="24">
          <cell r="A24" t="str">
            <v>01 NORTHLAND</v>
          </cell>
          <cell r="B24">
            <v>3</v>
          </cell>
          <cell r="C24">
            <v>2018</v>
          </cell>
          <cell r="D24">
            <v>380</v>
          </cell>
          <cell r="E24">
            <v>1743</v>
          </cell>
          <cell r="F24">
            <v>45.432196021999999</v>
          </cell>
          <cell r="G24">
            <v>617.22502659999998</v>
          </cell>
          <cell r="H24">
            <v>13.951675757</v>
          </cell>
          <cell r="I24" t="str">
            <v>Light Vehicle Passenger</v>
          </cell>
          <cell r="J24" t="str">
            <v>2017/18</v>
          </cell>
        </row>
        <row r="25">
          <cell r="A25" t="str">
            <v>01 NORTHLAND</v>
          </cell>
          <cell r="B25">
            <v>3</v>
          </cell>
          <cell r="C25">
            <v>2023</v>
          </cell>
          <cell r="D25">
            <v>380</v>
          </cell>
          <cell r="E25">
            <v>1743</v>
          </cell>
          <cell r="F25">
            <v>45.202688017</v>
          </cell>
          <cell r="G25">
            <v>627.50926823999998</v>
          </cell>
          <cell r="H25">
            <v>14.053951968</v>
          </cell>
          <cell r="I25" t="str">
            <v>Light Vehicle Passenger</v>
          </cell>
          <cell r="J25" t="str">
            <v>2022/23</v>
          </cell>
        </row>
        <row r="26">
          <cell r="A26" t="str">
            <v>01 NORTHLAND</v>
          </cell>
          <cell r="B26">
            <v>3</v>
          </cell>
          <cell r="C26">
            <v>2028</v>
          </cell>
          <cell r="D26">
            <v>380</v>
          </cell>
          <cell r="E26">
            <v>1743</v>
          </cell>
          <cell r="F26">
            <v>43.895894955999999</v>
          </cell>
          <cell r="G26">
            <v>622.67475233000005</v>
          </cell>
          <cell r="H26">
            <v>13.770842062</v>
          </cell>
          <cell r="I26" t="str">
            <v>Light Vehicle Passenger</v>
          </cell>
          <cell r="J26" t="str">
            <v>2027/28</v>
          </cell>
        </row>
        <row r="27">
          <cell r="A27" t="str">
            <v>01 NORTHLAND</v>
          </cell>
          <cell r="B27">
            <v>3</v>
          </cell>
          <cell r="C27">
            <v>2033</v>
          </cell>
          <cell r="D27">
            <v>380</v>
          </cell>
          <cell r="E27">
            <v>1743</v>
          </cell>
          <cell r="F27">
            <v>42.854037658999999</v>
          </cell>
          <cell r="G27">
            <v>616.53674136999996</v>
          </cell>
          <cell r="H27">
            <v>13.507451356000001</v>
          </cell>
          <cell r="I27" t="str">
            <v>Light Vehicle Passenger</v>
          </cell>
          <cell r="J27" t="str">
            <v>2032/33</v>
          </cell>
        </row>
        <row r="28">
          <cell r="A28" t="str">
            <v>01 NORTHLAND</v>
          </cell>
          <cell r="B28">
            <v>3</v>
          </cell>
          <cell r="C28">
            <v>2038</v>
          </cell>
          <cell r="D28">
            <v>380</v>
          </cell>
          <cell r="E28">
            <v>1743</v>
          </cell>
          <cell r="F28">
            <v>41.417989953999999</v>
          </cell>
          <cell r="G28">
            <v>608.74768255000004</v>
          </cell>
          <cell r="H28">
            <v>13.192181435</v>
          </cell>
          <cell r="I28" t="str">
            <v>Light Vehicle Passenger</v>
          </cell>
          <cell r="J28" t="str">
            <v>2037/38</v>
          </cell>
        </row>
        <row r="29">
          <cell r="A29" t="str">
            <v>01 NORTHLAND</v>
          </cell>
          <cell r="B29">
            <v>3</v>
          </cell>
          <cell r="C29">
            <v>2043</v>
          </cell>
          <cell r="D29">
            <v>380</v>
          </cell>
          <cell r="E29">
            <v>1743</v>
          </cell>
          <cell r="F29">
            <v>40.110688994</v>
          </cell>
          <cell r="G29">
            <v>599.76318430000003</v>
          </cell>
          <cell r="H29">
            <v>12.875185608000001</v>
          </cell>
          <cell r="I29" t="str">
            <v>Light Vehicle Passenger</v>
          </cell>
          <cell r="J29" t="str">
            <v>2042/43</v>
          </cell>
        </row>
        <row r="30">
          <cell r="A30" t="str">
            <v>01 NORTHLAND</v>
          </cell>
          <cell r="B30">
            <v>4</v>
          </cell>
          <cell r="C30">
            <v>2013</v>
          </cell>
          <cell r="D30">
            <v>4</v>
          </cell>
          <cell r="E30">
            <v>6</v>
          </cell>
          <cell r="F30">
            <v>0.18126348840000001</v>
          </cell>
          <cell r="G30">
            <v>0.75976041549999995</v>
          </cell>
          <cell r="H30">
            <v>2.5131369800000001E-2</v>
          </cell>
          <cell r="J30" t="str">
            <v>2012/13</v>
          </cell>
        </row>
        <row r="31">
          <cell r="A31" t="str">
            <v>01 NORTHLAND</v>
          </cell>
          <cell r="B31">
            <v>4</v>
          </cell>
          <cell r="C31">
            <v>2018</v>
          </cell>
          <cell r="D31">
            <v>4</v>
          </cell>
          <cell r="E31">
            <v>6</v>
          </cell>
          <cell r="F31">
            <v>0.1728324074</v>
          </cell>
          <cell r="G31">
            <v>0.72084069399999995</v>
          </cell>
          <cell r="H31">
            <v>2.3381072199999998E-2</v>
          </cell>
          <cell r="J31" t="str">
            <v>2017/18</v>
          </cell>
        </row>
        <row r="32">
          <cell r="A32" t="str">
            <v>01 NORTHLAND</v>
          </cell>
          <cell r="B32">
            <v>4</v>
          </cell>
          <cell r="C32">
            <v>2023</v>
          </cell>
          <cell r="D32">
            <v>4</v>
          </cell>
          <cell r="E32">
            <v>6</v>
          </cell>
          <cell r="F32">
            <v>0.17403427390000001</v>
          </cell>
          <cell r="G32">
            <v>0.80620093960000005</v>
          </cell>
          <cell r="H32">
            <v>2.4233445100000001E-2</v>
          </cell>
          <cell r="J32" t="str">
            <v>2022/23</v>
          </cell>
        </row>
        <row r="33">
          <cell r="A33" t="str">
            <v>01 NORTHLAND</v>
          </cell>
          <cell r="B33">
            <v>4</v>
          </cell>
          <cell r="C33">
            <v>2028</v>
          </cell>
          <cell r="D33">
            <v>4</v>
          </cell>
          <cell r="E33">
            <v>6</v>
          </cell>
          <cell r="F33">
            <v>0.1750242803</v>
          </cell>
          <cell r="G33">
            <v>0.93070394209999996</v>
          </cell>
          <cell r="H33">
            <v>2.5646444300000001E-2</v>
          </cell>
          <cell r="J33" t="str">
            <v>2027/28</v>
          </cell>
        </row>
        <row r="34">
          <cell r="A34" t="str">
            <v>01 NORTHLAND</v>
          </cell>
          <cell r="B34">
            <v>4</v>
          </cell>
          <cell r="C34">
            <v>2033</v>
          </cell>
          <cell r="D34">
            <v>4</v>
          </cell>
          <cell r="E34">
            <v>6</v>
          </cell>
          <cell r="F34">
            <v>0.16511348770000001</v>
          </cell>
          <cell r="G34">
            <v>1.0030765751999999</v>
          </cell>
          <cell r="H34">
            <v>2.5531852800000001E-2</v>
          </cell>
          <cell r="J34" t="str">
            <v>2032/33</v>
          </cell>
        </row>
        <row r="35">
          <cell r="A35" t="str">
            <v>01 NORTHLAND</v>
          </cell>
          <cell r="B35">
            <v>4</v>
          </cell>
          <cell r="C35">
            <v>2038</v>
          </cell>
          <cell r="D35">
            <v>4</v>
          </cell>
          <cell r="E35">
            <v>6</v>
          </cell>
          <cell r="F35">
            <v>0.15083386909999999</v>
          </cell>
          <cell r="G35">
            <v>0.97754679119999999</v>
          </cell>
          <cell r="H35">
            <v>2.38078901E-2</v>
          </cell>
          <cell r="J35" t="str">
            <v>2037/38</v>
          </cell>
        </row>
        <row r="36">
          <cell r="A36" t="str">
            <v>01 NORTHLAND</v>
          </cell>
          <cell r="B36">
            <v>4</v>
          </cell>
          <cell r="C36">
            <v>2043</v>
          </cell>
          <cell r="D36">
            <v>4</v>
          </cell>
          <cell r="E36">
            <v>6</v>
          </cell>
          <cell r="F36">
            <v>0.1366762664</v>
          </cell>
          <cell r="G36">
            <v>0.94618356910000001</v>
          </cell>
          <cell r="H36">
            <v>2.2074832199999998E-2</v>
          </cell>
          <cell r="J36" t="str">
            <v>2042/43</v>
          </cell>
        </row>
        <row r="37">
          <cell r="A37" t="str">
            <v>01 NORTHLAND</v>
          </cell>
          <cell r="B37">
            <v>5</v>
          </cell>
          <cell r="C37">
            <v>2013</v>
          </cell>
          <cell r="D37">
            <v>5</v>
          </cell>
          <cell r="E37">
            <v>28</v>
          </cell>
          <cell r="F37">
            <v>1.4141085707000001</v>
          </cell>
          <cell r="G37">
            <v>9.2423909657000003</v>
          </cell>
          <cell r="H37">
            <v>0.28382488960000002</v>
          </cell>
          <cell r="I37" t="str">
            <v>Motorcyclist</v>
          </cell>
          <cell r="J37" t="str">
            <v>2012/13</v>
          </cell>
        </row>
        <row r="38">
          <cell r="A38" t="str">
            <v>01 NORTHLAND</v>
          </cell>
          <cell r="B38">
            <v>5</v>
          </cell>
          <cell r="C38">
            <v>2018</v>
          </cell>
          <cell r="D38">
            <v>5</v>
          </cell>
          <cell r="E38">
            <v>28</v>
          </cell>
          <cell r="F38">
            <v>1.2831617314999999</v>
          </cell>
          <cell r="G38">
            <v>8.6137890520999996</v>
          </cell>
          <cell r="H38">
            <v>0.26366302209999998</v>
          </cell>
          <cell r="I38" t="str">
            <v>Motorcyclist</v>
          </cell>
          <cell r="J38" t="str">
            <v>2017/18</v>
          </cell>
        </row>
        <row r="39">
          <cell r="A39" t="str">
            <v>01 NORTHLAND</v>
          </cell>
          <cell r="B39">
            <v>5</v>
          </cell>
          <cell r="C39">
            <v>2023</v>
          </cell>
          <cell r="D39">
            <v>5</v>
          </cell>
          <cell r="E39">
            <v>28</v>
          </cell>
          <cell r="F39">
            <v>1.2551150879999999</v>
          </cell>
          <cell r="G39">
            <v>8.2723490345999995</v>
          </cell>
          <cell r="H39">
            <v>0.25701676400000001</v>
          </cell>
          <cell r="I39" t="str">
            <v>Motorcyclist</v>
          </cell>
          <cell r="J39" t="str">
            <v>2022/23</v>
          </cell>
        </row>
        <row r="40">
          <cell r="A40" t="str">
            <v>01 NORTHLAND</v>
          </cell>
          <cell r="B40">
            <v>5</v>
          </cell>
          <cell r="C40">
            <v>2028</v>
          </cell>
          <cell r="D40">
            <v>5</v>
          </cell>
          <cell r="E40">
            <v>28</v>
          </cell>
          <cell r="F40">
            <v>1.1458003323999999</v>
          </cell>
          <cell r="G40">
            <v>7.8239587547999996</v>
          </cell>
          <cell r="H40">
            <v>0.24043139229999999</v>
          </cell>
          <cell r="I40" t="str">
            <v>Motorcyclist</v>
          </cell>
          <cell r="J40" t="str">
            <v>2027/28</v>
          </cell>
        </row>
        <row r="41">
          <cell r="A41" t="str">
            <v>01 NORTHLAND</v>
          </cell>
          <cell r="B41">
            <v>5</v>
          </cell>
          <cell r="C41">
            <v>2033</v>
          </cell>
          <cell r="D41">
            <v>5</v>
          </cell>
          <cell r="E41">
            <v>28</v>
          </cell>
          <cell r="F41">
            <v>1.0806990407999999</v>
          </cell>
          <cell r="G41">
            <v>7.4618017327999997</v>
          </cell>
          <cell r="H41">
            <v>0.22814738439999999</v>
          </cell>
          <cell r="I41" t="str">
            <v>Motorcyclist</v>
          </cell>
          <cell r="J41" t="str">
            <v>2032/33</v>
          </cell>
        </row>
        <row r="42">
          <cell r="A42" t="str">
            <v>01 NORTHLAND</v>
          </cell>
          <cell r="B42">
            <v>5</v>
          </cell>
          <cell r="C42">
            <v>2038</v>
          </cell>
          <cell r="D42">
            <v>5</v>
          </cell>
          <cell r="E42">
            <v>28</v>
          </cell>
          <cell r="F42">
            <v>1.0382334813</v>
          </cell>
          <cell r="G42">
            <v>7.2477340133999997</v>
          </cell>
          <cell r="H42">
            <v>0.22051541929999999</v>
          </cell>
          <cell r="I42" t="str">
            <v>Motorcyclist</v>
          </cell>
          <cell r="J42" t="str">
            <v>2037/38</v>
          </cell>
        </row>
        <row r="43">
          <cell r="A43" t="str">
            <v>01 NORTHLAND</v>
          </cell>
          <cell r="B43">
            <v>5</v>
          </cell>
          <cell r="C43">
            <v>2043</v>
          </cell>
          <cell r="D43">
            <v>5</v>
          </cell>
          <cell r="E43">
            <v>28</v>
          </cell>
          <cell r="F43">
            <v>0.97757925700000003</v>
          </cell>
          <cell r="G43">
            <v>6.9506554740000004</v>
          </cell>
          <cell r="H43">
            <v>0.2100709056</v>
          </cell>
          <cell r="I43" t="str">
            <v>Motorcyclist</v>
          </cell>
          <cell r="J43" t="str">
            <v>2042/43</v>
          </cell>
        </row>
        <row r="44">
          <cell r="A44" t="str">
            <v>01 NORTHLAND</v>
          </cell>
          <cell r="B44">
            <v>7</v>
          </cell>
          <cell r="C44">
            <v>2013</v>
          </cell>
          <cell r="D44">
            <v>50</v>
          </cell>
          <cell r="E44">
            <v>135</v>
          </cell>
          <cell r="F44">
            <v>3.6339219343</v>
          </cell>
          <cell r="G44">
            <v>44.734594063999999</v>
          </cell>
          <cell r="H44">
            <v>1.5691203781</v>
          </cell>
          <cell r="I44" t="str">
            <v>Local Bus</v>
          </cell>
          <cell r="J44" t="str">
            <v>2012/13</v>
          </cell>
        </row>
        <row r="45">
          <cell r="A45" t="str">
            <v>01 NORTHLAND</v>
          </cell>
          <cell r="B45">
            <v>7</v>
          </cell>
          <cell r="C45">
            <v>2018</v>
          </cell>
          <cell r="D45">
            <v>50</v>
          </cell>
          <cell r="E45">
            <v>135</v>
          </cell>
          <cell r="F45">
            <v>2.9476991101999999</v>
          </cell>
          <cell r="G45">
            <v>35.365298054</v>
          </cell>
          <cell r="H45">
            <v>1.2698739738</v>
          </cell>
          <cell r="I45" t="str">
            <v>Local Bus</v>
          </cell>
          <cell r="J45" t="str">
            <v>2017/18</v>
          </cell>
        </row>
        <row r="46">
          <cell r="A46" t="str">
            <v>01 NORTHLAND</v>
          </cell>
          <cell r="B46">
            <v>7</v>
          </cell>
          <cell r="C46">
            <v>2023</v>
          </cell>
          <cell r="D46">
            <v>50</v>
          </cell>
          <cell r="E46">
            <v>135</v>
          </cell>
          <cell r="F46">
            <v>2.6875250338000001</v>
          </cell>
          <cell r="G46">
            <v>31.667425569999999</v>
          </cell>
          <cell r="H46">
            <v>1.1498275158</v>
          </cell>
          <cell r="I46" t="str">
            <v>Local Bus</v>
          </cell>
          <cell r="J46" t="str">
            <v>2022/23</v>
          </cell>
        </row>
        <row r="47">
          <cell r="A47" t="str">
            <v>01 NORTHLAND</v>
          </cell>
          <cell r="B47">
            <v>7</v>
          </cell>
          <cell r="C47">
            <v>2028</v>
          </cell>
          <cell r="D47">
            <v>50</v>
          </cell>
          <cell r="E47">
            <v>135</v>
          </cell>
          <cell r="F47">
            <v>2.3876127337000002</v>
          </cell>
          <cell r="G47">
            <v>28.427366441</v>
          </cell>
          <cell r="H47">
            <v>1.0126729881000001</v>
          </cell>
          <cell r="I47" t="str">
            <v>Local Bus</v>
          </cell>
          <cell r="J47" t="str">
            <v>2027/28</v>
          </cell>
        </row>
        <row r="48">
          <cell r="A48" t="str">
            <v>01 NORTHLAND</v>
          </cell>
          <cell r="B48">
            <v>7</v>
          </cell>
          <cell r="C48">
            <v>2033</v>
          </cell>
          <cell r="D48">
            <v>50</v>
          </cell>
          <cell r="E48">
            <v>135</v>
          </cell>
          <cell r="F48">
            <v>2.1321704370000001</v>
          </cell>
          <cell r="G48">
            <v>25.624081072999999</v>
          </cell>
          <cell r="H48">
            <v>0.89759378339999996</v>
          </cell>
          <cell r="I48" t="str">
            <v>Local Bus</v>
          </cell>
          <cell r="J48" t="str">
            <v>2032/33</v>
          </cell>
        </row>
        <row r="49">
          <cell r="A49" t="str">
            <v>01 NORTHLAND</v>
          </cell>
          <cell r="B49">
            <v>7</v>
          </cell>
          <cell r="C49">
            <v>2038</v>
          </cell>
          <cell r="D49">
            <v>50</v>
          </cell>
          <cell r="E49">
            <v>135</v>
          </cell>
          <cell r="F49">
            <v>1.9077919666000001</v>
          </cell>
          <cell r="G49">
            <v>23.373778296000001</v>
          </cell>
          <cell r="H49">
            <v>0.79962345089999998</v>
          </cell>
          <cell r="I49" t="str">
            <v>Local Bus</v>
          </cell>
          <cell r="J49" t="str">
            <v>2037/38</v>
          </cell>
        </row>
        <row r="50">
          <cell r="A50" t="str">
            <v>01 NORTHLAND</v>
          </cell>
          <cell r="B50">
            <v>7</v>
          </cell>
          <cell r="C50">
            <v>2043</v>
          </cell>
          <cell r="D50">
            <v>50</v>
          </cell>
          <cell r="E50">
            <v>135</v>
          </cell>
          <cell r="F50">
            <v>1.7081827898999999</v>
          </cell>
          <cell r="G50">
            <v>21.369433756999999</v>
          </cell>
          <cell r="H50">
            <v>0.7128539519</v>
          </cell>
          <cell r="I50" t="str">
            <v>Local Bus</v>
          </cell>
          <cell r="J50" t="str">
            <v>2042/43</v>
          </cell>
        </row>
        <row r="51">
          <cell r="A51" t="str">
            <v>01 NORTHLAND</v>
          </cell>
          <cell r="B51">
            <v>8</v>
          </cell>
          <cell r="C51">
            <v>2013</v>
          </cell>
          <cell r="D51">
            <v>2</v>
          </cell>
          <cell r="E51">
            <v>3</v>
          </cell>
          <cell r="F51">
            <v>4.69171767E-2</v>
          </cell>
          <cell r="G51">
            <v>0</v>
          </cell>
          <cell r="H51">
            <v>1.43058123E-2</v>
          </cell>
          <cell r="I51" t="str">
            <v>Local Ferry</v>
          </cell>
          <cell r="J51" t="str">
            <v>2012/13</v>
          </cell>
        </row>
        <row r="52">
          <cell r="A52" t="str">
            <v>01 NORTHLAND</v>
          </cell>
          <cell r="B52">
            <v>8</v>
          </cell>
          <cell r="C52">
            <v>2018</v>
          </cell>
          <cell r="D52">
            <v>2</v>
          </cell>
          <cell r="E52">
            <v>3</v>
          </cell>
          <cell r="F52">
            <v>4.7155710599999998E-2</v>
          </cell>
          <cell r="G52">
            <v>0</v>
          </cell>
          <cell r="H52">
            <v>1.35304052E-2</v>
          </cell>
          <cell r="I52" t="str">
            <v>Local Ferry</v>
          </cell>
          <cell r="J52" t="str">
            <v>2017/18</v>
          </cell>
        </row>
        <row r="53">
          <cell r="A53" t="str">
            <v>01 NORTHLAND</v>
          </cell>
          <cell r="B53">
            <v>8</v>
          </cell>
          <cell r="C53">
            <v>2023</v>
          </cell>
          <cell r="D53">
            <v>2</v>
          </cell>
          <cell r="E53">
            <v>3</v>
          </cell>
          <cell r="F53">
            <v>4.7227851699999997E-2</v>
          </cell>
          <cell r="G53">
            <v>0</v>
          </cell>
          <cell r="H53">
            <v>1.24993151E-2</v>
          </cell>
          <cell r="I53" t="str">
            <v>Local Ferry</v>
          </cell>
          <cell r="J53" t="str">
            <v>2022/23</v>
          </cell>
        </row>
        <row r="54">
          <cell r="A54" t="str">
            <v>01 NORTHLAND</v>
          </cell>
          <cell r="B54">
            <v>8</v>
          </cell>
          <cell r="C54">
            <v>2028</v>
          </cell>
          <cell r="D54">
            <v>2</v>
          </cell>
          <cell r="E54">
            <v>3</v>
          </cell>
          <cell r="F54">
            <v>4.6518637100000003E-2</v>
          </cell>
          <cell r="G54">
            <v>0</v>
          </cell>
          <cell r="H54">
            <v>1.15638372E-2</v>
          </cell>
          <cell r="I54" t="str">
            <v>Local Ferry</v>
          </cell>
          <cell r="J54" t="str">
            <v>2027/28</v>
          </cell>
        </row>
        <row r="55">
          <cell r="A55" t="str">
            <v>01 NORTHLAND</v>
          </cell>
          <cell r="B55">
            <v>8</v>
          </cell>
          <cell r="C55">
            <v>2033</v>
          </cell>
          <cell r="D55">
            <v>2</v>
          </cell>
          <cell r="E55">
            <v>3</v>
          </cell>
          <cell r="F55">
            <v>4.2824268399999997E-2</v>
          </cell>
          <cell r="G55">
            <v>0</v>
          </cell>
          <cell r="H55">
            <v>1.0238669800000001E-2</v>
          </cell>
          <cell r="I55" t="str">
            <v>Local Ferry</v>
          </cell>
          <cell r="J55" t="str">
            <v>2032/33</v>
          </cell>
        </row>
        <row r="56">
          <cell r="A56" t="str">
            <v>01 NORTHLAND</v>
          </cell>
          <cell r="B56">
            <v>8</v>
          </cell>
          <cell r="C56">
            <v>2038</v>
          </cell>
          <cell r="D56">
            <v>2</v>
          </cell>
          <cell r="E56">
            <v>3</v>
          </cell>
          <cell r="F56">
            <v>3.6977945800000002E-2</v>
          </cell>
          <cell r="G56">
            <v>0</v>
          </cell>
          <cell r="H56">
            <v>8.6433477999999994E-3</v>
          </cell>
          <cell r="I56" t="str">
            <v>Local Ferry</v>
          </cell>
          <cell r="J56" t="str">
            <v>2037/38</v>
          </cell>
        </row>
        <row r="57">
          <cell r="A57" t="str">
            <v>01 NORTHLAND</v>
          </cell>
          <cell r="B57">
            <v>8</v>
          </cell>
          <cell r="C57">
            <v>2043</v>
          </cell>
          <cell r="D57">
            <v>2</v>
          </cell>
          <cell r="E57">
            <v>3</v>
          </cell>
          <cell r="F57">
            <v>3.1208928800000001E-2</v>
          </cell>
          <cell r="G57">
            <v>0</v>
          </cell>
          <cell r="H57">
            <v>7.1877215E-3</v>
          </cell>
          <cell r="I57" t="str">
            <v>Local Ferry</v>
          </cell>
          <cell r="J57" t="str">
            <v>2042/43</v>
          </cell>
        </row>
        <row r="58">
          <cell r="A58" t="str">
            <v>01 NORTHLAND</v>
          </cell>
          <cell r="B58">
            <v>9</v>
          </cell>
          <cell r="C58">
            <v>2013</v>
          </cell>
          <cell r="D58">
            <v>2</v>
          </cell>
          <cell r="E58">
            <v>3</v>
          </cell>
          <cell r="F58">
            <v>0.1184310407</v>
          </cell>
          <cell r="G58">
            <v>0</v>
          </cell>
          <cell r="H58">
            <v>0</v>
          </cell>
          <cell r="I58" t="str">
            <v>Other Household Travel</v>
          </cell>
          <cell r="J58" t="str">
            <v>2012/13</v>
          </cell>
        </row>
        <row r="59">
          <cell r="A59" t="str">
            <v>01 NORTHLAND</v>
          </cell>
          <cell r="B59">
            <v>9</v>
          </cell>
          <cell r="C59">
            <v>2018</v>
          </cell>
          <cell r="D59">
            <v>2</v>
          </cell>
          <cell r="E59">
            <v>3</v>
          </cell>
          <cell r="F59">
            <v>0.1202875133</v>
          </cell>
          <cell r="G59">
            <v>0</v>
          </cell>
          <cell r="H59">
            <v>0</v>
          </cell>
          <cell r="I59" t="str">
            <v>Other Household Travel</v>
          </cell>
          <cell r="J59" t="str">
            <v>2017/18</v>
          </cell>
        </row>
        <row r="60">
          <cell r="A60" t="str">
            <v>01 NORTHLAND</v>
          </cell>
          <cell r="B60">
            <v>9</v>
          </cell>
          <cell r="C60">
            <v>2023</v>
          </cell>
          <cell r="D60">
            <v>2</v>
          </cell>
          <cell r="E60">
            <v>3</v>
          </cell>
          <cell r="F60">
            <v>0.1156731498</v>
          </cell>
          <cell r="G60">
            <v>0</v>
          </cell>
          <cell r="H60">
            <v>0</v>
          </cell>
          <cell r="I60" t="str">
            <v>Other Household Travel</v>
          </cell>
          <cell r="J60" t="str">
            <v>2022/23</v>
          </cell>
        </row>
        <row r="61">
          <cell r="A61" t="str">
            <v>01 NORTHLAND</v>
          </cell>
          <cell r="B61">
            <v>9</v>
          </cell>
          <cell r="C61">
            <v>2028</v>
          </cell>
          <cell r="D61">
            <v>2</v>
          </cell>
          <cell r="E61">
            <v>3</v>
          </cell>
          <cell r="F61">
            <v>0.1118567536</v>
          </cell>
          <cell r="G61">
            <v>0</v>
          </cell>
          <cell r="H61">
            <v>0</v>
          </cell>
          <cell r="I61" t="str">
            <v>Other Household Travel</v>
          </cell>
          <cell r="J61" t="str">
            <v>2027/28</v>
          </cell>
        </row>
        <row r="62">
          <cell r="A62" t="str">
            <v>01 NORTHLAND</v>
          </cell>
          <cell r="B62">
            <v>9</v>
          </cell>
          <cell r="C62">
            <v>2033</v>
          </cell>
          <cell r="D62">
            <v>2</v>
          </cell>
          <cell r="E62">
            <v>3</v>
          </cell>
          <cell r="F62">
            <v>0.10673383810000001</v>
          </cell>
          <cell r="G62">
            <v>0</v>
          </cell>
          <cell r="H62">
            <v>0</v>
          </cell>
          <cell r="I62" t="str">
            <v>Other Household Travel</v>
          </cell>
          <cell r="J62" t="str">
            <v>2032/33</v>
          </cell>
        </row>
        <row r="63">
          <cell r="A63" t="str">
            <v>01 NORTHLAND</v>
          </cell>
          <cell r="B63">
            <v>9</v>
          </cell>
          <cell r="C63">
            <v>2038</v>
          </cell>
          <cell r="D63">
            <v>2</v>
          </cell>
          <cell r="E63">
            <v>3</v>
          </cell>
          <cell r="F63">
            <v>0.1004058888</v>
          </cell>
          <cell r="G63">
            <v>0</v>
          </cell>
          <cell r="H63">
            <v>0</v>
          </cell>
          <cell r="I63" t="str">
            <v>Other Household Travel</v>
          </cell>
          <cell r="J63" t="str">
            <v>2037/38</v>
          </cell>
        </row>
        <row r="64">
          <cell r="A64" t="str">
            <v>01 NORTHLAND</v>
          </cell>
          <cell r="B64">
            <v>9</v>
          </cell>
          <cell r="C64">
            <v>2043</v>
          </cell>
          <cell r="D64">
            <v>2</v>
          </cell>
          <cell r="E64">
            <v>3</v>
          </cell>
          <cell r="F64">
            <v>9.3674162599999999E-2</v>
          </cell>
          <cell r="G64">
            <v>0</v>
          </cell>
          <cell r="H64">
            <v>0</v>
          </cell>
          <cell r="I64" t="str">
            <v>Other Household Travel</v>
          </cell>
          <cell r="J64" t="str">
            <v>2042/43</v>
          </cell>
        </row>
        <row r="65">
          <cell r="A65" t="str">
            <v>01 NORTHLAND</v>
          </cell>
          <cell r="B65">
            <v>10</v>
          </cell>
          <cell r="C65">
            <v>2013</v>
          </cell>
          <cell r="D65">
            <v>5</v>
          </cell>
          <cell r="E65">
            <v>8</v>
          </cell>
          <cell r="F65">
            <v>0.226285661</v>
          </cell>
          <cell r="G65">
            <v>0</v>
          </cell>
          <cell r="H65">
            <v>0.25491621720000002</v>
          </cell>
          <cell r="I65" t="str">
            <v>Air/Non-Local PT</v>
          </cell>
          <cell r="J65" t="str">
            <v>2012/13</v>
          </cell>
        </row>
        <row r="66">
          <cell r="A66" t="str">
            <v>01 NORTHLAND</v>
          </cell>
          <cell r="B66">
            <v>10</v>
          </cell>
          <cell r="C66">
            <v>2018</v>
          </cell>
          <cell r="D66">
            <v>5</v>
          </cell>
          <cell r="E66">
            <v>8</v>
          </cell>
          <cell r="F66">
            <v>0.22746041880000001</v>
          </cell>
          <cell r="G66">
            <v>0</v>
          </cell>
          <cell r="H66">
            <v>0.26841467499999999</v>
          </cell>
          <cell r="I66" t="str">
            <v>Air/Non-Local PT</v>
          </cell>
          <cell r="J66" t="str">
            <v>2017/18</v>
          </cell>
        </row>
        <row r="67">
          <cell r="A67" t="str">
            <v>01 NORTHLAND</v>
          </cell>
          <cell r="B67">
            <v>10</v>
          </cell>
          <cell r="C67">
            <v>2023</v>
          </cell>
          <cell r="D67">
            <v>5</v>
          </cell>
          <cell r="E67">
            <v>8</v>
          </cell>
          <cell r="F67">
            <v>0.25390046509999997</v>
          </cell>
          <cell r="G67">
            <v>0</v>
          </cell>
          <cell r="H67">
            <v>0.30396755050000002</v>
          </cell>
          <cell r="I67" t="str">
            <v>Air/Non-Local PT</v>
          </cell>
          <cell r="J67" t="str">
            <v>2022/23</v>
          </cell>
        </row>
        <row r="68">
          <cell r="A68" t="str">
            <v>01 NORTHLAND</v>
          </cell>
          <cell r="B68">
            <v>10</v>
          </cell>
          <cell r="C68">
            <v>2028</v>
          </cell>
          <cell r="D68">
            <v>5</v>
          </cell>
          <cell r="E68">
            <v>8</v>
          </cell>
          <cell r="F68">
            <v>0.28283219180000002</v>
          </cell>
          <cell r="G68">
            <v>0</v>
          </cell>
          <cell r="H68">
            <v>0.3380793265</v>
          </cell>
          <cell r="I68" t="str">
            <v>Air/Non-Local PT</v>
          </cell>
          <cell r="J68" t="str">
            <v>2027/28</v>
          </cell>
        </row>
        <row r="69">
          <cell r="A69" t="str">
            <v>01 NORTHLAND</v>
          </cell>
          <cell r="B69">
            <v>10</v>
          </cell>
          <cell r="C69">
            <v>2033</v>
          </cell>
          <cell r="D69">
            <v>5</v>
          </cell>
          <cell r="E69">
            <v>8</v>
          </cell>
          <cell r="F69">
            <v>0.29143216840000002</v>
          </cell>
          <cell r="G69">
            <v>0</v>
          </cell>
          <cell r="H69">
            <v>0.34594059719999998</v>
          </cell>
          <cell r="I69" t="str">
            <v>Air/Non-Local PT</v>
          </cell>
          <cell r="J69" t="str">
            <v>2032/33</v>
          </cell>
        </row>
        <row r="70">
          <cell r="A70" t="str">
            <v>01 NORTHLAND</v>
          </cell>
          <cell r="B70">
            <v>10</v>
          </cell>
          <cell r="C70">
            <v>2038</v>
          </cell>
          <cell r="D70">
            <v>5</v>
          </cell>
          <cell r="E70">
            <v>8</v>
          </cell>
          <cell r="F70">
            <v>0.27332971820000002</v>
          </cell>
          <cell r="G70">
            <v>0</v>
          </cell>
          <cell r="H70">
            <v>0.32345904889999999</v>
          </cell>
          <cell r="I70" t="str">
            <v>Air/Non-Local PT</v>
          </cell>
          <cell r="J70" t="str">
            <v>2037/38</v>
          </cell>
        </row>
        <row r="71">
          <cell r="A71" t="str">
            <v>01 NORTHLAND</v>
          </cell>
          <cell r="B71">
            <v>10</v>
          </cell>
          <cell r="C71">
            <v>2043</v>
          </cell>
          <cell r="D71">
            <v>5</v>
          </cell>
          <cell r="E71">
            <v>8</v>
          </cell>
          <cell r="F71">
            <v>0.25328874019999997</v>
          </cell>
          <cell r="G71">
            <v>0</v>
          </cell>
          <cell r="H71">
            <v>0.2977514678</v>
          </cell>
          <cell r="I71" t="str">
            <v>Air/Non-Local PT</v>
          </cell>
          <cell r="J71" t="str">
            <v>2042/43</v>
          </cell>
        </row>
        <row r="72">
          <cell r="A72" t="str">
            <v>01 NORTHLAND</v>
          </cell>
          <cell r="B72">
            <v>11</v>
          </cell>
          <cell r="C72">
            <v>2013</v>
          </cell>
          <cell r="D72">
            <v>13</v>
          </cell>
          <cell r="E72">
            <v>59</v>
          </cell>
          <cell r="F72">
            <v>2.0613233212000002</v>
          </cell>
          <cell r="G72">
            <v>34.810730239000002</v>
          </cell>
          <cell r="H72">
            <v>0.70164482120000005</v>
          </cell>
          <cell r="I72" t="str">
            <v>Non-Household Travel</v>
          </cell>
          <cell r="J72" t="str">
            <v>2012/13</v>
          </cell>
        </row>
        <row r="73">
          <cell r="A73" t="str">
            <v>01 NORTHLAND</v>
          </cell>
          <cell r="B73">
            <v>11</v>
          </cell>
          <cell r="C73">
            <v>2018</v>
          </cell>
          <cell r="D73">
            <v>13</v>
          </cell>
          <cell r="E73">
            <v>59</v>
          </cell>
          <cell r="F73">
            <v>1.9771562667</v>
          </cell>
          <cell r="G73">
            <v>30.694657217</v>
          </cell>
          <cell r="H73">
            <v>0.64581224159999995</v>
          </cell>
          <cell r="I73" t="str">
            <v>Non-Household Travel</v>
          </cell>
          <cell r="J73" t="str">
            <v>2017/18</v>
          </cell>
        </row>
        <row r="74">
          <cell r="A74" t="str">
            <v>01 NORTHLAND</v>
          </cell>
          <cell r="B74">
            <v>11</v>
          </cell>
          <cell r="C74">
            <v>2023</v>
          </cell>
          <cell r="D74">
            <v>13</v>
          </cell>
          <cell r="E74">
            <v>59</v>
          </cell>
          <cell r="F74">
            <v>2.1717087018000001</v>
          </cell>
          <cell r="G74">
            <v>31.937431672999999</v>
          </cell>
          <cell r="H74">
            <v>0.69419684790000002</v>
          </cell>
          <cell r="I74" t="str">
            <v>Non-Household Travel</v>
          </cell>
          <cell r="J74" t="str">
            <v>2022/23</v>
          </cell>
        </row>
        <row r="75">
          <cell r="A75" t="str">
            <v>01 NORTHLAND</v>
          </cell>
          <cell r="B75">
            <v>11</v>
          </cell>
          <cell r="C75">
            <v>2028</v>
          </cell>
          <cell r="D75">
            <v>13</v>
          </cell>
          <cell r="E75">
            <v>59</v>
          </cell>
          <cell r="F75">
            <v>2.4171894323999998</v>
          </cell>
          <cell r="G75">
            <v>34.862234856000001</v>
          </cell>
          <cell r="H75">
            <v>0.77311352450000004</v>
          </cell>
          <cell r="I75" t="str">
            <v>Non-Household Travel</v>
          </cell>
          <cell r="J75" t="str">
            <v>2027/28</v>
          </cell>
        </row>
        <row r="76">
          <cell r="A76" t="str">
            <v>01 NORTHLAND</v>
          </cell>
          <cell r="B76">
            <v>11</v>
          </cell>
          <cell r="C76">
            <v>2033</v>
          </cell>
          <cell r="D76">
            <v>13</v>
          </cell>
          <cell r="E76">
            <v>59</v>
          </cell>
          <cell r="F76">
            <v>2.5691577934000001</v>
          </cell>
          <cell r="G76">
            <v>36.880153968999998</v>
          </cell>
          <cell r="H76">
            <v>0.82461171060000005</v>
          </cell>
          <cell r="I76" t="str">
            <v>Non-Household Travel</v>
          </cell>
          <cell r="J76" t="str">
            <v>2032/33</v>
          </cell>
        </row>
        <row r="77">
          <cell r="A77" t="str">
            <v>01 NORTHLAND</v>
          </cell>
          <cell r="B77">
            <v>11</v>
          </cell>
          <cell r="C77">
            <v>2038</v>
          </cell>
          <cell r="D77">
            <v>13</v>
          </cell>
          <cell r="E77">
            <v>59</v>
          </cell>
          <cell r="F77">
            <v>2.4771679297000002</v>
          </cell>
          <cell r="G77">
            <v>36.017185161</v>
          </cell>
          <cell r="H77">
            <v>0.80043873160000001</v>
          </cell>
          <cell r="I77" t="str">
            <v>Non-Household Travel</v>
          </cell>
          <cell r="J77" t="str">
            <v>2037/38</v>
          </cell>
        </row>
        <row r="78">
          <cell r="A78" t="str">
            <v>01 NORTHLAND</v>
          </cell>
          <cell r="B78">
            <v>11</v>
          </cell>
          <cell r="C78">
            <v>2043</v>
          </cell>
          <cell r="D78">
            <v>13</v>
          </cell>
          <cell r="E78">
            <v>59</v>
          </cell>
          <cell r="F78">
            <v>2.3643960980999998</v>
          </cell>
          <cell r="G78">
            <v>35.148747821000001</v>
          </cell>
          <cell r="H78">
            <v>0.77206449850000003</v>
          </cell>
          <cell r="I78" t="str">
            <v>Non-Household Travel</v>
          </cell>
          <cell r="J78" t="str">
            <v>2042/43</v>
          </cell>
        </row>
        <row r="79">
          <cell r="A79" t="str">
            <v>02 AUCKLAND</v>
          </cell>
          <cell r="B79">
            <v>0</v>
          </cell>
          <cell r="C79">
            <v>2013</v>
          </cell>
          <cell r="D79">
            <v>1541</v>
          </cell>
          <cell r="E79">
            <v>5702</v>
          </cell>
          <cell r="F79">
            <v>324.81096006000001</v>
          </cell>
          <cell r="G79">
            <v>294.55939388000002</v>
          </cell>
          <cell r="H79">
            <v>73.381071999</v>
          </cell>
          <cell r="I79" t="str">
            <v>Pedestrian</v>
          </cell>
          <cell r="J79" t="str">
            <v>2012/13</v>
          </cell>
        </row>
        <row r="80">
          <cell r="A80" t="str">
            <v>02 AUCKLAND</v>
          </cell>
          <cell r="B80">
            <v>0</v>
          </cell>
          <cell r="C80">
            <v>2018</v>
          </cell>
          <cell r="D80">
            <v>1541</v>
          </cell>
          <cell r="E80">
            <v>5702</v>
          </cell>
          <cell r="F80">
            <v>378.35663090999998</v>
          </cell>
          <cell r="G80">
            <v>342.14627918999997</v>
          </cell>
          <cell r="H80">
            <v>85.066334768000004</v>
          </cell>
          <cell r="I80" t="str">
            <v>Pedestrian</v>
          </cell>
          <cell r="J80" t="str">
            <v>2017/18</v>
          </cell>
        </row>
        <row r="81">
          <cell r="A81" t="str">
            <v>02 AUCKLAND</v>
          </cell>
          <cell r="B81">
            <v>0</v>
          </cell>
          <cell r="C81">
            <v>2023</v>
          </cell>
          <cell r="D81">
            <v>1541</v>
          </cell>
          <cell r="E81">
            <v>5702</v>
          </cell>
          <cell r="F81">
            <v>377.54142388000002</v>
          </cell>
          <cell r="G81">
            <v>339.64112280000001</v>
          </cell>
          <cell r="H81">
            <v>84.651509806000007</v>
          </cell>
          <cell r="I81" t="str">
            <v>Pedestrian</v>
          </cell>
          <cell r="J81" t="str">
            <v>2022/23</v>
          </cell>
        </row>
        <row r="82">
          <cell r="A82" t="str">
            <v>02 AUCKLAND</v>
          </cell>
          <cell r="B82">
            <v>0</v>
          </cell>
          <cell r="C82">
            <v>2028</v>
          </cell>
          <cell r="D82">
            <v>1541</v>
          </cell>
          <cell r="E82">
            <v>5702</v>
          </cell>
          <cell r="F82">
            <v>392.27071245000002</v>
          </cell>
          <cell r="G82">
            <v>350.86382373999999</v>
          </cell>
          <cell r="H82">
            <v>87.950722189000004</v>
          </cell>
          <cell r="I82" t="str">
            <v>Pedestrian</v>
          </cell>
          <cell r="J82" t="str">
            <v>2027/28</v>
          </cell>
        </row>
        <row r="83">
          <cell r="A83" t="str">
            <v>02 AUCKLAND</v>
          </cell>
          <cell r="B83">
            <v>0</v>
          </cell>
          <cell r="C83">
            <v>2033</v>
          </cell>
          <cell r="D83">
            <v>1541</v>
          </cell>
          <cell r="E83">
            <v>5702</v>
          </cell>
          <cell r="F83">
            <v>402.95570027000002</v>
          </cell>
          <cell r="G83">
            <v>358.90277834</v>
          </cell>
          <cell r="H83">
            <v>90.451915920000005</v>
          </cell>
          <cell r="I83" t="str">
            <v>Pedestrian</v>
          </cell>
          <cell r="J83" t="str">
            <v>2032/33</v>
          </cell>
        </row>
        <row r="84">
          <cell r="A84" t="str">
            <v>02 AUCKLAND</v>
          </cell>
          <cell r="B84">
            <v>0</v>
          </cell>
          <cell r="C84">
            <v>2038</v>
          </cell>
          <cell r="D84">
            <v>1541</v>
          </cell>
          <cell r="E84">
            <v>5702</v>
          </cell>
          <cell r="F84">
            <v>412.53105502</v>
          </cell>
          <cell r="G84">
            <v>367.55161035999998</v>
          </cell>
          <cell r="H84">
            <v>92.994817022000007</v>
          </cell>
          <cell r="I84" t="str">
            <v>Pedestrian</v>
          </cell>
          <cell r="J84" t="str">
            <v>2037/38</v>
          </cell>
        </row>
        <row r="85">
          <cell r="A85" t="str">
            <v>02 AUCKLAND</v>
          </cell>
          <cell r="B85">
            <v>0</v>
          </cell>
          <cell r="C85">
            <v>2043</v>
          </cell>
          <cell r="D85">
            <v>1541</v>
          </cell>
          <cell r="E85">
            <v>5702</v>
          </cell>
          <cell r="F85">
            <v>418.58699025999999</v>
          </cell>
          <cell r="G85">
            <v>373.36967542999997</v>
          </cell>
          <cell r="H85">
            <v>94.762005275999996</v>
          </cell>
          <cell r="I85" t="str">
            <v>Pedestrian</v>
          </cell>
          <cell r="J85" t="str">
            <v>2042/43</v>
          </cell>
        </row>
        <row r="86">
          <cell r="A86" t="str">
            <v>02 AUCKLAND</v>
          </cell>
          <cell r="B86">
            <v>1</v>
          </cell>
          <cell r="C86">
            <v>2013</v>
          </cell>
          <cell r="D86">
            <v>49</v>
          </cell>
          <cell r="E86">
            <v>125</v>
          </cell>
          <cell r="F86">
            <v>7.0506319707999996</v>
          </cell>
          <cell r="G86">
            <v>55.843008154000003</v>
          </cell>
          <cell r="H86">
            <v>4.3659429593999999</v>
          </cell>
          <cell r="I86" t="str">
            <v>Cyclist</v>
          </cell>
          <cell r="J86" t="str">
            <v>2012/13</v>
          </cell>
        </row>
        <row r="87">
          <cell r="A87" t="str">
            <v>02 AUCKLAND</v>
          </cell>
          <cell r="B87">
            <v>1</v>
          </cell>
          <cell r="C87">
            <v>2018</v>
          </cell>
          <cell r="D87">
            <v>49</v>
          </cell>
          <cell r="E87">
            <v>125</v>
          </cell>
          <cell r="F87">
            <v>8.4046914219000008</v>
          </cell>
          <cell r="G87">
            <v>69.554132730999996</v>
          </cell>
          <cell r="H87">
            <v>5.3852527687</v>
          </cell>
          <cell r="I87" t="str">
            <v>Cyclist</v>
          </cell>
          <cell r="J87" t="str">
            <v>2017/18</v>
          </cell>
        </row>
        <row r="88">
          <cell r="A88" t="str">
            <v>02 AUCKLAND</v>
          </cell>
          <cell r="B88">
            <v>1</v>
          </cell>
          <cell r="C88">
            <v>2023</v>
          </cell>
          <cell r="D88">
            <v>49</v>
          </cell>
          <cell r="E88">
            <v>125</v>
          </cell>
          <cell r="F88">
            <v>8.5384516923000007</v>
          </cell>
          <cell r="G88">
            <v>72.501759723000006</v>
          </cell>
          <cell r="H88">
            <v>5.5588972455999999</v>
          </cell>
          <cell r="I88" t="str">
            <v>Cyclist</v>
          </cell>
          <cell r="J88" t="str">
            <v>2022/23</v>
          </cell>
        </row>
        <row r="89">
          <cell r="A89" t="str">
            <v>02 AUCKLAND</v>
          </cell>
          <cell r="B89">
            <v>1</v>
          </cell>
          <cell r="C89">
            <v>2028</v>
          </cell>
          <cell r="D89">
            <v>49</v>
          </cell>
          <cell r="E89">
            <v>125</v>
          </cell>
          <cell r="F89">
            <v>9.0929885669000008</v>
          </cell>
          <cell r="G89">
            <v>79.077059535999993</v>
          </cell>
          <cell r="H89">
            <v>6.0601217518999997</v>
          </cell>
          <cell r="I89" t="str">
            <v>Cyclist</v>
          </cell>
          <cell r="J89" t="str">
            <v>2027/28</v>
          </cell>
        </row>
        <row r="90">
          <cell r="A90" t="str">
            <v>02 AUCKLAND</v>
          </cell>
          <cell r="B90">
            <v>1</v>
          </cell>
          <cell r="C90">
            <v>2033</v>
          </cell>
          <cell r="D90">
            <v>49</v>
          </cell>
          <cell r="E90">
            <v>125</v>
          </cell>
          <cell r="F90">
            <v>9.5751436711999993</v>
          </cell>
          <cell r="G90">
            <v>86.793581868999993</v>
          </cell>
          <cell r="H90">
            <v>6.6281924452999998</v>
          </cell>
          <cell r="I90" t="str">
            <v>Cyclist</v>
          </cell>
          <cell r="J90" t="str">
            <v>2032/33</v>
          </cell>
        </row>
        <row r="91">
          <cell r="A91" t="str">
            <v>02 AUCKLAND</v>
          </cell>
          <cell r="B91">
            <v>1</v>
          </cell>
          <cell r="C91">
            <v>2038</v>
          </cell>
          <cell r="D91">
            <v>49</v>
          </cell>
          <cell r="E91">
            <v>125</v>
          </cell>
          <cell r="F91">
            <v>10.318749950000001</v>
          </cell>
          <cell r="G91">
            <v>97.377299633999996</v>
          </cell>
          <cell r="H91">
            <v>7.3930133093999997</v>
          </cell>
          <cell r="I91" t="str">
            <v>Cyclist</v>
          </cell>
          <cell r="J91" t="str">
            <v>2037/38</v>
          </cell>
        </row>
        <row r="92">
          <cell r="A92" t="str">
            <v>02 AUCKLAND</v>
          </cell>
          <cell r="B92">
            <v>1</v>
          </cell>
          <cell r="C92">
            <v>2043</v>
          </cell>
          <cell r="D92">
            <v>49</v>
          </cell>
          <cell r="E92">
            <v>125</v>
          </cell>
          <cell r="F92">
            <v>11.047654407</v>
          </cell>
          <cell r="G92">
            <v>107.99120861</v>
          </cell>
          <cell r="H92">
            <v>8.1609261405000009</v>
          </cell>
          <cell r="I92" t="str">
            <v>Cyclist</v>
          </cell>
          <cell r="J92" t="str">
            <v>2042/43</v>
          </cell>
        </row>
        <row r="93">
          <cell r="A93" t="str">
            <v>02 AUCKLAND</v>
          </cell>
          <cell r="B93">
            <v>2</v>
          </cell>
          <cell r="C93">
            <v>2013</v>
          </cell>
          <cell r="D93">
            <v>2765</v>
          </cell>
          <cell r="E93">
            <v>18286</v>
          </cell>
          <cell r="F93">
            <v>981.24355252999999</v>
          </cell>
          <cell r="G93">
            <v>9374.4733825999992</v>
          </cell>
          <cell r="H93">
            <v>295.36669345000001</v>
          </cell>
          <cell r="I93" t="str">
            <v>Light Vehicle Driver</v>
          </cell>
          <cell r="J93" t="str">
            <v>2012/13</v>
          </cell>
        </row>
        <row r="94">
          <cell r="A94" t="str">
            <v>02 AUCKLAND</v>
          </cell>
          <cell r="B94">
            <v>2</v>
          </cell>
          <cell r="C94">
            <v>2018</v>
          </cell>
          <cell r="D94">
            <v>2765</v>
          </cell>
          <cell r="E94">
            <v>18286</v>
          </cell>
          <cell r="F94">
            <v>1178.5075670000001</v>
          </cell>
          <cell r="G94">
            <v>11346.306594</v>
          </cell>
          <cell r="H94">
            <v>356.64929530000001</v>
          </cell>
          <cell r="I94" t="str">
            <v>Light Vehicle Driver</v>
          </cell>
          <cell r="J94" t="str">
            <v>2017/18</v>
          </cell>
        </row>
        <row r="95">
          <cell r="A95" t="str">
            <v>02 AUCKLAND</v>
          </cell>
          <cell r="B95">
            <v>2</v>
          </cell>
          <cell r="C95">
            <v>2023</v>
          </cell>
          <cell r="D95">
            <v>2765</v>
          </cell>
          <cell r="E95">
            <v>18286</v>
          </cell>
          <cell r="F95">
            <v>1186.3189405999999</v>
          </cell>
          <cell r="G95">
            <v>11427.259187</v>
          </cell>
          <cell r="H95">
            <v>358.80491393</v>
          </cell>
          <cell r="I95" t="str">
            <v>Light Vehicle Driver</v>
          </cell>
          <cell r="J95" t="str">
            <v>2022/23</v>
          </cell>
        </row>
        <row r="96">
          <cell r="A96" t="str">
            <v>02 AUCKLAND</v>
          </cell>
          <cell r="B96">
            <v>2</v>
          </cell>
          <cell r="C96">
            <v>2028</v>
          </cell>
          <cell r="D96">
            <v>2765</v>
          </cell>
          <cell r="E96">
            <v>18286</v>
          </cell>
          <cell r="F96">
            <v>1269.2684030999999</v>
          </cell>
          <cell r="G96">
            <v>12291.857877</v>
          </cell>
          <cell r="H96">
            <v>384.02838402999998</v>
          </cell>
          <cell r="I96" t="str">
            <v>Light Vehicle Driver</v>
          </cell>
          <cell r="J96" t="str">
            <v>2027/28</v>
          </cell>
        </row>
        <row r="97">
          <cell r="A97" t="str">
            <v>02 AUCKLAND</v>
          </cell>
          <cell r="B97">
            <v>2</v>
          </cell>
          <cell r="C97">
            <v>2033</v>
          </cell>
          <cell r="D97">
            <v>2765</v>
          </cell>
          <cell r="E97">
            <v>18286</v>
          </cell>
          <cell r="F97">
            <v>1347.3383454</v>
          </cell>
          <cell r="G97">
            <v>13107.91568</v>
          </cell>
          <cell r="H97">
            <v>407.99497768999998</v>
          </cell>
          <cell r="I97" t="str">
            <v>Light Vehicle Driver</v>
          </cell>
          <cell r="J97" t="str">
            <v>2032/33</v>
          </cell>
        </row>
        <row r="98">
          <cell r="A98" t="str">
            <v>02 AUCKLAND</v>
          </cell>
          <cell r="B98">
            <v>2</v>
          </cell>
          <cell r="C98">
            <v>2038</v>
          </cell>
          <cell r="D98">
            <v>2765</v>
          </cell>
          <cell r="E98">
            <v>18286</v>
          </cell>
          <cell r="F98">
            <v>1422.0167128999999</v>
          </cell>
          <cell r="G98">
            <v>13880.377645</v>
          </cell>
          <cell r="H98">
            <v>431.21460239999999</v>
          </cell>
          <cell r="I98" t="str">
            <v>Light Vehicle Driver</v>
          </cell>
          <cell r="J98" t="str">
            <v>2037/38</v>
          </cell>
        </row>
        <row r="99">
          <cell r="A99" t="str">
            <v>02 AUCKLAND</v>
          </cell>
          <cell r="B99">
            <v>2</v>
          </cell>
          <cell r="C99">
            <v>2043</v>
          </cell>
          <cell r="D99">
            <v>2765</v>
          </cell>
          <cell r="E99">
            <v>18286</v>
          </cell>
          <cell r="F99">
            <v>1488.2035705999999</v>
          </cell>
          <cell r="G99">
            <v>14572.244902</v>
          </cell>
          <cell r="H99">
            <v>451.90883186999997</v>
          </cell>
          <cell r="I99" t="str">
            <v>Light Vehicle Driver</v>
          </cell>
          <cell r="J99" t="str">
            <v>2042/43</v>
          </cell>
        </row>
        <row r="100">
          <cell r="A100" t="str">
            <v>02 AUCKLAND</v>
          </cell>
          <cell r="B100">
            <v>3</v>
          </cell>
          <cell r="C100">
            <v>2013</v>
          </cell>
          <cell r="D100">
            <v>2092</v>
          </cell>
          <cell r="E100">
            <v>9587</v>
          </cell>
          <cell r="F100">
            <v>488.06073574999999</v>
          </cell>
          <cell r="G100">
            <v>4814.6436660999998</v>
          </cell>
          <cell r="H100">
            <v>145.42645436999999</v>
          </cell>
          <cell r="I100" t="str">
            <v>Light Vehicle Passenger</v>
          </cell>
          <cell r="J100" t="str">
            <v>2012/13</v>
          </cell>
        </row>
        <row r="101">
          <cell r="A101" t="str">
            <v>02 AUCKLAND</v>
          </cell>
          <cell r="B101">
            <v>3</v>
          </cell>
          <cell r="C101">
            <v>2018</v>
          </cell>
          <cell r="D101">
            <v>2092</v>
          </cell>
          <cell r="E101">
            <v>9587</v>
          </cell>
          <cell r="F101">
            <v>559.84114346000001</v>
          </cell>
          <cell r="G101">
            <v>5623.5282719999996</v>
          </cell>
          <cell r="H101">
            <v>168.25076633</v>
          </cell>
          <cell r="I101" t="str">
            <v>Light Vehicle Passenger</v>
          </cell>
          <cell r="J101" t="str">
            <v>2017/18</v>
          </cell>
        </row>
        <row r="102">
          <cell r="A102" t="str">
            <v>02 AUCKLAND</v>
          </cell>
          <cell r="B102">
            <v>3</v>
          </cell>
          <cell r="C102">
            <v>2023</v>
          </cell>
          <cell r="D102">
            <v>2092</v>
          </cell>
          <cell r="E102">
            <v>9587</v>
          </cell>
          <cell r="F102">
            <v>557.95609408999997</v>
          </cell>
          <cell r="G102">
            <v>5652.8861268999999</v>
          </cell>
          <cell r="H102">
            <v>167.71438401</v>
          </cell>
          <cell r="I102" t="str">
            <v>Light Vehicle Passenger</v>
          </cell>
          <cell r="J102" t="str">
            <v>2022/23</v>
          </cell>
        </row>
        <row r="103">
          <cell r="A103" t="str">
            <v>02 AUCKLAND</v>
          </cell>
          <cell r="B103">
            <v>3</v>
          </cell>
          <cell r="C103">
            <v>2028</v>
          </cell>
          <cell r="D103">
            <v>2092</v>
          </cell>
          <cell r="E103">
            <v>9587</v>
          </cell>
          <cell r="F103">
            <v>590.44803548000004</v>
          </cell>
          <cell r="G103">
            <v>6047.8683154999999</v>
          </cell>
          <cell r="H103">
            <v>177.52069161</v>
          </cell>
          <cell r="I103" t="str">
            <v>Light Vehicle Passenger</v>
          </cell>
          <cell r="J103" t="str">
            <v>2027/28</v>
          </cell>
        </row>
        <row r="104">
          <cell r="A104" t="str">
            <v>02 AUCKLAND</v>
          </cell>
          <cell r="B104">
            <v>3</v>
          </cell>
          <cell r="C104">
            <v>2033</v>
          </cell>
          <cell r="D104">
            <v>2092</v>
          </cell>
          <cell r="E104">
            <v>9587</v>
          </cell>
          <cell r="F104">
            <v>621.10611399000004</v>
          </cell>
          <cell r="G104">
            <v>6395.0218324999996</v>
          </cell>
          <cell r="H104">
            <v>186.41211493</v>
          </cell>
          <cell r="I104" t="str">
            <v>Light Vehicle Passenger</v>
          </cell>
          <cell r="J104" t="str">
            <v>2032/33</v>
          </cell>
        </row>
        <row r="105">
          <cell r="A105" t="str">
            <v>02 AUCKLAND</v>
          </cell>
          <cell r="B105">
            <v>3</v>
          </cell>
          <cell r="C105">
            <v>2038</v>
          </cell>
          <cell r="D105">
            <v>2092</v>
          </cell>
          <cell r="E105">
            <v>9587</v>
          </cell>
          <cell r="F105">
            <v>649.48164191000001</v>
          </cell>
          <cell r="G105">
            <v>6742.7096505</v>
          </cell>
          <cell r="H105">
            <v>195.21828092999999</v>
          </cell>
          <cell r="I105" t="str">
            <v>Light Vehicle Passenger</v>
          </cell>
          <cell r="J105" t="str">
            <v>2037/38</v>
          </cell>
        </row>
        <row r="106">
          <cell r="A106" t="str">
            <v>02 AUCKLAND</v>
          </cell>
          <cell r="B106">
            <v>3</v>
          </cell>
          <cell r="C106">
            <v>2043</v>
          </cell>
          <cell r="D106">
            <v>2092</v>
          </cell>
          <cell r="E106">
            <v>9587</v>
          </cell>
          <cell r="F106">
            <v>675.18984021999995</v>
          </cell>
          <cell r="G106">
            <v>7053.9001761</v>
          </cell>
          <cell r="H106">
            <v>203.12944512000001</v>
          </cell>
          <cell r="I106" t="str">
            <v>Light Vehicle Passenger</v>
          </cell>
          <cell r="J106" t="str">
            <v>2042/43</v>
          </cell>
        </row>
        <row r="107">
          <cell r="A107" t="str">
            <v>02 AUCKLAND</v>
          </cell>
          <cell r="B107">
            <v>4</v>
          </cell>
          <cell r="C107">
            <v>2013</v>
          </cell>
          <cell r="D107">
            <v>54</v>
          </cell>
          <cell r="E107">
            <v>94</v>
          </cell>
          <cell r="F107">
            <v>6.0232688673999997</v>
          </cell>
          <cell r="G107">
            <v>41.157157814999998</v>
          </cell>
          <cell r="H107">
            <v>1.9131795197999999</v>
          </cell>
          <cell r="J107" t="str">
            <v>2012/13</v>
          </cell>
        </row>
        <row r="108">
          <cell r="A108" t="str">
            <v>02 AUCKLAND</v>
          </cell>
          <cell r="B108">
            <v>4</v>
          </cell>
          <cell r="C108">
            <v>2018</v>
          </cell>
          <cell r="D108">
            <v>54</v>
          </cell>
          <cell r="E108">
            <v>94</v>
          </cell>
          <cell r="F108">
            <v>7.7766894449999997</v>
          </cell>
          <cell r="G108">
            <v>54.044127932999999</v>
          </cell>
          <cell r="H108">
            <v>2.4740584694000001</v>
          </cell>
          <cell r="J108" t="str">
            <v>2017/18</v>
          </cell>
        </row>
        <row r="109">
          <cell r="A109" t="str">
            <v>02 AUCKLAND</v>
          </cell>
          <cell r="B109">
            <v>4</v>
          </cell>
          <cell r="C109">
            <v>2023</v>
          </cell>
          <cell r="D109">
            <v>54</v>
          </cell>
          <cell r="E109">
            <v>94</v>
          </cell>
          <cell r="F109">
            <v>8.7690258763000006</v>
          </cell>
          <cell r="G109">
            <v>63.944659346000002</v>
          </cell>
          <cell r="H109">
            <v>2.8060037959000002</v>
          </cell>
          <cell r="J109" t="str">
            <v>2022/23</v>
          </cell>
        </row>
        <row r="110">
          <cell r="A110" t="str">
            <v>02 AUCKLAND</v>
          </cell>
          <cell r="B110">
            <v>4</v>
          </cell>
          <cell r="C110">
            <v>2028</v>
          </cell>
          <cell r="D110">
            <v>54</v>
          </cell>
          <cell r="E110">
            <v>94</v>
          </cell>
          <cell r="F110">
            <v>10.077282658</v>
          </cell>
          <cell r="G110">
            <v>77.114565757999998</v>
          </cell>
          <cell r="H110">
            <v>3.2630976306999999</v>
          </cell>
          <cell r="J110" t="str">
            <v>2027/28</v>
          </cell>
        </row>
        <row r="111">
          <cell r="A111" t="str">
            <v>02 AUCKLAND</v>
          </cell>
          <cell r="B111">
            <v>4</v>
          </cell>
          <cell r="C111">
            <v>2033</v>
          </cell>
          <cell r="D111">
            <v>54</v>
          </cell>
          <cell r="E111">
            <v>94</v>
          </cell>
          <cell r="F111">
            <v>11.293465664999999</v>
          </cell>
          <cell r="G111">
            <v>89.255331509000001</v>
          </cell>
          <cell r="H111">
            <v>3.6894239995000002</v>
          </cell>
          <cell r="J111" t="str">
            <v>2032/33</v>
          </cell>
        </row>
        <row r="112">
          <cell r="A112" t="str">
            <v>02 AUCKLAND</v>
          </cell>
          <cell r="B112">
            <v>4</v>
          </cell>
          <cell r="C112">
            <v>2038</v>
          </cell>
          <cell r="D112">
            <v>54</v>
          </cell>
          <cell r="E112">
            <v>94</v>
          </cell>
          <cell r="F112">
            <v>12.365525685</v>
          </cell>
          <cell r="G112">
            <v>99.976288936000003</v>
          </cell>
          <cell r="H112">
            <v>4.0597558075000002</v>
          </cell>
          <cell r="J112" t="str">
            <v>2037/38</v>
          </cell>
        </row>
        <row r="113">
          <cell r="A113" t="str">
            <v>02 AUCKLAND</v>
          </cell>
          <cell r="B113">
            <v>4</v>
          </cell>
          <cell r="C113">
            <v>2043</v>
          </cell>
          <cell r="D113">
            <v>54</v>
          </cell>
          <cell r="E113">
            <v>94</v>
          </cell>
          <cell r="F113">
            <v>13.379728389</v>
          </cell>
          <cell r="G113">
            <v>109.97842145</v>
          </cell>
          <cell r="H113">
            <v>4.4053079104000004</v>
          </cell>
          <cell r="J113" t="str">
            <v>2042/43</v>
          </cell>
        </row>
        <row r="114">
          <cell r="A114" t="str">
            <v>02 AUCKLAND</v>
          </cell>
          <cell r="B114">
            <v>5</v>
          </cell>
          <cell r="C114">
            <v>2013</v>
          </cell>
          <cell r="D114">
            <v>15</v>
          </cell>
          <cell r="E114">
            <v>69</v>
          </cell>
          <cell r="F114">
            <v>4.1170216905999997</v>
          </cell>
          <cell r="G114">
            <v>43.570185572</v>
          </cell>
          <cell r="H114">
            <v>1.5334409518000001</v>
          </cell>
          <cell r="I114" t="str">
            <v>Motorcyclist</v>
          </cell>
          <cell r="J114" t="str">
            <v>2012/13</v>
          </cell>
        </row>
        <row r="115">
          <cell r="A115" t="str">
            <v>02 AUCKLAND</v>
          </cell>
          <cell r="B115">
            <v>5</v>
          </cell>
          <cell r="C115">
            <v>2018</v>
          </cell>
          <cell r="D115">
            <v>15</v>
          </cell>
          <cell r="E115">
            <v>69</v>
          </cell>
          <cell r="F115">
            <v>5.0545336453000003</v>
          </cell>
          <cell r="G115">
            <v>53.812978743999999</v>
          </cell>
          <cell r="H115">
            <v>1.9080436639</v>
          </cell>
          <cell r="I115" t="str">
            <v>Motorcyclist</v>
          </cell>
          <cell r="J115" t="str">
            <v>2017/18</v>
          </cell>
        </row>
        <row r="116">
          <cell r="A116" t="str">
            <v>02 AUCKLAND</v>
          </cell>
          <cell r="B116">
            <v>5</v>
          </cell>
          <cell r="C116">
            <v>2023</v>
          </cell>
          <cell r="D116">
            <v>15</v>
          </cell>
          <cell r="E116">
            <v>69</v>
          </cell>
          <cell r="F116">
            <v>5.3517868892999996</v>
          </cell>
          <cell r="G116">
            <v>54.652051385999997</v>
          </cell>
          <cell r="H116">
            <v>1.9848851192999999</v>
          </cell>
          <cell r="I116" t="str">
            <v>Motorcyclist</v>
          </cell>
          <cell r="J116" t="str">
            <v>2022/23</v>
          </cell>
        </row>
        <row r="117">
          <cell r="A117" t="str">
            <v>02 AUCKLAND</v>
          </cell>
          <cell r="B117">
            <v>5</v>
          </cell>
          <cell r="C117">
            <v>2028</v>
          </cell>
          <cell r="D117">
            <v>15</v>
          </cell>
          <cell r="E117">
            <v>69</v>
          </cell>
          <cell r="F117">
            <v>6.0906354239000002</v>
          </cell>
          <cell r="G117">
            <v>59.548941352999996</v>
          </cell>
          <cell r="H117">
            <v>2.2011520576999999</v>
          </cell>
          <cell r="I117" t="str">
            <v>Motorcyclist</v>
          </cell>
          <cell r="J117" t="str">
            <v>2027/28</v>
          </cell>
        </row>
        <row r="118">
          <cell r="A118" t="str">
            <v>02 AUCKLAND</v>
          </cell>
          <cell r="B118">
            <v>5</v>
          </cell>
          <cell r="C118">
            <v>2033</v>
          </cell>
          <cell r="D118">
            <v>15</v>
          </cell>
          <cell r="E118">
            <v>69</v>
          </cell>
          <cell r="F118">
            <v>6.6667197094999997</v>
          </cell>
          <cell r="G118">
            <v>63.769774656000003</v>
          </cell>
          <cell r="H118">
            <v>2.3864636246000002</v>
          </cell>
          <cell r="I118" t="str">
            <v>Motorcyclist</v>
          </cell>
          <cell r="J118" t="str">
            <v>2032/33</v>
          </cell>
        </row>
        <row r="119">
          <cell r="A119" t="str">
            <v>02 AUCKLAND</v>
          </cell>
          <cell r="B119">
            <v>5</v>
          </cell>
          <cell r="C119">
            <v>2038</v>
          </cell>
          <cell r="D119">
            <v>15</v>
          </cell>
          <cell r="E119">
            <v>69</v>
          </cell>
          <cell r="F119">
            <v>6.8946236752000001</v>
          </cell>
          <cell r="G119">
            <v>66.351752641999994</v>
          </cell>
          <cell r="H119">
            <v>2.5031758833</v>
          </cell>
          <cell r="I119" t="str">
            <v>Motorcyclist</v>
          </cell>
          <cell r="J119" t="str">
            <v>2037/38</v>
          </cell>
        </row>
        <row r="120">
          <cell r="A120" t="str">
            <v>02 AUCKLAND</v>
          </cell>
          <cell r="B120">
            <v>5</v>
          </cell>
          <cell r="C120">
            <v>2043</v>
          </cell>
          <cell r="D120">
            <v>15</v>
          </cell>
          <cell r="E120">
            <v>69</v>
          </cell>
          <cell r="F120">
            <v>7.0601239640999998</v>
          </cell>
          <cell r="G120">
            <v>68.538371632999997</v>
          </cell>
          <cell r="H120">
            <v>2.6029803616999998</v>
          </cell>
          <cell r="I120" t="str">
            <v>Motorcyclist</v>
          </cell>
          <cell r="J120" t="str">
            <v>2042/43</v>
          </cell>
        </row>
        <row r="121">
          <cell r="A121" t="str">
            <v>02 AUCKLAND</v>
          </cell>
          <cell r="B121">
            <v>6</v>
          </cell>
          <cell r="C121">
            <v>2013</v>
          </cell>
          <cell r="D121">
            <v>83</v>
          </cell>
          <cell r="E121">
            <v>197</v>
          </cell>
          <cell r="F121">
            <v>10.588451037</v>
          </cell>
          <cell r="G121">
            <v>126.27968744</v>
          </cell>
          <cell r="H121">
            <v>4.2843438359999997</v>
          </cell>
          <cell r="I121" t="str">
            <v>Local Train</v>
          </cell>
          <cell r="J121" t="str">
            <v>2012/13</v>
          </cell>
        </row>
        <row r="122">
          <cell r="A122" t="str">
            <v>02 AUCKLAND</v>
          </cell>
          <cell r="B122">
            <v>6</v>
          </cell>
          <cell r="C122">
            <v>2018</v>
          </cell>
          <cell r="D122">
            <v>83</v>
          </cell>
          <cell r="E122">
            <v>197</v>
          </cell>
          <cell r="F122">
            <v>12.59448115</v>
          </cell>
          <cell r="G122">
            <v>152.76838634999999</v>
          </cell>
          <cell r="H122">
            <v>5.1771028185999999</v>
          </cell>
          <cell r="I122" t="str">
            <v>Local Train</v>
          </cell>
          <cell r="J122" t="str">
            <v>2017/18</v>
          </cell>
        </row>
        <row r="123">
          <cell r="A123" t="str">
            <v>02 AUCKLAND</v>
          </cell>
          <cell r="B123">
            <v>6</v>
          </cell>
          <cell r="C123">
            <v>2023</v>
          </cell>
          <cell r="D123">
            <v>83</v>
          </cell>
          <cell r="E123">
            <v>197</v>
          </cell>
          <cell r="F123">
            <v>12.675712211</v>
          </cell>
          <cell r="G123">
            <v>154.57224120000001</v>
          </cell>
          <cell r="H123">
            <v>5.2380729482000001</v>
          </cell>
          <cell r="I123" t="str">
            <v>Local Train</v>
          </cell>
          <cell r="J123" t="str">
            <v>2022/23</v>
          </cell>
        </row>
        <row r="124">
          <cell r="A124" t="str">
            <v>02 AUCKLAND</v>
          </cell>
          <cell r="B124">
            <v>6</v>
          </cell>
          <cell r="C124">
            <v>2028</v>
          </cell>
          <cell r="D124">
            <v>83</v>
          </cell>
          <cell r="E124">
            <v>197</v>
          </cell>
          <cell r="F124">
            <v>13.266622479</v>
          </cell>
          <cell r="G124">
            <v>162.57925829999999</v>
          </cell>
          <cell r="H124">
            <v>5.4850204829999996</v>
          </cell>
          <cell r="I124" t="str">
            <v>Local Train</v>
          </cell>
          <cell r="J124" t="str">
            <v>2027/28</v>
          </cell>
        </row>
        <row r="125">
          <cell r="A125" t="str">
            <v>02 AUCKLAND</v>
          </cell>
          <cell r="B125">
            <v>6</v>
          </cell>
          <cell r="C125">
            <v>2033</v>
          </cell>
          <cell r="D125">
            <v>83</v>
          </cell>
          <cell r="E125">
            <v>197</v>
          </cell>
          <cell r="F125">
            <v>13.645572839</v>
          </cell>
          <cell r="G125">
            <v>168.90382101</v>
          </cell>
          <cell r="H125">
            <v>5.6603076628000002</v>
          </cell>
          <cell r="I125" t="str">
            <v>Local Train</v>
          </cell>
          <cell r="J125" t="str">
            <v>2032/33</v>
          </cell>
        </row>
        <row r="126">
          <cell r="A126" t="str">
            <v>02 AUCKLAND</v>
          </cell>
          <cell r="B126">
            <v>6</v>
          </cell>
          <cell r="C126">
            <v>2038</v>
          </cell>
          <cell r="D126">
            <v>83</v>
          </cell>
          <cell r="E126">
            <v>197</v>
          </cell>
          <cell r="F126">
            <v>13.862134079</v>
          </cell>
          <cell r="G126">
            <v>173.60056195999999</v>
          </cell>
          <cell r="H126">
            <v>5.7949239210999997</v>
          </cell>
          <cell r="I126" t="str">
            <v>Local Train</v>
          </cell>
          <cell r="J126" t="str">
            <v>2037/38</v>
          </cell>
        </row>
        <row r="127">
          <cell r="A127" t="str">
            <v>02 AUCKLAND</v>
          </cell>
          <cell r="B127">
            <v>6</v>
          </cell>
          <cell r="C127">
            <v>2043</v>
          </cell>
          <cell r="D127">
            <v>83</v>
          </cell>
          <cell r="E127">
            <v>197</v>
          </cell>
          <cell r="F127">
            <v>13.964401064</v>
          </cell>
          <cell r="G127">
            <v>177.04672131000001</v>
          </cell>
          <cell r="H127">
            <v>5.8869770618999997</v>
          </cell>
          <cell r="I127" t="str">
            <v>Local Train</v>
          </cell>
          <cell r="J127" t="str">
            <v>2042/43</v>
          </cell>
        </row>
        <row r="128">
          <cell r="A128" t="str">
            <v>02 AUCKLAND</v>
          </cell>
          <cell r="B128">
            <v>7</v>
          </cell>
          <cell r="C128">
            <v>2013</v>
          </cell>
          <cell r="D128">
            <v>334</v>
          </cell>
          <cell r="E128">
            <v>882</v>
          </cell>
          <cell r="F128">
            <v>54.403429504999998</v>
          </cell>
          <cell r="G128">
            <v>439.27566032999999</v>
          </cell>
          <cell r="H128">
            <v>22.622672496</v>
          </cell>
          <cell r="I128" t="str">
            <v>Local Bus</v>
          </cell>
          <cell r="J128" t="str">
            <v>2012/13</v>
          </cell>
        </row>
        <row r="129">
          <cell r="A129" t="str">
            <v>02 AUCKLAND</v>
          </cell>
          <cell r="B129">
            <v>7</v>
          </cell>
          <cell r="C129">
            <v>2018</v>
          </cell>
          <cell r="D129">
            <v>334</v>
          </cell>
          <cell r="E129">
            <v>882</v>
          </cell>
          <cell r="F129">
            <v>62.495851436000002</v>
          </cell>
          <cell r="G129">
            <v>512.43965706999995</v>
          </cell>
          <cell r="H129">
            <v>26.321559500999999</v>
          </cell>
          <cell r="I129" t="str">
            <v>Local Bus</v>
          </cell>
          <cell r="J129" t="str">
            <v>2017/18</v>
          </cell>
        </row>
        <row r="130">
          <cell r="A130" t="str">
            <v>02 AUCKLAND</v>
          </cell>
          <cell r="B130">
            <v>7</v>
          </cell>
          <cell r="C130">
            <v>2023</v>
          </cell>
          <cell r="D130">
            <v>334</v>
          </cell>
          <cell r="E130">
            <v>882</v>
          </cell>
          <cell r="F130">
            <v>60.680366450000001</v>
          </cell>
          <cell r="G130">
            <v>500.69665226000001</v>
          </cell>
          <cell r="H130">
            <v>25.629782864999999</v>
          </cell>
          <cell r="I130" t="str">
            <v>Local Bus</v>
          </cell>
          <cell r="J130" t="str">
            <v>2022/23</v>
          </cell>
        </row>
        <row r="131">
          <cell r="A131" t="str">
            <v>02 AUCKLAND</v>
          </cell>
          <cell r="B131">
            <v>7</v>
          </cell>
          <cell r="C131">
            <v>2028</v>
          </cell>
          <cell r="D131">
            <v>334</v>
          </cell>
          <cell r="E131">
            <v>882</v>
          </cell>
          <cell r="F131">
            <v>60.382540472000002</v>
          </cell>
          <cell r="G131">
            <v>506.64409809</v>
          </cell>
          <cell r="H131">
            <v>25.669623771000001</v>
          </cell>
          <cell r="I131" t="str">
            <v>Local Bus</v>
          </cell>
          <cell r="J131" t="str">
            <v>2027/28</v>
          </cell>
        </row>
        <row r="132">
          <cell r="A132" t="str">
            <v>02 AUCKLAND</v>
          </cell>
          <cell r="B132">
            <v>7</v>
          </cell>
          <cell r="C132">
            <v>2033</v>
          </cell>
          <cell r="D132">
            <v>334</v>
          </cell>
          <cell r="E132">
            <v>882</v>
          </cell>
          <cell r="F132">
            <v>59.022287951999999</v>
          </cell>
          <cell r="G132">
            <v>502.64275629000002</v>
          </cell>
          <cell r="H132">
            <v>25.223522669000001</v>
          </cell>
          <cell r="I132" t="str">
            <v>Local Bus</v>
          </cell>
          <cell r="J132" t="str">
            <v>2032/33</v>
          </cell>
        </row>
        <row r="133">
          <cell r="A133" t="str">
            <v>02 AUCKLAND</v>
          </cell>
          <cell r="B133">
            <v>7</v>
          </cell>
          <cell r="C133">
            <v>2038</v>
          </cell>
          <cell r="D133">
            <v>334</v>
          </cell>
          <cell r="E133">
            <v>882</v>
          </cell>
          <cell r="F133">
            <v>57.884490976000002</v>
          </cell>
          <cell r="G133">
            <v>500.86888120999998</v>
          </cell>
          <cell r="H133">
            <v>24.896163360999999</v>
          </cell>
          <cell r="I133" t="str">
            <v>Local Bus</v>
          </cell>
          <cell r="J133" t="str">
            <v>2037/38</v>
          </cell>
        </row>
        <row r="134">
          <cell r="A134" t="str">
            <v>02 AUCKLAND</v>
          </cell>
          <cell r="B134">
            <v>7</v>
          </cell>
          <cell r="C134">
            <v>2043</v>
          </cell>
          <cell r="D134">
            <v>334</v>
          </cell>
          <cell r="E134">
            <v>882</v>
          </cell>
          <cell r="F134">
            <v>56.194005267000001</v>
          </cell>
          <cell r="G134">
            <v>494.76567552</v>
          </cell>
          <cell r="H134">
            <v>24.334945995999998</v>
          </cell>
          <cell r="I134" t="str">
            <v>Local Bus</v>
          </cell>
          <cell r="J134" t="str">
            <v>2042/43</v>
          </cell>
        </row>
        <row r="135">
          <cell r="A135" t="str">
            <v>02 AUCKLAND</v>
          </cell>
          <cell r="B135">
            <v>8</v>
          </cell>
          <cell r="C135">
            <v>2013</v>
          </cell>
          <cell r="D135">
            <v>33</v>
          </cell>
          <cell r="E135">
            <v>75</v>
          </cell>
          <cell r="F135">
            <v>4.3086283299000003</v>
          </cell>
          <cell r="G135">
            <v>0</v>
          </cell>
          <cell r="H135">
            <v>1.2124045342000001</v>
          </cell>
          <cell r="I135" t="str">
            <v>Local Ferry</v>
          </cell>
          <cell r="J135" t="str">
            <v>2012/13</v>
          </cell>
        </row>
        <row r="136">
          <cell r="A136" t="str">
            <v>02 AUCKLAND</v>
          </cell>
          <cell r="B136">
            <v>8</v>
          </cell>
          <cell r="C136">
            <v>2018</v>
          </cell>
          <cell r="D136">
            <v>33</v>
          </cell>
          <cell r="E136">
            <v>75</v>
          </cell>
          <cell r="F136">
            <v>5.3110850196000001</v>
          </cell>
          <cell r="G136">
            <v>0</v>
          </cell>
          <cell r="H136">
            <v>1.5033953939</v>
          </cell>
          <cell r="I136" t="str">
            <v>Local Ferry</v>
          </cell>
          <cell r="J136" t="str">
            <v>2017/18</v>
          </cell>
        </row>
        <row r="137">
          <cell r="A137" t="str">
            <v>02 AUCKLAND</v>
          </cell>
          <cell r="B137">
            <v>8</v>
          </cell>
          <cell r="C137">
            <v>2023</v>
          </cell>
          <cell r="D137">
            <v>33</v>
          </cell>
          <cell r="E137">
            <v>75</v>
          </cell>
          <cell r="F137">
            <v>5.5646096021</v>
          </cell>
          <cell r="G137">
            <v>0</v>
          </cell>
          <cell r="H137">
            <v>1.5669984149</v>
          </cell>
          <cell r="I137" t="str">
            <v>Local Ferry</v>
          </cell>
          <cell r="J137" t="str">
            <v>2022/23</v>
          </cell>
        </row>
        <row r="138">
          <cell r="A138" t="str">
            <v>02 AUCKLAND</v>
          </cell>
          <cell r="B138">
            <v>8</v>
          </cell>
          <cell r="C138">
            <v>2028</v>
          </cell>
          <cell r="D138">
            <v>33</v>
          </cell>
          <cell r="E138">
            <v>75</v>
          </cell>
          <cell r="F138">
            <v>5.8640151065000001</v>
          </cell>
          <cell r="G138">
            <v>0</v>
          </cell>
          <cell r="H138">
            <v>1.6625321825999999</v>
          </cell>
          <cell r="I138" t="str">
            <v>Local Ferry</v>
          </cell>
          <cell r="J138" t="str">
            <v>2027/28</v>
          </cell>
        </row>
        <row r="139">
          <cell r="A139" t="str">
            <v>02 AUCKLAND</v>
          </cell>
          <cell r="B139">
            <v>8</v>
          </cell>
          <cell r="C139">
            <v>2033</v>
          </cell>
          <cell r="D139">
            <v>33</v>
          </cell>
          <cell r="E139">
            <v>75</v>
          </cell>
          <cell r="F139">
            <v>6.0690330551000002</v>
          </cell>
          <cell r="G139">
            <v>0</v>
          </cell>
          <cell r="H139">
            <v>1.7331643551</v>
          </cell>
          <cell r="I139" t="str">
            <v>Local Ferry</v>
          </cell>
          <cell r="J139" t="str">
            <v>2032/33</v>
          </cell>
        </row>
        <row r="140">
          <cell r="A140" t="str">
            <v>02 AUCKLAND</v>
          </cell>
          <cell r="B140">
            <v>8</v>
          </cell>
          <cell r="C140">
            <v>2038</v>
          </cell>
          <cell r="D140">
            <v>33</v>
          </cell>
          <cell r="E140">
            <v>75</v>
          </cell>
          <cell r="F140">
            <v>6.3985964363000001</v>
          </cell>
          <cell r="G140">
            <v>0</v>
          </cell>
          <cell r="H140">
            <v>1.8372937092999999</v>
          </cell>
          <cell r="I140" t="str">
            <v>Local Ferry</v>
          </cell>
          <cell r="J140" t="str">
            <v>2037/38</v>
          </cell>
        </row>
        <row r="141">
          <cell r="A141" t="str">
            <v>02 AUCKLAND</v>
          </cell>
          <cell r="B141">
            <v>8</v>
          </cell>
          <cell r="C141">
            <v>2043</v>
          </cell>
          <cell r="D141">
            <v>33</v>
          </cell>
          <cell r="E141">
            <v>75</v>
          </cell>
          <cell r="F141">
            <v>6.6357903042000004</v>
          </cell>
          <cell r="G141">
            <v>0</v>
          </cell>
          <cell r="H141">
            <v>1.9175411344</v>
          </cell>
          <cell r="I141" t="str">
            <v>Local Ferry</v>
          </cell>
          <cell r="J141" t="str">
            <v>2042/43</v>
          </cell>
        </row>
        <row r="142">
          <cell r="A142" t="str">
            <v>02 AUCKLAND</v>
          </cell>
          <cell r="B142">
            <v>9</v>
          </cell>
          <cell r="C142">
            <v>2013</v>
          </cell>
          <cell r="D142">
            <v>21</v>
          </cell>
          <cell r="E142">
            <v>52</v>
          </cell>
          <cell r="F142">
            <v>2.2145179384000002</v>
          </cell>
          <cell r="G142">
            <v>1.8241938706</v>
          </cell>
          <cell r="H142">
            <v>2.4325058500000001</v>
          </cell>
          <cell r="I142" t="str">
            <v>Other Household Travel</v>
          </cell>
          <cell r="J142" t="str">
            <v>2012/13</v>
          </cell>
        </row>
        <row r="143">
          <cell r="A143" t="str">
            <v>02 AUCKLAND</v>
          </cell>
          <cell r="B143">
            <v>9</v>
          </cell>
          <cell r="C143">
            <v>2018</v>
          </cell>
          <cell r="D143">
            <v>21</v>
          </cell>
          <cell r="E143">
            <v>52</v>
          </cell>
          <cell r="F143">
            <v>2.6861294898999999</v>
          </cell>
          <cell r="G143">
            <v>1.8041545906000001</v>
          </cell>
          <cell r="H143">
            <v>3.1116808010999999</v>
          </cell>
          <cell r="I143" t="str">
            <v>Other Household Travel</v>
          </cell>
          <cell r="J143" t="str">
            <v>2017/18</v>
          </cell>
        </row>
        <row r="144">
          <cell r="A144" t="str">
            <v>02 AUCKLAND</v>
          </cell>
          <cell r="B144">
            <v>9</v>
          </cell>
          <cell r="C144">
            <v>2023</v>
          </cell>
          <cell r="D144">
            <v>21</v>
          </cell>
          <cell r="E144">
            <v>52</v>
          </cell>
          <cell r="F144">
            <v>2.7512611528000002</v>
          </cell>
          <cell r="G144">
            <v>1.3832028404000001</v>
          </cell>
          <cell r="H144">
            <v>3.1571566775000002</v>
          </cell>
          <cell r="I144" t="str">
            <v>Other Household Travel</v>
          </cell>
          <cell r="J144" t="str">
            <v>2022/23</v>
          </cell>
        </row>
        <row r="145">
          <cell r="A145" t="str">
            <v>02 AUCKLAND</v>
          </cell>
          <cell r="B145">
            <v>9</v>
          </cell>
          <cell r="C145">
            <v>2028</v>
          </cell>
          <cell r="D145">
            <v>21</v>
          </cell>
          <cell r="E145">
            <v>52</v>
          </cell>
          <cell r="F145">
            <v>3.0173034431999999</v>
          </cell>
          <cell r="G145">
            <v>1.5365870468</v>
          </cell>
          <cell r="H145">
            <v>3.3012372354999999</v>
          </cell>
          <cell r="I145" t="str">
            <v>Other Household Travel</v>
          </cell>
          <cell r="J145" t="str">
            <v>2027/28</v>
          </cell>
        </row>
        <row r="146">
          <cell r="A146" t="str">
            <v>02 AUCKLAND</v>
          </cell>
          <cell r="B146">
            <v>9</v>
          </cell>
          <cell r="C146">
            <v>2033</v>
          </cell>
          <cell r="D146">
            <v>21</v>
          </cell>
          <cell r="E146">
            <v>52</v>
          </cell>
          <cell r="F146">
            <v>3.2698787788999999</v>
          </cell>
          <cell r="G146">
            <v>1.5698518249</v>
          </cell>
          <cell r="H146">
            <v>3.4495114131000002</v>
          </cell>
          <cell r="I146" t="str">
            <v>Other Household Travel</v>
          </cell>
          <cell r="J146" t="str">
            <v>2032/33</v>
          </cell>
        </row>
        <row r="147">
          <cell r="A147" t="str">
            <v>02 AUCKLAND</v>
          </cell>
          <cell r="B147">
            <v>9</v>
          </cell>
          <cell r="C147">
            <v>2038</v>
          </cell>
          <cell r="D147">
            <v>21</v>
          </cell>
          <cell r="E147">
            <v>52</v>
          </cell>
          <cell r="F147">
            <v>3.5384276850999998</v>
          </cell>
          <cell r="G147">
            <v>1.4976773827000001</v>
          </cell>
          <cell r="H147">
            <v>3.6693695749000002</v>
          </cell>
          <cell r="I147" t="str">
            <v>Other Household Travel</v>
          </cell>
          <cell r="J147" t="str">
            <v>2037/38</v>
          </cell>
        </row>
        <row r="148">
          <cell r="A148" t="str">
            <v>02 AUCKLAND</v>
          </cell>
          <cell r="B148">
            <v>9</v>
          </cell>
          <cell r="C148">
            <v>2043</v>
          </cell>
          <cell r="D148">
            <v>21</v>
          </cell>
          <cell r="E148">
            <v>52</v>
          </cell>
          <cell r="F148">
            <v>3.7948069404</v>
          </cell>
          <cell r="G148">
            <v>1.4005667673</v>
          </cell>
          <cell r="H148">
            <v>3.8737816331000001</v>
          </cell>
          <cell r="I148" t="str">
            <v>Other Household Travel</v>
          </cell>
          <cell r="J148" t="str">
            <v>2042/43</v>
          </cell>
        </row>
        <row r="149">
          <cell r="A149" t="str">
            <v>02 AUCKLAND</v>
          </cell>
          <cell r="B149">
            <v>10</v>
          </cell>
          <cell r="C149">
            <v>2013</v>
          </cell>
          <cell r="D149">
            <v>46</v>
          </cell>
          <cell r="E149">
            <v>52</v>
          </cell>
          <cell r="F149">
            <v>2.8879196329000001</v>
          </cell>
          <cell r="G149">
            <v>37.321781539</v>
          </cell>
          <cell r="H149">
            <v>5.1213278228999997</v>
          </cell>
          <cell r="I149" t="str">
            <v>Air/Non-Local PT</v>
          </cell>
          <cell r="J149" t="str">
            <v>2012/13</v>
          </cell>
        </row>
        <row r="150">
          <cell r="A150" t="str">
            <v>02 AUCKLAND</v>
          </cell>
          <cell r="B150">
            <v>10</v>
          </cell>
          <cell r="C150">
            <v>2018</v>
          </cell>
          <cell r="D150">
            <v>46</v>
          </cell>
          <cell r="E150">
            <v>52</v>
          </cell>
          <cell r="F150">
            <v>4.0600418681999999</v>
          </cell>
          <cell r="G150">
            <v>47.627391338000002</v>
          </cell>
          <cell r="H150">
            <v>7.0922870394000004</v>
          </cell>
          <cell r="I150" t="str">
            <v>Air/Non-Local PT</v>
          </cell>
          <cell r="J150" t="str">
            <v>2017/18</v>
          </cell>
        </row>
        <row r="151">
          <cell r="A151" t="str">
            <v>02 AUCKLAND</v>
          </cell>
          <cell r="B151">
            <v>10</v>
          </cell>
          <cell r="C151">
            <v>2023</v>
          </cell>
          <cell r="D151">
            <v>46</v>
          </cell>
          <cell r="E151">
            <v>52</v>
          </cell>
          <cell r="F151">
            <v>4.6354332832000003</v>
          </cell>
          <cell r="G151">
            <v>51.906815350000002</v>
          </cell>
          <cell r="H151">
            <v>7.9706179388000002</v>
          </cell>
          <cell r="I151" t="str">
            <v>Air/Non-Local PT</v>
          </cell>
          <cell r="J151" t="str">
            <v>2022/23</v>
          </cell>
        </row>
        <row r="152">
          <cell r="A152" t="str">
            <v>02 AUCKLAND</v>
          </cell>
          <cell r="B152">
            <v>10</v>
          </cell>
          <cell r="C152">
            <v>2028</v>
          </cell>
          <cell r="D152">
            <v>46</v>
          </cell>
          <cell r="E152">
            <v>52</v>
          </cell>
          <cell r="F152">
            <v>5.4127038574000004</v>
          </cell>
          <cell r="G152">
            <v>56.985051042000002</v>
          </cell>
          <cell r="H152">
            <v>9.1348529507999991</v>
          </cell>
          <cell r="I152" t="str">
            <v>Air/Non-Local PT</v>
          </cell>
          <cell r="J152" t="str">
            <v>2027/28</v>
          </cell>
        </row>
        <row r="153">
          <cell r="A153" t="str">
            <v>02 AUCKLAND</v>
          </cell>
          <cell r="B153">
            <v>10</v>
          </cell>
          <cell r="C153">
            <v>2033</v>
          </cell>
          <cell r="D153">
            <v>46</v>
          </cell>
          <cell r="E153">
            <v>52</v>
          </cell>
          <cell r="F153">
            <v>6.2241309449999997</v>
          </cell>
          <cell r="G153">
            <v>61.272674006999999</v>
          </cell>
          <cell r="H153">
            <v>10.392521235</v>
          </cell>
          <cell r="I153" t="str">
            <v>Air/Non-Local PT</v>
          </cell>
          <cell r="J153" t="str">
            <v>2032/33</v>
          </cell>
        </row>
        <row r="154">
          <cell r="A154" t="str">
            <v>02 AUCKLAND</v>
          </cell>
          <cell r="B154">
            <v>10</v>
          </cell>
          <cell r="C154">
            <v>2038</v>
          </cell>
          <cell r="D154">
            <v>46</v>
          </cell>
          <cell r="E154">
            <v>52</v>
          </cell>
          <cell r="F154">
            <v>7.1000381161000004</v>
          </cell>
          <cell r="G154">
            <v>70.133952074999996</v>
          </cell>
          <cell r="H154">
            <v>11.827700292999999</v>
          </cell>
          <cell r="I154" t="str">
            <v>Air/Non-Local PT</v>
          </cell>
          <cell r="J154" t="str">
            <v>2037/38</v>
          </cell>
        </row>
        <row r="155">
          <cell r="A155" t="str">
            <v>02 AUCKLAND</v>
          </cell>
          <cell r="B155">
            <v>10</v>
          </cell>
          <cell r="C155">
            <v>2043</v>
          </cell>
          <cell r="D155">
            <v>46</v>
          </cell>
          <cell r="E155">
            <v>52</v>
          </cell>
          <cell r="F155">
            <v>7.9611539124000004</v>
          </cell>
          <cell r="G155">
            <v>80.373990688000006</v>
          </cell>
          <cell r="H155">
            <v>13.252737322</v>
          </cell>
          <cell r="I155" t="str">
            <v>Air/Non-Local PT</v>
          </cell>
          <cell r="J155" t="str">
            <v>2042/43</v>
          </cell>
        </row>
        <row r="156">
          <cell r="A156" t="str">
            <v>02 AUCKLAND</v>
          </cell>
          <cell r="B156">
            <v>11</v>
          </cell>
          <cell r="C156">
            <v>2013</v>
          </cell>
          <cell r="D156">
            <v>49</v>
          </cell>
          <cell r="E156">
            <v>220</v>
          </cell>
          <cell r="F156">
            <v>12.895006201999999</v>
          </cell>
          <cell r="G156">
            <v>179.51641304</v>
          </cell>
          <cell r="H156">
            <v>5.2074041506000004</v>
          </cell>
          <cell r="I156" t="str">
            <v>Non-Household Travel</v>
          </cell>
          <cell r="J156" t="str">
            <v>2012/13</v>
          </cell>
        </row>
        <row r="157">
          <cell r="A157" t="str">
            <v>02 AUCKLAND</v>
          </cell>
          <cell r="B157">
            <v>11</v>
          </cell>
          <cell r="C157">
            <v>2018</v>
          </cell>
          <cell r="D157">
            <v>49</v>
          </cell>
          <cell r="E157">
            <v>220</v>
          </cell>
          <cell r="F157">
            <v>15.349214713</v>
          </cell>
          <cell r="G157">
            <v>209.27518928000001</v>
          </cell>
          <cell r="H157">
            <v>6.1550699413999999</v>
          </cell>
          <cell r="I157" t="str">
            <v>Non-Household Travel</v>
          </cell>
          <cell r="J157" t="str">
            <v>2017/18</v>
          </cell>
        </row>
        <row r="158">
          <cell r="A158" t="str">
            <v>02 AUCKLAND</v>
          </cell>
          <cell r="B158">
            <v>11</v>
          </cell>
          <cell r="C158">
            <v>2023</v>
          </cell>
          <cell r="D158">
            <v>49</v>
          </cell>
          <cell r="E158">
            <v>220</v>
          </cell>
          <cell r="F158">
            <v>15.295279665000001</v>
          </cell>
          <cell r="G158">
            <v>203.99961884000001</v>
          </cell>
          <cell r="H158">
            <v>6.0673755032000001</v>
          </cell>
          <cell r="I158" t="str">
            <v>Non-Household Travel</v>
          </cell>
          <cell r="J158" t="str">
            <v>2022/23</v>
          </cell>
        </row>
        <row r="159">
          <cell r="A159" t="str">
            <v>02 AUCKLAND</v>
          </cell>
          <cell r="B159">
            <v>11</v>
          </cell>
          <cell r="C159">
            <v>2028</v>
          </cell>
          <cell r="D159">
            <v>49</v>
          </cell>
          <cell r="E159">
            <v>220</v>
          </cell>
          <cell r="F159">
            <v>15.942493065000001</v>
          </cell>
          <cell r="G159">
            <v>208.48104644</v>
          </cell>
          <cell r="H159">
            <v>6.2515370013</v>
          </cell>
          <cell r="I159" t="str">
            <v>Non-Household Travel</v>
          </cell>
          <cell r="J159" t="str">
            <v>2027/28</v>
          </cell>
        </row>
        <row r="160">
          <cell r="A160" t="str">
            <v>02 AUCKLAND</v>
          </cell>
          <cell r="B160">
            <v>11</v>
          </cell>
          <cell r="C160">
            <v>2033</v>
          </cell>
          <cell r="D160">
            <v>49</v>
          </cell>
          <cell r="E160">
            <v>220</v>
          </cell>
          <cell r="F160">
            <v>16.795035911999999</v>
          </cell>
          <cell r="G160">
            <v>215.39122527000001</v>
          </cell>
          <cell r="H160">
            <v>6.5451132958000002</v>
          </cell>
          <cell r="I160" t="str">
            <v>Non-Household Travel</v>
          </cell>
          <cell r="J160" t="str">
            <v>2032/33</v>
          </cell>
        </row>
        <row r="161">
          <cell r="A161" t="str">
            <v>02 AUCKLAND</v>
          </cell>
          <cell r="B161">
            <v>11</v>
          </cell>
          <cell r="C161">
            <v>2038</v>
          </cell>
          <cell r="D161">
            <v>49</v>
          </cell>
          <cell r="E161">
            <v>220</v>
          </cell>
          <cell r="F161">
            <v>17.955061572999998</v>
          </cell>
          <cell r="G161">
            <v>227.04533434000001</v>
          </cell>
          <cell r="H161">
            <v>6.9769022114999997</v>
          </cell>
          <cell r="I161" t="str">
            <v>Non-Household Travel</v>
          </cell>
          <cell r="J161" t="str">
            <v>2037/38</v>
          </cell>
        </row>
        <row r="162">
          <cell r="A162" t="str">
            <v>02 AUCKLAND</v>
          </cell>
          <cell r="B162">
            <v>11</v>
          </cell>
          <cell r="C162">
            <v>2043</v>
          </cell>
          <cell r="D162">
            <v>49</v>
          </cell>
          <cell r="E162">
            <v>220</v>
          </cell>
          <cell r="F162">
            <v>19.085940609000001</v>
          </cell>
          <cell r="G162">
            <v>238.39953797000001</v>
          </cell>
          <cell r="H162">
            <v>7.4062663757999996</v>
          </cell>
          <cell r="I162" t="str">
            <v>Non-Household Travel</v>
          </cell>
          <cell r="J162" t="str">
            <v>2042/43</v>
          </cell>
        </row>
        <row r="163">
          <cell r="A163" t="str">
            <v>03 WAIKATO</v>
          </cell>
          <cell r="B163">
            <v>0</v>
          </cell>
          <cell r="C163">
            <v>2013</v>
          </cell>
          <cell r="D163">
            <v>628</v>
          </cell>
          <cell r="E163">
            <v>2089</v>
          </cell>
          <cell r="F163">
            <v>68.689195601999998</v>
          </cell>
          <cell r="G163">
            <v>52.675735545000002</v>
          </cell>
          <cell r="H163">
            <v>13.69170819</v>
          </cell>
          <cell r="I163" t="str">
            <v>Pedestrian</v>
          </cell>
          <cell r="J163" t="str">
            <v>2012/13</v>
          </cell>
        </row>
        <row r="164">
          <cell r="A164" t="str">
            <v>03 WAIKATO</v>
          </cell>
          <cell r="B164">
            <v>0</v>
          </cell>
          <cell r="C164">
            <v>2018</v>
          </cell>
          <cell r="D164">
            <v>628</v>
          </cell>
          <cell r="E164">
            <v>2089</v>
          </cell>
          <cell r="F164">
            <v>77.477468924999997</v>
          </cell>
          <cell r="G164">
            <v>59.053394075</v>
          </cell>
          <cell r="H164">
            <v>15.269363514</v>
          </cell>
          <cell r="I164" t="str">
            <v>Pedestrian</v>
          </cell>
          <cell r="J164" t="str">
            <v>2017/18</v>
          </cell>
        </row>
        <row r="165">
          <cell r="A165" t="str">
            <v>03 WAIKATO</v>
          </cell>
          <cell r="B165">
            <v>0</v>
          </cell>
          <cell r="C165">
            <v>2023</v>
          </cell>
          <cell r="D165">
            <v>628</v>
          </cell>
          <cell r="E165">
            <v>2089</v>
          </cell>
          <cell r="F165">
            <v>82.685328600000005</v>
          </cell>
          <cell r="G165">
            <v>62.690442572999999</v>
          </cell>
          <cell r="H165">
            <v>16.189625360000001</v>
          </cell>
          <cell r="I165" t="str">
            <v>Pedestrian</v>
          </cell>
          <cell r="J165" t="str">
            <v>2022/23</v>
          </cell>
        </row>
        <row r="166">
          <cell r="A166" t="str">
            <v>03 WAIKATO</v>
          </cell>
          <cell r="B166">
            <v>0</v>
          </cell>
          <cell r="C166">
            <v>2028</v>
          </cell>
          <cell r="D166">
            <v>628</v>
          </cell>
          <cell r="E166">
            <v>2089</v>
          </cell>
          <cell r="F166">
            <v>88.844293397000001</v>
          </cell>
          <cell r="G166">
            <v>66.420171280000005</v>
          </cell>
          <cell r="H166">
            <v>17.120858340000002</v>
          </cell>
          <cell r="I166" t="str">
            <v>Pedestrian</v>
          </cell>
          <cell r="J166" t="str">
            <v>2027/28</v>
          </cell>
        </row>
        <row r="167">
          <cell r="A167" t="str">
            <v>03 WAIKATO</v>
          </cell>
          <cell r="B167">
            <v>0</v>
          </cell>
          <cell r="C167">
            <v>2033</v>
          </cell>
          <cell r="D167">
            <v>628</v>
          </cell>
          <cell r="E167">
            <v>2089</v>
          </cell>
          <cell r="F167">
            <v>94.012953396</v>
          </cell>
          <cell r="G167">
            <v>69.153630092</v>
          </cell>
          <cell r="H167">
            <v>17.844610328000002</v>
          </cell>
          <cell r="I167" t="str">
            <v>Pedestrian</v>
          </cell>
          <cell r="J167" t="str">
            <v>2032/33</v>
          </cell>
        </row>
        <row r="168">
          <cell r="A168" t="str">
            <v>03 WAIKATO</v>
          </cell>
          <cell r="B168">
            <v>0</v>
          </cell>
          <cell r="C168">
            <v>2038</v>
          </cell>
          <cell r="D168">
            <v>628</v>
          </cell>
          <cell r="E168">
            <v>2089</v>
          </cell>
          <cell r="F168">
            <v>98.726638777000005</v>
          </cell>
          <cell r="G168">
            <v>71.819578628000002</v>
          </cell>
          <cell r="H168">
            <v>18.498591344000001</v>
          </cell>
          <cell r="I168" t="str">
            <v>Pedestrian</v>
          </cell>
          <cell r="J168" t="str">
            <v>2037/38</v>
          </cell>
        </row>
        <row r="169">
          <cell r="A169" t="str">
            <v>03 WAIKATO</v>
          </cell>
          <cell r="B169">
            <v>0</v>
          </cell>
          <cell r="C169">
            <v>2043</v>
          </cell>
          <cell r="D169">
            <v>628</v>
          </cell>
          <cell r="E169">
            <v>2089</v>
          </cell>
          <cell r="F169">
            <v>102.79374092</v>
          </cell>
          <cell r="G169">
            <v>73.886317947999999</v>
          </cell>
          <cell r="H169">
            <v>19.008473043999999</v>
          </cell>
          <cell r="I169" t="str">
            <v>Pedestrian</v>
          </cell>
          <cell r="J169" t="str">
            <v>2042/43</v>
          </cell>
        </row>
        <row r="170">
          <cell r="A170" t="str">
            <v>03 WAIKATO</v>
          </cell>
          <cell r="B170">
            <v>1</v>
          </cell>
          <cell r="C170">
            <v>2013</v>
          </cell>
          <cell r="D170">
            <v>60</v>
          </cell>
          <cell r="E170">
            <v>183</v>
          </cell>
          <cell r="F170">
            <v>5.8956498267999997</v>
          </cell>
          <cell r="G170">
            <v>21.829422874999999</v>
          </cell>
          <cell r="H170">
            <v>1.7805943500000001</v>
          </cell>
          <cell r="I170" t="str">
            <v>Cyclist</v>
          </cell>
          <cell r="J170" t="str">
            <v>2012/13</v>
          </cell>
        </row>
        <row r="171">
          <cell r="A171" t="str">
            <v>03 WAIKATO</v>
          </cell>
          <cell r="B171">
            <v>1</v>
          </cell>
          <cell r="C171">
            <v>2018</v>
          </cell>
          <cell r="D171">
            <v>60</v>
          </cell>
          <cell r="E171">
            <v>183</v>
          </cell>
          <cell r="F171">
            <v>6.6558277756999997</v>
          </cell>
          <cell r="G171">
            <v>24.274784031999999</v>
          </cell>
          <cell r="H171">
            <v>2.034019486</v>
          </cell>
          <cell r="I171" t="str">
            <v>Cyclist</v>
          </cell>
          <cell r="J171" t="str">
            <v>2017/18</v>
          </cell>
        </row>
        <row r="172">
          <cell r="A172" t="str">
            <v>03 WAIKATO</v>
          </cell>
          <cell r="B172">
            <v>1</v>
          </cell>
          <cell r="C172">
            <v>2023</v>
          </cell>
          <cell r="D172">
            <v>60</v>
          </cell>
          <cell r="E172">
            <v>183</v>
          </cell>
          <cell r="F172">
            <v>7.2762665024000004</v>
          </cell>
          <cell r="G172">
            <v>25.670477012999999</v>
          </cell>
          <cell r="H172">
            <v>2.2164086065999999</v>
          </cell>
          <cell r="I172" t="str">
            <v>Cyclist</v>
          </cell>
          <cell r="J172" t="str">
            <v>2022/23</v>
          </cell>
        </row>
        <row r="173">
          <cell r="A173" t="str">
            <v>03 WAIKATO</v>
          </cell>
          <cell r="B173">
            <v>1</v>
          </cell>
          <cell r="C173">
            <v>2028</v>
          </cell>
          <cell r="D173">
            <v>60</v>
          </cell>
          <cell r="E173">
            <v>183</v>
          </cell>
          <cell r="F173">
            <v>7.8152054329</v>
          </cell>
          <cell r="G173">
            <v>26.714640275000001</v>
          </cell>
          <cell r="H173">
            <v>2.3641233980999998</v>
          </cell>
          <cell r="I173" t="str">
            <v>Cyclist</v>
          </cell>
          <cell r="J173" t="str">
            <v>2027/28</v>
          </cell>
        </row>
        <row r="174">
          <cell r="A174" t="str">
            <v>03 WAIKATO</v>
          </cell>
          <cell r="B174">
            <v>1</v>
          </cell>
          <cell r="C174">
            <v>2033</v>
          </cell>
          <cell r="D174">
            <v>60</v>
          </cell>
          <cell r="E174">
            <v>183</v>
          </cell>
          <cell r="F174">
            <v>8.3755920436999993</v>
          </cell>
          <cell r="G174">
            <v>27.683568758</v>
          </cell>
          <cell r="H174">
            <v>2.5238708483000001</v>
          </cell>
          <cell r="I174" t="str">
            <v>Cyclist</v>
          </cell>
          <cell r="J174" t="str">
            <v>2032/33</v>
          </cell>
        </row>
        <row r="175">
          <cell r="A175" t="str">
            <v>03 WAIKATO</v>
          </cell>
          <cell r="B175">
            <v>1</v>
          </cell>
          <cell r="C175">
            <v>2038</v>
          </cell>
          <cell r="D175">
            <v>60</v>
          </cell>
          <cell r="E175">
            <v>183</v>
          </cell>
          <cell r="F175">
            <v>9.0778970890000004</v>
          </cell>
          <cell r="G175">
            <v>28.752894631</v>
          </cell>
          <cell r="H175">
            <v>2.7419804357999999</v>
          </cell>
          <cell r="I175" t="str">
            <v>Cyclist</v>
          </cell>
          <cell r="J175" t="str">
            <v>2037/38</v>
          </cell>
        </row>
        <row r="176">
          <cell r="A176" t="str">
            <v>03 WAIKATO</v>
          </cell>
          <cell r="B176">
            <v>1</v>
          </cell>
          <cell r="C176">
            <v>2043</v>
          </cell>
          <cell r="D176">
            <v>60</v>
          </cell>
          <cell r="E176">
            <v>183</v>
          </cell>
          <cell r="F176">
            <v>9.8050515016999995</v>
          </cell>
          <cell r="G176">
            <v>29.695336135000002</v>
          </cell>
          <cell r="H176">
            <v>2.9710620366999998</v>
          </cell>
          <cell r="I176" t="str">
            <v>Cyclist</v>
          </cell>
          <cell r="J176" t="str">
            <v>2042/43</v>
          </cell>
        </row>
        <row r="177">
          <cell r="A177" t="str">
            <v>03 WAIKATO</v>
          </cell>
          <cell r="B177">
            <v>2</v>
          </cell>
          <cell r="C177">
            <v>2013</v>
          </cell>
          <cell r="D177">
            <v>1302</v>
          </cell>
          <cell r="E177">
            <v>9074</v>
          </cell>
          <cell r="F177">
            <v>305.41478153000003</v>
          </cell>
          <cell r="G177">
            <v>3709.9843593000001</v>
          </cell>
          <cell r="H177">
            <v>82.274552721999996</v>
          </cell>
          <cell r="I177" t="str">
            <v>Light Vehicle Driver</v>
          </cell>
          <cell r="J177" t="str">
            <v>2012/13</v>
          </cell>
        </row>
        <row r="178">
          <cell r="A178" t="str">
            <v>03 WAIKATO</v>
          </cell>
          <cell r="B178">
            <v>2</v>
          </cell>
          <cell r="C178">
            <v>2018</v>
          </cell>
          <cell r="D178">
            <v>1302</v>
          </cell>
          <cell r="E178">
            <v>9074</v>
          </cell>
          <cell r="F178">
            <v>357.39801752</v>
          </cell>
          <cell r="G178">
            <v>4343.5554576000004</v>
          </cell>
          <cell r="H178">
            <v>96.329362552000006</v>
          </cell>
          <cell r="I178" t="str">
            <v>Light Vehicle Driver</v>
          </cell>
          <cell r="J178" t="str">
            <v>2017/18</v>
          </cell>
        </row>
        <row r="179">
          <cell r="A179" t="str">
            <v>03 WAIKATO</v>
          </cell>
          <cell r="B179">
            <v>2</v>
          </cell>
          <cell r="C179">
            <v>2023</v>
          </cell>
          <cell r="D179">
            <v>1302</v>
          </cell>
          <cell r="E179">
            <v>9074</v>
          </cell>
          <cell r="F179">
            <v>385.64827931000002</v>
          </cell>
          <cell r="G179">
            <v>4689.3432284999999</v>
          </cell>
          <cell r="H179">
            <v>103.82647897</v>
          </cell>
          <cell r="I179" t="str">
            <v>Light Vehicle Driver</v>
          </cell>
          <cell r="J179" t="str">
            <v>2022/23</v>
          </cell>
        </row>
        <row r="180">
          <cell r="A180" t="str">
            <v>03 WAIKATO</v>
          </cell>
          <cell r="B180">
            <v>2</v>
          </cell>
          <cell r="C180">
            <v>2028</v>
          </cell>
          <cell r="D180">
            <v>1302</v>
          </cell>
          <cell r="E180">
            <v>9074</v>
          </cell>
          <cell r="F180">
            <v>421.97454600999998</v>
          </cell>
          <cell r="G180">
            <v>5140.4926567000002</v>
          </cell>
          <cell r="H180">
            <v>113.57895027000001</v>
          </cell>
          <cell r="I180" t="str">
            <v>Light Vehicle Driver</v>
          </cell>
          <cell r="J180" t="str">
            <v>2027/28</v>
          </cell>
        </row>
        <row r="181">
          <cell r="A181" t="str">
            <v>03 WAIKATO</v>
          </cell>
          <cell r="B181">
            <v>2</v>
          </cell>
          <cell r="C181">
            <v>2033</v>
          </cell>
          <cell r="D181">
            <v>1302</v>
          </cell>
          <cell r="E181">
            <v>9074</v>
          </cell>
          <cell r="F181">
            <v>454.96527090000001</v>
          </cell>
          <cell r="G181">
            <v>5548.5474339000002</v>
          </cell>
          <cell r="H181">
            <v>122.39502364000001</v>
          </cell>
          <cell r="I181" t="str">
            <v>Light Vehicle Driver</v>
          </cell>
          <cell r="J181" t="str">
            <v>2032/33</v>
          </cell>
        </row>
        <row r="182">
          <cell r="A182" t="str">
            <v>03 WAIKATO</v>
          </cell>
          <cell r="B182">
            <v>2</v>
          </cell>
          <cell r="C182">
            <v>2038</v>
          </cell>
          <cell r="D182">
            <v>1302</v>
          </cell>
          <cell r="E182">
            <v>9074</v>
          </cell>
          <cell r="F182">
            <v>484.90380269000002</v>
          </cell>
          <cell r="G182">
            <v>5907.0401615000001</v>
          </cell>
          <cell r="H182">
            <v>130.25871015999999</v>
          </cell>
          <cell r="I182" t="str">
            <v>Light Vehicle Driver</v>
          </cell>
          <cell r="J182" t="str">
            <v>2037/38</v>
          </cell>
        </row>
        <row r="183">
          <cell r="A183" t="str">
            <v>03 WAIKATO</v>
          </cell>
          <cell r="B183">
            <v>2</v>
          </cell>
          <cell r="C183">
            <v>2043</v>
          </cell>
          <cell r="D183">
            <v>1302</v>
          </cell>
          <cell r="E183">
            <v>9074</v>
          </cell>
          <cell r="F183">
            <v>511.11804837</v>
          </cell>
          <cell r="G183">
            <v>6215.4401115000001</v>
          </cell>
          <cell r="H183">
            <v>137.07093180999999</v>
          </cell>
          <cell r="I183" t="str">
            <v>Light Vehicle Driver</v>
          </cell>
          <cell r="J183" t="str">
            <v>2042/43</v>
          </cell>
        </row>
        <row r="184">
          <cell r="A184" t="str">
            <v>03 WAIKATO</v>
          </cell>
          <cell r="B184">
            <v>3</v>
          </cell>
          <cell r="C184">
            <v>2013</v>
          </cell>
          <cell r="D184">
            <v>931</v>
          </cell>
          <cell r="E184">
            <v>4349</v>
          </cell>
          <cell r="F184">
            <v>139.07206360000001</v>
          </cell>
          <cell r="G184">
            <v>1955.0668243</v>
          </cell>
          <cell r="H184">
            <v>42.037273755000001</v>
          </cell>
          <cell r="I184" t="str">
            <v>Light Vehicle Passenger</v>
          </cell>
          <cell r="J184" t="str">
            <v>2012/13</v>
          </cell>
        </row>
        <row r="185">
          <cell r="A185" t="str">
            <v>03 WAIKATO</v>
          </cell>
          <cell r="B185">
            <v>3</v>
          </cell>
          <cell r="C185">
            <v>2018</v>
          </cell>
          <cell r="D185">
            <v>931</v>
          </cell>
          <cell r="E185">
            <v>4349</v>
          </cell>
          <cell r="F185">
            <v>152.70590949999999</v>
          </cell>
          <cell r="G185">
            <v>2197.6002308000002</v>
          </cell>
          <cell r="H185">
            <v>46.909844634000002</v>
          </cell>
          <cell r="I185" t="str">
            <v>Light Vehicle Passenger</v>
          </cell>
          <cell r="J185" t="str">
            <v>2017/18</v>
          </cell>
        </row>
        <row r="186">
          <cell r="A186" t="str">
            <v>03 WAIKATO</v>
          </cell>
          <cell r="B186">
            <v>3</v>
          </cell>
          <cell r="C186">
            <v>2023</v>
          </cell>
          <cell r="D186">
            <v>931</v>
          </cell>
          <cell r="E186">
            <v>4349</v>
          </cell>
          <cell r="F186">
            <v>164.17498388000001</v>
          </cell>
          <cell r="G186">
            <v>2378.6851882000001</v>
          </cell>
          <cell r="H186">
            <v>50.663472050999999</v>
          </cell>
          <cell r="I186" t="str">
            <v>Light Vehicle Passenger</v>
          </cell>
          <cell r="J186" t="str">
            <v>2022/23</v>
          </cell>
        </row>
        <row r="187">
          <cell r="A187" t="str">
            <v>03 WAIKATO</v>
          </cell>
          <cell r="B187">
            <v>3</v>
          </cell>
          <cell r="C187">
            <v>2028</v>
          </cell>
          <cell r="D187">
            <v>931</v>
          </cell>
          <cell r="E187">
            <v>4349</v>
          </cell>
          <cell r="F187">
            <v>177.09094365000001</v>
          </cell>
          <cell r="G187">
            <v>2575.8605008</v>
          </cell>
          <cell r="H187">
            <v>54.768188852000002</v>
          </cell>
          <cell r="I187" t="str">
            <v>Light Vehicle Passenger</v>
          </cell>
          <cell r="J187" t="str">
            <v>2027/28</v>
          </cell>
        </row>
        <row r="188">
          <cell r="A188" t="str">
            <v>03 WAIKATO</v>
          </cell>
          <cell r="B188">
            <v>3</v>
          </cell>
          <cell r="C188">
            <v>2033</v>
          </cell>
          <cell r="D188">
            <v>931</v>
          </cell>
          <cell r="E188">
            <v>4349</v>
          </cell>
          <cell r="F188">
            <v>188.96772576999999</v>
          </cell>
          <cell r="G188">
            <v>2752.2911417</v>
          </cell>
          <cell r="H188">
            <v>58.464072839000004</v>
          </cell>
          <cell r="I188" t="str">
            <v>Light Vehicle Passenger</v>
          </cell>
          <cell r="J188" t="str">
            <v>2032/33</v>
          </cell>
        </row>
        <row r="189">
          <cell r="A189" t="str">
            <v>03 WAIKATO</v>
          </cell>
          <cell r="B189">
            <v>3</v>
          </cell>
          <cell r="C189">
            <v>2038</v>
          </cell>
          <cell r="D189">
            <v>931</v>
          </cell>
          <cell r="E189">
            <v>4349</v>
          </cell>
          <cell r="F189">
            <v>199.6338792</v>
          </cell>
          <cell r="G189">
            <v>2904.4295310000002</v>
          </cell>
          <cell r="H189">
            <v>61.721851053999998</v>
          </cell>
          <cell r="I189" t="str">
            <v>Light Vehicle Passenger</v>
          </cell>
          <cell r="J189" t="str">
            <v>2037/38</v>
          </cell>
        </row>
        <row r="190">
          <cell r="A190" t="str">
            <v>03 WAIKATO</v>
          </cell>
          <cell r="B190">
            <v>3</v>
          </cell>
          <cell r="C190">
            <v>2043</v>
          </cell>
          <cell r="D190">
            <v>931</v>
          </cell>
          <cell r="E190">
            <v>4349</v>
          </cell>
          <cell r="F190">
            <v>208.83891847000001</v>
          </cell>
          <cell r="G190">
            <v>3028.7773551999999</v>
          </cell>
          <cell r="H190">
            <v>64.450670747999993</v>
          </cell>
          <cell r="I190" t="str">
            <v>Light Vehicle Passenger</v>
          </cell>
          <cell r="J190" t="str">
            <v>2042/43</v>
          </cell>
        </row>
        <row r="191">
          <cell r="A191" t="str">
            <v>03 WAIKATO</v>
          </cell>
          <cell r="B191">
            <v>4</v>
          </cell>
          <cell r="C191">
            <v>2013</v>
          </cell>
          <cell r="D191">
            <v>13</v>
          </cell>
          <cell r="E191">
            <v>20</v>
          </cell>
          <cell r="F191">
            <v>0.69122996950000004</v>
          </cell>
          <cell r="G191">
            <v>2.4426175743999998</v>
          </cell>
          <cell r="H191">
            <v>0.1633822556</v>
          </cell>
          <cell r="J191" t="str">
            <v>2012/13</v>
          </cell>
        </row>
        <row r="192">
          <cell r="A192" t="str">
            <v>03 WAIKATO</v>
          </cell>
          <cell r="B192">
            <v>4</v>
          </cell>
          <cell r="C192">
            <v>2018</v>
          </cell>
          <cell r="D192">
            <v>13</v>
          </cell>
          <cell r="E192">
            <v>20</v>
          </cell>
          <cell r="F192">
            <v>0.90802271059999995</v>
          </cell>
          <cell r="G192">
            <v>3.3921897734000002</v>
          </cell>
          <cell r="H192">
            <v>0.22047853789999999</v>
          </cell>
          <cell r="J192" t="str">
            <v>2017/18</v>
          </cell>
        </row>
        <row r="193">
          <cell r="A193" t="str">
            <v>03 WAIKATO</v>
          </cell>
          <cell r="B193">
            <v>4</v>
          </cell>
          <cell r="C193">
            <v>2023</v>
          </cell>
          <cell r="D193">
            <v>13</v>
          </cell>
          <cell r="E193">
            <v>20</v>
          </cell>
          <cell r="F193">
            <v>1.0281455984000001</v>
          </cell>
          <cell r="G193">
            <v>3.9944006884999999</v>
          </cell>
          <cell r="H193">
            <v>0.25424422569999999</v>
          </cell>
          <cell r="J193" t="str">
            <v>2022/23</v>
          </cell>
        </row>
        <row r="194">
          <cell r="A194" t="str">
            <v>03 WAIKATO</v>
          </cell>
          <cell r="B194">
            <v>4</v>
          </cell>
          <cell r="C194">
            <v>2028</v>
          </cell>
          <cell r="D194">
            <v>13</v>
          </cell>
          <cell r="E194">
            <v>20</v>
          </cell>
          <cell r="F194">
            <v>1.1180348716999999</v>
          </cell>
          <cell r="G194">
            <v>4.6186236064999999</v>
          </cell>
          <cell r="H194">
            <v>0.28614889669999999</v>
          </cell>
          <cell r="J194" t="str">
            <v>2027/28</v>
          </cell>
        </row>
        <row r="195">
          <cell r="A195" t="str">
            <v>03 WAIKATO</v>
          </cell>
          <cell r="B195">
            <v>4</v>
          </cell>
          <cell r="C195">
            <v>2033</v>
          </cell>
          <cell r="D195">
            <v>13</v>
          </cell>
          <cell r="E195">
            <v>20</v>
          </cell>
          <cell r="F195">
            <v>1.1835895395</v>
          </cell>
          <cell r="G195">
            <v>5.1394591243000001</v>
          </cell>
          <cell r="H195">
            <v>0.31059747300000001</v>
          </cell>
          <cell r="J195" t="str">
            <v>2032/33</v>
          </cell>
        </row>
        <row r="196">
          <cell r="A196" t="str">
            <v>03 WAIKATO</v>
          </cell>
          <cell r="B196">
            <v>4</v>
          </cell>
          <cell r="C196">
            <v>2038</v>
          </cell>
          <cell r="D196">
            <v>13</v>
          </cell>
          <cell r="E196">
            <v>20</v>
          </cell>
          <cell r="F196">
            <v>1.2295843244</v>
          </cell>
          <cell r="G196">
            <v>5.5417410549000001</v>
          </cell>
          <cell r="H196">
            <v>0.32520575839999999</v>
          </cell>
          <cell r="J196" t="str">
            <v>2037/38</v>
          </cell>
        </row>
        <row r="197">
          <cell r="A197" t="str">
            <v>03 WAIKATO</v>
          </cell>
          <cell r="B197">
            <v>4</v>
          </cell>
          <cell r="C197">
            <v>2043</v>
          </cell>
          <cell r="D197">
            <v>13</v>
          </cell>
          <cell r="E197">
            <v>20</v>
          </cell>
          <cell r="F197">
            <v>1.2623509158999999</v>
          </cell>
          <cell r="G197">
            <v>5.9011988817000001</v>
          </cell>
          <cell r="H197">
            <v>0.3362769041</v>
          </cell>
          <cell r="J197" t="str">
            <v>2042/43</v>
          </cell>
        </row>
        <row r="198">
          <cell r="A198" t="str">
            <v>03 WAIKATO</v>
          </cell>
          <cell r="B198">
            <v>5</v>
          </cell>
          <cell r="C198">
            <v>2013</v>
          </cell>
          <cell r="D198">
            <v>16</v>
          </cell>
          <cell r="E198">
            <v>51</v>
          </cell>
          <cell r="F198">
            <v>1.8680965575999999</v>
          </cell>
          <cell r="G198">
            <v>38.030338682999997</v>
          </cell>
          <cell r="H198">
            <v>0.60639269429999998</v>
          </cell>
          <cell r="I198" t="str">
            <v>Motorcyclist</v>
          </cell>
          <cell r="J198" t="str">
            <v>2012/13</v>
          </cell>
        </row>
        <row r="199">
          <cell r="A199" t="str">
            <v>03 WAIKATO</v>
          </cell>
          <cell r="B199">
            <v>5</v>
          </cell>
          <cell r="C199">
            <v>2018</v>
          </cell>
          <cell r="D199">
            <v>16</v>
          </cell>
          <cell r="E199">
            <v>51</v>
          </cell>
          <cell r="F199">
            <v>1.8667946105</v>
          </cell>
          <cell r="G199">
            <v>40.581188613000002</v>
          </cell>
          <cell r="H199">
            <v>0.62626120689999998</v>
          </cell>
          <cell r="I199" t="str">
            <v>Motorcyclist</v>
          </cell>
          <cell r="J199" t="str">
            <v>2017/18</v>
          </cell>
        </row>
        <row r="200">
          <cell r="A200" t="str">
            <v>03 WAIKATO</v>
          </cell>
          <cell r="B200">
            <v>5</v>
          </cell>
          <cell r="C200">
            <v>2023</v>
          </cell>
          <cell r="D200">
            <v>16</v>
          </cell>
          <cell r="E200">
            <v>51</v>
          </cell>
          <cell r="F200">
            <v>1.8134552229000001</v>
          </cell>
          <cell r="G200">
            <v>41.354829643999999</v>
          </cell>
          <cell r="H200">
            <v>0.62946729629999998</v>
          </cell>
          <cell r="I200" t="str">
            <v>Motorcyclist</v>
          </cell>
          <cell r="J200" t="str">
            <v>2022/23</v>
          </cell>
        </row>
        <row r="201">
          <cell r="A201" t="str">
            <v>03 WAIKATO</v>
          </cell>
          <cell r="B201">
            <v>5</v>
          </cell>
          <cell r="C201">
            <v>2028</v>
          </cell>
          <cell r="D201">
            <v>16</v>
          </cell>
          <cell r="E201">
            <v>51</v>
          </cell>
          <cell r="F201">
            <v>1.7565931056999999</v>
          </cell>
          <cell r="G201">
            <v>39.889506296999997</v>
          </cell>
          <cell r="H201">
            <v>0.61176103959999995</v>
          </cell>
          <cell r="I201" t="str">
            <v>Motorcyclist</v>
          </cell>
          <cell r="J201" t="str">
            <v>2027/28</v>
          </cell>
        </row>
        <row r="202">
          <cell r="A202" t="str">
            <v>03 WAIKATO</v>
          </cell>
          <cell r="B202">
            <v>5</v>
          </cell>
          <cell r="C202">
            <v>2033</v>
          </cell>
          <cell r="D202">
            <v>16</v>
          </cell>
          <cell r="E202">
            <v>51</v>
          </cell>
          <cell r="F202">
            <v>1.6755998818</v>
          </cell>
          <cell r="G202">
            <v>36.594631223999997</v>
          </cell>
          <cell r="H202">
            <v>0.5710424315</v>
          </cell>
          <cell r="I202" t="str">
            <v>Motorcyclist</v>
          </cell>
          <cell r="J202" t="str">
            <v>2032/33</v>
          </cell>
        </row>
        <row r="203">
          <cell r="A203" t="str">
            <v>03 WAIKATO</v>
          </cell>
          <cell r="B203">
            <v>5</v>
          </cell>
          <cell r="C203">
            <v>2038</v>
          </cell>
          <cell r="D203">
            <v>16</v>
          </cell>
          <cell r="E203">
            <v>51</v>
          </cell>
          <cell r="F203">
            <v>1.5507946350999999</v>
          </cell>
          <cell r="G203">
            <v>32.065139791</v>
          </cell>
          <cell r="H203">
            <v>0.5094895921</v>
          </cell>
          <cell r="I203" t="str">
            <v>Motorcyclist</v>
          </cell>
          <cell r="J203" t="str">
            <v>2037/38</v>
          </cell>
        </row>
        <row r="204">
          <cell r="A204" t="str">
            <v>03 WAIKATO</v>
          </cell>
          <cell r="B204">
            <v>5</v>
          </cell>
          <cell r="C204">
            <v>2043</v>
          </cell>
          <cell r="D204">
            <v>16</v>
          </cell>
          <cell r="E204">
            <v>51</v>
          </cell>
          <cell r="F204">
            <v>1.4224620802000001</v>
          </cell>
          <cell r="G204">
            <v>27.543527197</v>
          </cell>
          <cell r="H204">
            <v>0.4477126521</v>
          </cell>
          <cell r="I204" t="str">
            <v>Motorcyclist</v>
          </cell>
          <cell r="J204" t="str">
            <v>2042/43</v>
          </cell>
        </row>
        <row r="205">
          <cell r="A205" t="str">
            <v>03 WAIKATO</v>
          </cell>
          <cell r="B205">
            <v>6</v>
          </cell>
          <cell r="C205">
            <v>2013</v>
          </cell>
          <cell r="D205">
            <v>2</v>
          </cell>
          <cell r="E205">
            <v>5</v>
          </cell>
          <cell r="F205">
            <v>0.12019006359999999</v>
          </cell>
          <cell r="G205">
            <v>2.9773519310999998</v>
          </cell>
          <cell r="H205">
            <v>7.0969514100000006E-2</v>
          </cell>
          <cell r="I205" t="str">
            <v>Local Train</v>
          </cell>
          <cell r="J205" t="str">
            <v>2012/13</v>
          </cell>
        </row>
        <row r="206">
          <cell r="A206" t="str">
            <v>03 WAIKATO</v>
          </cell>
          <cell r="B206">
            <v>6</v>
          </cell>
          <cell r="C206">
            <v>2018</v>
          </cell>
          <cell r="D206">
            <v>2</v>
          </cell>
          <cell r="E206">
            <v>5</v>
          </cell>
          <cell r="F206">
            <v>0.13036404509999999</v>
          </cell>
          <cell r="G206">
            <v>3.3095310429000002</v>
          </cell>
          <cell r="H206">
            <v>7.8854521299999994E-2</v>
          </cell>
          <cell r="I206" t="str">
            <v>Local Train</v>
          </cell>
          <cell r="J206" t="str">
            <v>2017/18</v>
          </cell>
        </row>
        <row r="207">
          <cell r="A207" t="str">
            <v>03 WAIKATO</v>
          </cell>
          <cell r="B207">
            <v>6</v>
          </cell>
          <cell r="C207">
            <v>2023</v>
          </cell>
          <cell r="D207">
            <v>2</v>
          </cell>
          <cell r="E207">
            <v>5</v>
          </cell>
          <cell r="F207">
            <v>0.14213165750000001</v>
          </cell>
          <cell r="G207">
            <v>3.9171368637000001</v>
          </cell>
          <cell r="H207">
            <v>9.3207679299999999E-2</v>
          </cell>
          <cell r="I207" t="str">
            <v>Local Train</v>
          </cell>
          <cell r="J207" t="str">
            <v>2022/23</v>
          </cell>
        </row>
        <row r="208">
          <cell r="A208" t="str">
            <v>03 WAIKATO</v>
          </cell>
          <cell r="B208">
            <v>6</v>
          </cell>
          <cell r="C208">
            <v>2028</v>
          </cell>
          <cell r="D208">
            <v>2</v>
          </cell>
          <cell r="E208">
            <v>5</v>
          </cell>
          <cell r="F208">
            <v>0.158638003</v>
          </cell>
          <cell r="G208">
            <v>4.4838528404</v>
          </cell>
          <cell r="H208">
            <v>0.1066512677</v>
          </cell>
          <cell r="I208" t="str">
            <v>Local Train</v>
          </cell>
          <cell r="J208" t="str">
            <v>2027/28</v>
          </cell>
        </row>
        <row r="209">
          <cell r="A209" t="str">
            <v>03 WAIKATO</v>
          </cell>
          <cell r="B209">
            <v>6</v>
          </cell>
          <cell r="C209">
            <v>2033</v>
          </cell>
          <cell r="D209">
            <v>2</v>
          </cell>
          <cell r="E209">
            <v>5</v>
          </cell>
          <cell r="F209">
            <v>0.16996753789999999</v>
          </cell>
          <cell r="G209">
            <v>4.8566827988999997</v>
          </cell>
          <cell r="H209">
            <v>0.11550030090000001</v>
          </cell>
          <cell r="I209" t="str">
            <v>Local Train</v>
          </cell>
          <cell r="J209" t="str">
            <v>2032/33</v>
          </cell>
        </row>
        <row r="210">
          <cell r="A210" t="str">
            <v>03 WAIKATO</v>
          </cell>
          <cell r="B210">
            <v>6</v>
          </cell>
          <cell r="C210">
            <v>2038</v>
          </cell>
          <cell r="D210">
            <v>2</v>
          </cell>
          <cell r="E210">
            <v>5</v>
          </cell>
          <cell r="F210">
            <v>0.1783852148</v>
          </cell>
          <cell r="G210">
            <v>5.2129100055000004</v>
          </cell>
          <cell r="H210">
            <v>0.1239307441</v>
          </cell>
          <cell r="I210" t="str">
            <v>Local Train</v>
          </cell>
          <cell r="J210" t="str">
            <v>2037/38</v>
          </cell>
        </row>
        <row r="211">
          <cell r="A211" t="str">
            <v>03 WAIKATO</v>
          </cell>
          <cell r="B211">
            <v>6</v>
          </cell>
          <cell r="C211">
            <v>2043</v>
          </cell>
          <cell r="D211">
            <v>2</v>
          </cell>
          <cell r="E211">
            <v>5</v>
          </cell>
          <cell r="F211">
            <v>0.18324634349999999</v>
          </cell>
          <cell r="G211">
            <v>5.4658111734999997</v>
          </cell>
          <cell r="H211">
            <v>0.12990452199999999</v>
          </cell>
          <cell r="I211" t="str">
            <v>Local Train</v>
          </cell>
          <cell r="J211" t="str">
            <v>2042/43</v>
          </cell>
        </row>
        <row r="212">
          <cell r="A212" t="str">
            <v>03 WAIKATO</v>
          </cell>
          <cell r="B212">
            <v>7</v>
          </cell>
          <cell r="C212">
            <v>2013</v>
          </cell>
          <cell r="D212">
            <v>81</v>
          </cell>
          <cell r="E212">
            <v>183</v>
          </cell>
          <cell r="F212">
            <v>5.7199103379</v>
          </cell>
          <cell r="G212">
            <v>54.303948532</v>
          </cell>
          <cell r="H212">
            <v>2.2088814398999999</v>
          </cell>
          <cell r="I212" t="str">
            <v>Local Bus</v>
          </cell>
          <cell r="J212" t="str">
            <v>2012/13</v>
          </cell>
        </row>
        <row r="213">
          <cell r="A213" t="str">
            <v>03 WAIKATO</v>
          </cell>
          <cell r="B213">
            <v>7</v>
          </cell>
          <cell r="C213">
            <v>2018</v>
          </cell>
          <cell r="D213">
            <v>81</v>
          </cell>
          <cell r="E213">
            <v>183</v>
          </cell>
          <cell r="F213">
            <v>6.0962613693999996</v>
          </cell>
          <cell r="G213">
            <v>53.813466423000001</v>
          </cell>
          <cell r="H213">
            <v>2.3120554739000001</v>
          </cell>
          <cell r="I213" t="str">
            <v>Local Bus</v>
          </cell>
          <cell r="J213" t="str">
            <v>2017/18</v>
          </cell>
        </row>
        <row r="214">
          <cell r="A214" t="str">
            <v>03 WAIKATO</v>
          </cell>
          <cell r="B214">
            <v>7</v>
          </cell>
          <cell r="C214">
            <v>2023</v>
          </cell>
          <cell r="D214">
            <v>81</v>
          </cell>
          <cell r="E214">
            <v>183</v>
          </cell>
          <cell r="F214">
            <v>6.3549353684999996</v>
          </cell>
          <cell r="G214">
            <v>53.920888531999999</v>
          </cell>
          <cell r="H214">
            <v>2.3919453655999998</v>
          </cell>
          <cell r="I214" t="str">
            <v>Local Bus</v>
          </cell>
          <cell r="J214" t="str">
            <v>2022/23</v>
          </cell>
        </row>
        <row r="215">
          <cell r="A215" t="str">
            <v>03 WAIKATO</v>
          </cell>
          <cell r="B215">
            <v>7</v>
          </cell>
          <cell r="C215">
            <v>2028</v>
          </cell>
          <cell r="D215">
            <v>81</v>
          </cell>
          <cell r="E215">
            <v>183</v>
          </cell>
          <cell r="F215">
            <v>6.7914566711999997</v>
          </cell>
          <cell r="G215">
            <v>55.459936601000003</v>
          </cell>
          <cell r="H215">
            <v>2.5549861210000002</v>
          </cell>
          <cell r="I215" t="str">
            <v>Local Bus</v>
          </cell>
          <cell r="J215" t="str">
            <v>2027/28</v>
          </cell>
        </row>
        <row r="216">
          <cell r="A216" t="str">
            <v>03 WAIKATO</v>
          </cell>
          <cell r="B216">
            <v>7</v>
          </cell>
          <cell r="C216">
            <v>2033</v>
          </cell>
          <cell r="D216">
            <v>81</v>
          </cell>
          <cell r="E216">
            <v>183</v>
          </cell>
          <cell r="F216">
            <v>7.1908860648999999</v>
          </cell>
          <cell r="G216">
            <v>56.827104564000003</v>
          </cell>
          <cell r="H216">
            <v>2.7033557610000001</v>
          </cell>
          <cell r="I216" t="str">
            <v>Local Bus</v>
          </cell>
          <cell r="J216" t="str">
            <v>2032/33</v>
          </cell>
        </row>
        <row r="217">
          <cell r="A217" t="str">
            <v>03 WAIKATO</v>
          </cell>
          <cell r="B217">
            <v>7</v>
          </cell>
          <cell r="C217">
            <v>2038</v>
          </cell>
          <cell r="D217">
            <v>81</v>
          </cell>
          <cell r="E217">
            <v>183</v>
          </cell>
          <cell r="F217">
            <v>7.6466632158000003</v>
          </cell>
          <cell r="G217">
            <v>59.107489768000001</v>
          </cell>
          <cell r="H217">
            <v>2.8788910578000002</v>
          </cell>
          <cell r="I217" t="str">
            <v>Local Bus</v>
          </cell>
          <cell r="J217" t="str">
            <v>2037/38</v>
          </cell>
        </row>
        <row r="218">
          <cell r="A218" t="str">
            <v>03 WAIKATO</v>
          </cell>
          <cell r="B218">
            <v>7</v>
          </cell>
          <cell r="C218">
            <v>2043</v>
          </cell>
          <cell r="D218">
            <v>81</v>
          </cell>
          <cell r="E218">
            <v>183</v>
          </cell>
          <cell r="F218">
            <v>8.0588552128999993</v>
          </cell>
          <cell r="G218">
            <v>61.434728213</v>
          </cell>
          <cell r="H218">
            <v>3.0458591541</v>
          </cell>
          <cell r="I218" t="str">
            <v>Local Bus</v>
          </cell>
          <cell r="J218" t="str">
            <v>2042/43</v>
          </cell>
        </row>
        <row r="219">
          <cell r="A219" t="str">
            <v>03 WAIKATO</v>
          </cell>
          <cell r="B219">
            <v>8</v>
          </cell>
          <cell r="C219">
            <v>2013</v>
          </cell>
          <cell r="D219">
            <v>3</v>
          </cell>
          <cell r="E219">
            <v>7</v>
          </cell>
          <cell r="F219">
            <v>0.2446181519</v>
          </cell>
          <cell r="G219">
            <v>0</v>
          </cell>
          <cell r="H219">
            <v>9.3342661800000004E-2</v>
          </cell>
          <cell r="I219" t="str">
            <v>Local Ferry</v>
          </cell>
          <cell r="J219" t="str">
            <v>2012/13</v>
          </cell>
        </row>
        <row r="220">
          <cell r="A220" t="str">
            <v>03 WAIKATO</v>
          </cell>
          <cell r="B220">
            <v>8</v>
          </cell>
          <cell r="C220">
            <v>2018</v>
          </cell>
          <cell r="D220">
            <v>3</v>
          </cell>
          <cell r="E220">
            <v>7</v>
          </cell>
          <cell r="F220">
            <v>0.28753891269999998</v>
          </cell>
          <cell r="G220">
            <v>0</v>
          </cell>
          <cell r="H220">
            <v>0.11298378670000001</v>
          </cell>
          <cell r="I220" t="str">
            <v>Local Ferry</v>
          </cell>
          <cell r="J220" t="str">
            <v>2017/18</v>
          </cell>
        </row>
        <row r="221">
          <cell r="A221" t="str">
            <v>03 WAIKATO</v>
          </cell>
          <cell r="B221">
            <v>8</v>
          </cell>
          <cell r="C221">
            <v>2023</v>
          </cell>
          <cell r="D221">
            <v>3</v>
          </cell>
          <cell r="E221">
            <v>7</v>
          </cell>
          <cell r="F221">
            <v>0.3031783985</v>
          </cell>
          <cell r="G221">
            <v>0</v>
          </cell>
          <cell r="H221">
            <v>0.11765181750000001</v>
          </cell>
          <cell r="I221" t="str">
            <v>Local Ferry</v>
          </cell>
          <cell r="J221" t="str">
            <v>2022/23</v>
          </cell>
        </row>
        <row r="222">
          <cell r="A222" t="str">
            <v>03 WAIKATO</v>
          </cell>
          <cell r="B222">
            <v>8</v>
          </cell>
          <cell r="C222">
            <v>2028</v>
          </cell>
          <cell r="D222">
            <v>3</v>
          </cell>
          <cell r="E222">
            <v>7</v>
          </cell>
          <cell r="F222">
            <v>0.3355506378</v>
          </cell>
          <cell r="G222">
            <v>0</v>
          </cell>
          <cell r="H222">
            <v>0.1310279188</v>
          </cell>
          <cell r="I222" t="str">
            <v>Local Ferry</v>
          </cell>
          <cell r="J222" t="str">
            <v>2027/28</v>
          </cell>
        </row>
        <row r="223">
          <cell r="A223" t="str">
            <v>03 WAIKATO</v>
          </cell>
          <cell r="B223">
            <v>8</v>
          </cell>
          <cell r="C223">
            <v>2033</v>
          </cell>
          <cell r="D223">
            <v>3</v>
          </cell>
          <cell r="E223">
            <v>7</v>
          </cell>
          <cell r="F223">
            <v>0.34914429340000003</v>
          </cell>
          <cell r="G223">
            <v>0</v>
          </cell>
          <cell r="H223">
            <v>0.13476014</v>
          </cell>
          <cell r="I223" t="str">
            <v>Local Ferry</v>
          </cell>
          <cell r="J223" t="str">
            <v>2032/33</v>
          </cell>
        </row>
        <row r="224">
          <cell r="A224" t="str">
            <v>03 WAIKATO</v>
          </cell>
          <cell r="B224">
            <v>8</v>
          </cell>
          <cell r="C224">
            <v>2038</v>
          </cell>
          <cell r="D224">
            <v>3</v>
          </cell>
          <cell r="E224">
            <v>7</v>
          </cell>
          <cell r="F224">
            <v>0.3433485</v>
          </cell>
          <cell r="G224">
            <v>0</v>
          </cell>
          <cell r="H224">
            <v>0.1296033828</v>
          </cell>
          <cell r="I224" t="str">
            <v>Local Ferry</v>
          </cell>
          <cell r="J224" t="str">
            <v>2037/38</v>
          </cell>
        </row>
        <row r="225">
          <cell r="A225" t="str">
            <v>03 WAIKATO</v>
          </cell>
          <cell r="B225">
            <v>8</v>
          </cell>
          <cell r="C225">
            <v>2043</v>
          </cell>
          <cell r="D225">
            <v>3</v>
          </cell>
          <cell r="E225">
            <v>7</v>
          </cell>
          <cell r="F225">
            <v>0.33064341720000001</v>
          </cell>
          <cell r="G225">
            <v>0</v>
          </cell>
          <cell r="H225">
            <v>0.12117115470000001</v>
          </cell>
          <cell r="I225" t="str">
            <v>Local Ferry</v>
          </cell>
          <cell r="J225" t="str">
            <v>2042/43</v>
          </cell>
        </row>
        <row r="226">
          <cell r="A226" t="str">
            <v>03 WAIKATO</v>
          </cell>
          <cell r="B226">
            <v>9</v>
          </cell>
          <cell r="C226">
            <v>2013</v>
          </cell>
          <cell r="D226">
            <v>17</v>
          </cell>
          <cell r="E226">
            <v>46</v>
          </cell>
          <cell r="F226">
            <v>1.8854250596</v>
          </cell>
          <cell r="G226">
            <v>0</v>
          </cell>
          <cell r="H226">
            <v>0.63404452519999999</v>
          </cell>
          <cell r="I226" t="str">
            <v>Other Household Travel</v>
          </cell>
          <cell r="J226" t="str">
            <v>2012/13</v>
          </cell>
        </row>
        <row r="227">
          <cell r="A227" t="str">
            <v>03 WAIKATO</v>
          </cell>
          <cell r="B227">
            <v>9</v>
          </cell>
          <cell r="C227">
            <v>2018</v>
          </cell>
          <cell r="D227">
            <v>17</v>
          </cell>
          <cell r="E227">
            <v>46</v>
          </cell>
          <cell r="F227">
            <v>2.1109372978000001</v>
          </cell>
          <cell r="G227">
            <v>0</v>
          </cell>
          <cell r="H227">
            <v>0.68774651519999996</v>
          </cell>
          <cell r="I227" t="str">
            <v>Other Household Travel</v>
          </cell>
          <cell r="J227" t="str">
            <v>2017/18</v>
          </cell>
        </row>
        <row r="228">
          <cell r="A228" t="str">
            <v>03 WAIKATO</v>
          </cell>
          <cell r="B228">
            <v>9</v>
          </cell>
          <cell r="C228">
            <v>2023</v>
          </cell>
          <cell r="D228">
            <v>17</v>
          </cell>
          <cell r="E228">
            <v>46</v>
          </cell>
          <cell r="F228">
            <v>2.3159901019000002</v>
          </cell>
          <cell r="G228">
            <v>0</v>
          </cell>
          <cell r="H228">
            <v>0.73058293100000005</v>
          </cell>
          <cell r="I228" t="str">
            <v>Other Household Travel</v>
          </cell>
          <cell r="J228" t="str">
            <v>2022/23</v>
          </cell>
        </row>
        <row r="229">
          <cell r="A229" t="str">
            <v>03 WAIKATO</v>
          </cell>
          <cell r="B229">
            <v>9</v>
          </cell>
          <cell r="C229">
            <v>2028</v>
          </cell>
          <cell r="D229">
            <v>17</v>
          </cell>
          <cell r="E229">
            <v>46</v>
          </cell>
          <cell r="F229">
            <v>2.4531408495</v>
          </cell>
          <cell r="G229">
            <v>0</v>
          </cell>
          <cell r="H229">
            <v>0.74325035819999996</v>
          </cell>
          <cell r="I229" t="str">
            <v>Other Household Travel</v>
          </cell>
          <cell r="J229" t="str">
            <v>2027/28</v>
          </cell>
        </row>
        <row r="230">
          <cell r="A230" t="str">
            <v>03 WAIKATO</v>
          </cell>
          <cell r="B230">
            <v>9</v>
          </cell>
          <cell r="C230">
            <v>2033</v>
          </cell>
          <cell r="D230">
            <v>17</v>
          </cell>
          <cell r="E230">
            <v>46</v>
          </cell>
          <cell r="F230">
            <v>2.5804062957</v>
          </cell>
          <cell r="G230">
            <v>0</v>
          </cell>
          <cell r="H230">
            <v>0.74423115289999997</v>
          </cell>
          <cell r="I230" t="str">
            <v>Other Household Travel</v>
          </cell>
          <cell r="J230" t="str">
            <v>2032/33</v>
          </cell>
        </row>
        <row r="231">
          <cell r="A231" t="str">
            <v>03 WAIKATO</v>
          </cell>
          <cell r="B231">
            <v>9</v>
          </cell>
          <cell r="C231">
            <v>2038</v>
          </cell>
          <cell r="D231">
            <v>17</v>
          </cell>
          <cell r="E231">
            <v>46</v>
          </cell>
          <cell r="F231">
            <v>2.6090711172000001</v>
          </cell>
          <cell r="G231">
            <v>0</v>
          </cell>
          <cell r="H231">
            <v>0.74053890310000003</v>
          </cell>
          <cell r="I231" t="str">
            <v>Other Household Travel</v>
          </cell>
          <cell r="J231" t="str">
            <v>2037/38</v>
          </cell>
        </row>
        <row r="232">
          <cell r="A232" t="str">
            <v>03 WAIKATO</v>
          </cell>
          <cell r="B232">
            <v>9</v>
          </cell>
          <cell r="C232">
            <v>2043</v>
          </cell>
          <cell r="D232">
            <v>17</v>
          </cell>
          <cell r="E232">
            <v>46</v>
          </cell>
          <cell r="F232">
            <v>2.4973065691</v>
          </cell>
          <cell r="G232">
            <v>0</v>
          </cell>
          <cell r="H232">
            <v>0.71404514519999995</v>
          </cell>
          <cell r="I232" t="str">
            <v>Other Household Travel</v>
          </cell>
          <cell r="J232" t="str">
            <v>2042/43</v>
          </cell>
        </row>
        <row r="233">
          <cell r="A233" t="str">
            <v>03 WAIKATO</v>
          </cell>
          <cell r="B233">
            <v>10</v>
          </cell>
          <cell r="C233">
            <v>2013</v>
          </cell>
          <cell r="D233">
            <v>18</v>
          </cell>
          <cell r="E233">
            <v>32</v>
          </cell>
          <cell r="F233">
            <v>0.92406733060000001</v>
          </cell>
          <cell r="G233">
            <v>54.768337629999998</v>
          </cell>
          <cell r="H233">
            <v>2.3234459650999999</v>
          </cell>
          <cell r="I233" t="str">
            <v>Air/Non-Local PT</v>
          </cell>
          <cell r="J233" t="str">
            <v>2012/13</v>
          </cell>
        </row>
        <row r="234">
          <cell r="A234" t="str">
            <v>03 WAIKATO</v>
          </cell>
          <cell r="B234">
            <v>10</v>
          </cell>
          <cell r="C234">
            <v>2018</v>
          </cell>
          <cell r="D234">
            <v>18</v>
          </cell>
          <cell r="E234">
            <v>32</v>
          </cell>
          <cell r="F234">
            <v>1.1250877552</v>
          </cell>
          <cell r="G234">
            <v>62.634060808000001</v>
          </cell>
          <cell r="H234">
            <v>2.8764451037000001</v>
          </cell>
          <cell r="I234" t="str">
            <v>Air/Non-Local PT</v>
          </cell>
          <cell r="J234" t="str">
            <v>2017/18</v>
          </cell>
        </row>
        <row r="235">
          <cell r="A235" t="str">
            <v>03 WAIKATO</v>
          </cell>
          <cell r="B235">
            <v>10</v>
          </cell>
          <cell r="C235">
            <v>2023</v>
          </cell>
          <cell r="D235">
            <v>18</v>
          </cell>
          <cell r="E235">
            <v>32</v>
          </cell>
          <cell r="F235">
            <v>1.3052989923</v>
          </cell>
          <cell r="G235">
            <v>65.980986221999999</v>
          </cell>
          <cell r="H235">
            <v>3.3461208493000001</v>
          </cell>
          <cell r="I235" t="str">
            <v>Air/Non-Local PT</v>
          </cell>
          <cell r="J235" t="str">
            <v>2022/23</v>
          </cell>
        </row>
        <row r="236">
          <cell r="A236" t="str">
            <v>03 WAIKATO</v>
          </cell>
          <cell r="B236">
            <v>10</v>
          </cell>
          <cell r="C236">
            <v>2028</v>
          </cell>
          <cell r="D236">
            <v>18</v>
          </cell>
          <cell r="E236">
            <v>32</v>
          </cell>
          <cell r="F236">
            <v>1.5363519937000001</v>
          </cell>
          <cell r="G236">
            <v>71.410014904999997</v>
          </cell>
          <cell r="H236">
            <v>3.9988873081</v>
          </cell>
          <cell r="I236" t="str">
            <v>Air/Non-Local PT</v>
          </cell>
          <cell r="J236" t="str">
            <v>2027/28</v>
          </cell>
        </row>
        <row r="237">
          <cell r="A237" t="str">
            <v>03 WAIKATO</v>
          </cell>
          <cell r="B237">
            <v>10</v>
          </cell>
          <cell r="C237">
            <v>2033</v>
          </cell>
          <cell r="D237">
            <v>18</v>
          </cell>
          <cell r="E237">
            <v>32</v>
          </cell>
          <cell r="F237">
            <v>1.7421235163</v>
          </cell>
          <cell r="G237">
            <v>78.537010249999994</v>
          </cell>
          <cell r="H237">
            <v>4.5800394821000001</v>
          </cell>
          <cell r="I237" t="str">
            <v>Air/Non-Local PT</v>
          </cell>
          <cell r="J237" t="str">
            <v>2032/33</v>
          </cell>
        </row>
        <row r="238">
          <cell r="A238" t="str">
            <v>03 WAIKATO</v>
          </cell>
          <cell r="B238">
            <v>10</v>
          </cell>
          <cell r="C238">
            <v>2038</v>
          </cell>
          <cell r="D238">
            <v>18</v>
          </cell>
          <cell r="E238">
            <v>32</v>
          </cell>
          <cell r="F238">
            <v>1.9176510794999999</v>
          </cell>
          <cell r="G238">
            <v>88.194570710999997</v>
          </cell>
          <cell r="H238">
            <v>4.9360183427999997</v>
          </cell>
          <cell r="I238" t="str">
            <v>Air/Non-Local PT</v>
          </cell>
          <cell r="J238" t="str">
            <v>2037/38</v>
          </cell>
        </row>
        <row r="239">
          <cell r="A239" t="str">
            <v>03 WAIKATO</v>
          </cell>
          <cell r="B239">
            <v>10</v>
          </cell>
          <cell r="C239">
            <v>2043</v>
          </cell>
          <cell r="D239">
            <v>18</v>
          </cell>
          <cell r="E239">
            <v>32</v>
          </cell>
          <cell r="F239">
            <v>2.0943938629000001</v>
          </cell>
          <cell r="G239">
            <v>99.371082638000004</v>
          </cell>
          <cell r="H239">
            <v>5.2768829593</v>
          </cell>
          <cell r="I239" t="str">
            <v>Air/Non-Local PT</v>
          </cell>
          <cell r="J239" t="str">
            <v>2042/43</v>
          </cell>
        </row>
        <row r="240">
          <cell r="A240" t="str">
            <v>03 WAIKATO</v>
          </cell>
          <cell r="B240">
            <v>11</v>
          </cell>
          <cell r="C240">
            <v>2013</v>
          </cell>
          <cell r="D240">
            <v>52</v>
          </cell>
          <cell r="E240">
            <v>244</v>
          </cell>
          <cell r="F240">
            <v>8.7527428694000005</v>
          </cell>
          <cell r="G240">
            <v>166.86894676</v>
          </cell>
          <cell r="H240">
            <v>3.3327759721999999</v>
          </cell>
          <cell r="I240" t="str">
            <v>Non-Household Travel</v>
          </cell>
          <cell r="J240" t="str">
            <v>2012/13</v>
          </cell>
        </row>
        <row r="241">
          <cell r="A241" t="str">
            <v>03 WAIKATO</v>
          </cell>
          <cell r="B241">
            <v>11</v>
          </cell>
          <cell r="C241">
            <v>2018</v>
          </cell>
          <cell r="D241">
            <v>52</v>
          </cell>
          <cell r="E241">
            <v>244</v>
          </cell>
          <cell r="F241">
            <v>9.8107755917000006</v>
          </cell>
          <cell r="G241">
            <v>185.38545687999999</v>
          </cell>
          <cell r="H241">
            <v>3.7214320117000002</v>
          </cell>
          <cell r="I241" t="str">
            <v>Non-Household Travel</v>
          </cell>
          <cell r="J241" t="str">
            <v>2017/18</v>
          </cell>
        </row>
        <row r="242">
          <cell r="A242" t="str">
            <v>03 WAIKATO</v>
          </cell>
          <cell r="B242">
            <v>11</v>
          </cell>
          <cell r="C242">
            <v>2023</v>
          </cell>
          <cell r="D242">
            <v>52</v>
          </cell>
          <cell r="E242">
            <v>244</v>
          </cell>
          <cell r="F242">
            <v>10.129382171</v>
          </cell>
          <cell r="G242">
            <v>192.38651579</v>
          </cell>
          <cell r="H242">
            <v>3.8492908156999999</v>
          </cell>
          <cell r="I242" t="str">
            <v>Non-Household Travel</v>
          </cell>
          <cell r="J242" t="str">
            <v>2022/23</v>
          </cell>
        </row>
        <row r="243">
          <cell r="A243" t="str">
            <v>03 WAIKATO</v>
          </cell>
          <cell r="B243">
            <v>11</v>
          </cell>
          <cell r="C243">
            <v>2028</v>
          </cell>
          <cell r="D243">
            <v>52</v>
          </cell>
          <cell r="E243">
            <v>244</v>
          </cell>
          <cell r="F243">
            <v>10.787904995</v>
          </cell>
          <cell r="G243">
            <v>208.15851117</v>
          </cell>
          <cell r="H243">
            <v>4.1454031931999999</v>
          </cell>
          <cell r="I243" t="str">
            <v>Non-Household Travel</v>
          </cell>
          <cell r="J243" t="str">
            <v>2027/28</v>
          </cell>
        </row>
        <row r="244">
          <cell r="A244" t="str">
            <v>03 WAIKATO</v>
          </cell>
          <cell r="B244">
            <v>11</v>
          </cell>
          <cell r="C244">
            <v>2033</v>
          </cell>
          <cell r="D244">
            <v>52</v>
          </cell>
          <cell r="E244">
            <v>244</v>
          </cell>
          <cell r="F244">
            <v>11.412044238</v>
          </cell>
          <cell r="G244">
            <v>224.80162383999999</v>
          </cell>
          <cell r="H244">
            <v>4.4501819550999997</v>
          </cell>
          <cell r="I244" t="str">
            <v>Non-Household Travel</v>
          </cell>
          <cell r="J244" t="str">
            <v>2032/33</v>
          </cell>
        </row>
        <row r="245">
          <cell r="A245" t="str">
            <v>03 WAIKATO</v>
          </cell>
          <cell r="B245">
            <v>11</v>
          </cell>
          <cell r="C245">
            <v>2038</v>
          </cell>
          <cell r="D245">
            <v>52</v>
          </cell>
          <cell r="E245">
            <v>244</v>
          </cell>
          <cell r="F245">
            <v>12.170055550000001</v>
          </cell>
          <cell r="G245">
            <v>242.94849549</v>
          </cell>
          <cell r="H245">
            <v>4.7950214493000001</v>
          </cell>
          <cell r="I245" t="str">
            <v>Non-Household Travel</v>
          </cell>
          <cell r="J245" t="str">
            <v>2037/38</v>
          </cell>
        </row>
        <row r="246">
          <cell r="A246" t="str">
            <v>03 WAIKATO</v>
          </cell>
          <cell r="B246">
            <v>11</v>
          </cell>
          <cell r="C246">
            <v>2043</v>
          </cell>
          <cell r="D246">
            <v>52</v>
          </cell>
          <cell r="E246">
            <v>244</v>
          </cell>
          <cell r="F246">
            <v>12.890645868</v>
          </cell>
          <cell r="G246">
            <v>260.24550664999998</v>
          </cell>
          <cell r="H246">
            <v>5.1216806647000004</v>
          </cell>
          <cell r="I246" t="str">
            <v>Non-Household Travel</v>
          </cell>
          <cell r="J246" t="str">
            <v>2042/43</v>
          </cell>
        </row>
        <row r="247">
          <cell r="A247" t="str">
            <v>04 BAY OF PLENTY</v>
          </cell>
          <cell r="B247">
            <v>0</v>
          </cell>
          <cell r="C247">
            <v>2013</v>
          </cell>
          <cell r="D247">
            <v>436</v>
          </cell>
          <cell r="E247">
            <v>1419</v>
          </cell>
          <cell r="F247">
            <v>43.402809341999998</v>
          </cell>
          <cell r="G247">
            <v>35.579183637</v>
          </cell>
          <cell r="H247">
            <v>9.1706746114000008</v>
          </cell>
          <cell r="I247" t="str">
            <v>Pedestrian</v>
          </cell>
          <cell r="J247" t="str">
            <v>2012/13</v>
          </cell>
        </row>
        <row r="248">
          <cell r="A248" t="str">
            <v>04 BAY OF PLENTY</v>
          </cell>
          <cell r="B248">
            <v>0</v>
          </cell>
          <cell r="C248">
            <v>2018</v>
          </cell>
          <cell r="D248">
            <v>436</v>
          </cell>
          <cell r="E248">
            <v>1419</v>
          </cell>
          <cell r="F248">
            <v>45.934142506999997</v>
          </cell>
          <cell r="G248">
            <v>36.550679711999997</v>
          </cell>
          <cell r="H248">
            <v>9.6234601037999994</v>
          </cell>
          <cell r="I248" t="str">
            <v>Pedestrian</v>
          </cell>
          <cell r="J248" t="str">
            <v>2017/18</v>
          </cell>
        </row>
        <row r="249">
          <cell r="A249" t="str">
            <v>04 BAY OF PLENTY</v>
          </cell>
          <cell r="B249">
            <v>0</v>
          </cell>
          <cell r="C249">
            <v>2023</v>
          </cell>
          <cell r="D249">
            <v>436</v>
          </cell>
          <cell r="E249">
            <v>1419</v>
          </cell>
          <cell r="F249">
            <v>49.685100239</v>
          </cell>
          <cell r="G249">
            <v>38.541227867000003</v>
          </cell>
          <cell r="H249">
            <v>10.301146993</v>
          </cell>
          <cell r="I249" t="str">
            <v>Pedestrian</v>
          </cell>
          <cell r="J249" t="str">
            <v>2022/23</v>
          </cell>
        </row>
        <row r="250">
          <cell r="A250" t="str">
            <v>04 BAY OF PLENTY</v>
          </cell>
          <cell r="B250">
            <v>0</v>
          </cell>
          <cell r="C250">
            <v>2028</v>
          </cell>
          <cell r="D250">
            <v>436</v>
          </cell>
          <cell r="E250">
            <v>1419</v>
          </cell>
          <cell r="F250">
            <v>53.768865067</v>
          </cell>
          <cell r="G250">
            <v>40.175542599000003</v>
          </cell>
          <cell r="H250">
            <v>10.910594609</v>
          </cell>
          <cell r="I250" t="str">
            <v>Pedestrian</v>
          </cell>
          <cell r="J250" t="str">
            <v>2027/28</v>
          </cell>
        </row>
        <row r="251">
          <cell r="A251" t="str">
            <v>04 BAY OF PLENTY</v>
          </cell>
          <cell r="B251">
            <v>0</v>
          </cell>
          <cell r="C251">
            <v>2033</v>
          </cell>
          <cell r="D251">
            <v>436</v>
          </cell>
          <cell r="E251">
            <v>1419</v>
          </cell>
          <cell r="F251">
            <v>57.597267168000002</v>
          </cell>
          <cell r="G251">
            <v>41.465039760000003</v>
          </cell>
          <cell r="H251">
            <v>11.403210272000001</v>
          </cell>
          <cell r="I251" t="str">
            <v>Pedestrian</v>
          </cell>
          <cell r="J251" t="str">
            <v>2032/33</v>
          </cell>
        </row>
        <row r="252">
          <cell r="A252" t="str">
            <v>04 BAY OF PLENTY</v>
          </cell>
          <cell r="B252">
            <v>0</v>
          </cell>
          <cell r="C252">
            <v>2038</v>
          </cell>
          <cell r="D252">
            <v>436</v>
          </cell>
          <cell r="E252">
            <v>1419</v>
          </cell>
          <cell r="F252">
            <v>61.473643576000001</v>
          </cell>
          <cell r="G252">
            <v>43.002514327999997</v>
          </cell>
          <cell r="H252">
            <v>11.890909710000001</v>
          </cell>
          <cell r="I252" t="str">
            <v>Pedestrian</v>
          </cell>
          <cell r="J252" t="str">
            <v>2037/38</v>
          </cell>
        </row>
        <row r="253">
          <cell r="A253" t="str">
            <v>04 BAY OF PLENTY</v>
          </cell>
          <cell r="B253">
            <v>0</v>
          </cell>
          <cell r="C253">
            <v>2043</v>
          </cell>
          <cell r="D253">
            <v>436</v>
          </cell>
          <cell r="E253">
            <v>1419</v>
          </cell>
          <cell r="F253">
            <v>65.171720121000007</v>
          </cell>
          <cell r="G253">
            <v>44.398519757000003</v>
          </cell>
          <cell r="H253">
            <v>12.317281894000001</v>
          </cell>
          <cell r="I253" t="str">
            <v>Pedestrian</v>
          </cell>
          <cell r="J253" t="str">
            <v>2042/43</v>
          </cell>
        </row>
        <row r="254">
          <cell r="A254" t="str">
            <v>04 BAY OF PLENTY</v>
          </cell>
          <cell r="B254">
            <v>1</v>
          </cell>
          <cell r="C254">
            <v>2013</v>
          </cell>
          <cell r="D254">
            <v>53</v>
          </cell>
          <cell r="E254">
            <v>183</v>
          </cell>
          <cell r="F254">
            <v>5.1579391552000002</v>
          </cell>
          <cell r="G254">
            <v>8.5028812633000008</v>
          </cell>
          <cell r="H254">
            <v>0.91801276549999999</v>
          </cell>
          <cell r="I254" t="str">
            <v>Cyclist</v>
          </cell>
          <cell r="J254" t="str">
            <v>2012/13</v>
          </cell>
        </row>
        <row r="255">
          <cell r="A255" t="str">
            <v>04 BAY OF PLENTY</v>
          </cell>
          <cell r="B255">
            <v>1</v>
          </cell>
          <cell r="C255">
            <v>2018</v>
          </cell>
          <cell r="D255">
            <v>53</v>
          </cell>
          <cell r="E255">
            <v>183</v>
          </cell>
          <cell r="F255">
            <v>5.2308373600999998</v>
          </cell>
          <cell r="G255">
            <v>8.6485852841999993</v>
          </cell>
          <cell r="H255">
            <v>0.91928520739999997</v>
          </cell>
          <cell r="I255" t="str">
            <v>Cyclist</v>
          </cell>
          <cell r="J255" t="str">
            <v>2017/18</v>
          </cell>
        </row>
        <row r="256">
          <cell r="A256" t="str">
            <v>04 BAY OF PLENTY</v>
          </cell>
          <cell r="B256">
            <v>1</v>
          </cell>
          <cell r="C256">
            <v>2023</v>
          </cell>
          <cell r="D256">
            <v>53</v>
          </cell>
          <cell r="E256">
            <v>183</v>
          </cell>
          <cell r="F256">
            <v>5.6097752838000003</v>
          </cell>
          <cell r="G256">
            <v>9.2925703774000006</v>
          </cell>
          <cell r="H256">
            <v>0.9693672431</v>
          </cell>
          <cell r="I256" t="str">
            <v>Cyclist</v>
          </cell>
          <cell r="J256" t="str">
            <v>2022/23</v>
          </cell>
        </row>
        <row r="257">
          <cell r="A257" t="str">
            <v>04 BAY OF PLENTY</v>
          </cell>
          <cell r="B257">
            <v>1</v>
          </cell>
          <cell r="C257">
            <v>2028</v>
          </cell>
          <cell r="D257">
            <v>53</v>
          </cell>
          <cell r="E257">
            <v>183</v>
          </cell>
          <cell r="F257">
            <v>6.1446513771999998</v>
          </cell>
          <cell r="G257">
            <v>10.117998124</v>
          </cell>
          <cell r="H257">
            <v>1.0415897864999999</v>
          </cell>
          <cell r="I257" t="str">
            <v>Cyclist</v>
          </cell>
          <cell r="J257" t="str">
            <v>2027/28</v>
          </cell>
        </row>
        <row r="258">
          <cell r="A258" t="str">
            <v>04 BAY OF PLENTY</v>
          </cell>
          <cell r="B258">
            <v>1</v>
          </cell>
          <cell r="C258">
            <v>2033</v>
          </cell>
          <cell r="D258">
            <v>53</v>
          </cell>
          <cell r="E258">
            <v>183</v>
          </cell>
          <cell r="F258">
            <v>6.6560279222999998</v>
          </cell>
          <cell r="G258">
            <v>10.840179726000001</v>
          </cell>
          <cell r="H258">
            <v>1.1066925942000001</v>
          </cell>
          <cell r="I258" t="str">
            <v>Cyclist</v>
          </cell>
          <cell r="J258" t="str">
            <v>2032/33</v>
          </cell>
        </row>
        <row r="259">
          <cell r="A259" t="str">
            <v>04 BAY OF PLENTY</v>
          </cell>
          <cell r="B259">
            <v>1</v>
          </cell>
          <cell r="C259">
            <v>2038</v>
          </cell>
          <cell r="D259">
            <v>53</v>
          </cell>
          <cell r="E259">
            <v>183</v>
          </cell>
          <cell r="F259">
            <v>7.1434943006999996</v>
          </cell>
          <cell r="G259">
            <v>11.768116671</v>
          </cell>
          <cell r="H259">
            <v>1.1789529375000001</v>
          </cell>
          <cell r="I259" t="str">
            <v>Cyclist</v>
          </cell>
          <cell r="J259" t="str">
            <v>2037/38</v>
          </cell>
        </row>
        <row r="260">
          <cell r="A260" t="str">
            <v>04 BAY OF PLENTY</v>
          </cell>
          <cell r="B260">
            <v>1</v>
          </cell>
          <cell r="C260">
            <v>2043</v>
          </cell>
          <cell r="D260">
            <v>53</v>
          </cell>
          <cell r="E260">
            <v>183</v>
          </cell>
          <cell r="F260">
            <v>7.6365353724</v>
          </cell>
          <cell r="G260">
            <v>12.739463131999999</v>
          </cell>
          <cell r="H260">
            <v>1.2542477613</v>
          </cell>
          <cell r="I260" t="str">
            <v>Cyclist</v>
          </cell>
          <cell r="J260" t="str">
            <v>2042/43</v>
          </cell>
        </row>
        <row r="261">
          <cell r="A261" t="str">
            <v>04 BAY OF PLENTY</v>
          </cell>
          <cell r="B261">
            <v>2</v>
          </cell>
          <cell r="C261">
            <v>2013</v>
          </cell>
          <cell r="D261">
            <v>777</v>
          </cell>
          <cell r="E261">
            <v>5260</v>
          </cell>
          <cell r="F261">
            <v>178.59124365</v>
          </cell>
          <cell r="G261">
            <v>1972.0747595</v>
          </cell>
          <cell r="H261">
            <v>45.59682093</v>
          </cell>
          <cell r="I261" t="str">
            <v>Light Vehicle Driver</v>
          </cell>
          <cell r="J261" t="str">
            <v>2012/13</v>
          </cell>
        </row>
        <row r="262">
          <cell r="A262" t="str">
            <v>04 BAY OF PLENTY</v>
          </cell>
          <cell r="B262">
            <v>2</v>
          </cell>
          <cell r="C262">
            <v>2018</v>
          </cell>
          <cell r="D262">
            <v>777</v>
          </cell>
          <cell r="E262">
            <v>5260</v>
          </cell>
          <cell r="F262">
            <v>194.34567933</v>
          </cell>
          <cell r="G262">
            <v>2199.1335918999998</v>
          </cell>
          <cell r="H262">
            <v>50.319263319000001</v>
          </cell>
          <cell r="I262" t="str">
            <v>Light Vehicle Driver</v>
          </cell>
          <cell r="J262" t="str">
            <v>2017/18</v>
          </cell>
        </row>
        <row r="263">
          <cell r="A263" t="str">
            <v>04 BAY OF PLENTY</v>
          </cell>
          <cell r="B263">
            <v>2</v>
          </cell>
          <cell r="C263">
            <v>2023</v>
          </cell>
          <cell r="D263">
            <v>777</v>
          </cell>
          <cell r="E263">
            <v>5260</v>
          </cell>
          <cell r="F263">
            <v>212.64479111</v>
          </cell>
          <cell r="G263">
            <v>2448.4970898000001</v>
          </cell>
          <cell r="H263">
            <v>55.569370247000002</v>
          </cell>
          <cell r="I263" t="str">
            <v>Light Vehicle Driver</v>
          </cell>
          <cell r="J263" t="str">
            <v>2022/23</v>
          </cell>
        </row>
        <row r="264">
          <cell r="A264" t="str">
            <v>04 BAY OF PLENTY</v>
          </cell>
          <cell r="B264">
            <v>2</v>
          </cell>
          <cell r="C264">
            <v>2028</v>
          </cell>
          <cell r="D264">
            <v>777</v>
          </cell>
          <cell r="E264">
            <v>5260</v>
          </cell>
          <cell r="F264">
            <v>236.22519788</v>
          </cell>
          <cell r="G264">
            <v>2772.5101733000001</v>
          </cell>
          <cell r="H264">
            <v>62.473695186999997</v>
          </cell>
          <cell r="I264" t="str">
            <v>Light Vehicle Driver</v>
          </cell>
          <cell r="J264" t="str">
            <v>2027/28</v>
          </cell>
        </row>
        <row r="265">
          <cell r="A265" t="str">
            <v>04 BAY OF PLENTY</v>
          </cell>
          <cell r="B265">
            <v>2</v>
          </cell>
          <cell r="C265">
            <v>2033</v>
          </cell>
          <cell r="D265">
            <v>777</v>
          </cell>
          <cell r="E265">
            <v>5260</v>
          </cell>
          <cell r="F265">
            <v>256.51564825999998</v>
          </cell>
          <cell r="G265">
            <v>3049.6628753</v>
          </cell>
          <cell r="H265">
            <v>68.414198896000002</v>
          </cell>
          <cell r="I265" t="str">
            <v>Light Vehicle Driver</v>
          </cell>
          <cell r="J265" t="str">
            <v>2032/33</v>
          </cell>
        </row>
        <row r="266">
          <cell r="A266" t="str">
            <v>04 BAY OF PLENTY</v>
          </cell>
          <cell r="B266">
            <v>2</v>
          </cell>
          <cell r="C266">
            <v>2038</v>
          </cell>
          <cell r="D266">
            <v>777</v>
          </cell>
          <cell r="E266">
            <v>5260</v>
          </cell>
          <cell r="F266">
            <v>272.66662051999998</v>
          </cell>
          <cell r="G266">
            <v>3264.6283297999998</v>
          </cell>
          <cell r="H266">
            <v>73.175855677000001</v>
          </cell>
          <cell r="I266" t="str">
            <v>Light Vehicle Driver</v>
          </cell>
          <cell r="J266" t="str">
            <v>2037/38</v>
          </cell>
        </row>
        <row r="267">
          <cell r="A267" t="str">
            <v>04 BAY OF PLENTY</v>
          </cell>
          <cell r="B267">
            <v>2</v>
          </cell>
          <cell r="C267">
            <v>2043</v>
          </cell>
          <cell r="D267">
            <v>777</v>
          </cell>
          <cell r="E267">
            <v>5260</v>
          </cell>
          <cell r="F267">
            <v>287.47025480000002</v>
          </cell>
          <cell r="G267">
            <v>3459.3979097000001</v>
          </cell>
          <cell r="H267">
            <v>77.565173388000005</v>
          </cell>
          <cell r="I267" t="str">
            <v>Light Vehicle Driver</v>
          </cell>
          <cell r="J267" t="str">
            <v>2042/43</v>
          </cell>
        </row>
        <row r="268">
          <cell r="A268" t="str">
            <v>04 BAY OF PLENTY</v>
          </cell>
          <cell r="B268">
            <v>3</v>
          </cell>
          <cell r="C268">
            <v>2013</v>
          </cell>
          <cell r="D268">
            <v>591</v>
          </cell>
          <cell r="E268">
            <v>2668</v>
          </cell>
          <cell r="F268">
            <v>98.719582360000004</v>
          </cell>
          <cell r="G268">
            <v>1385.2330090999999</v>
          </cell>
          <cell r="H268">
            <v>28.895615969000001</v>
          </cell>
          <cell r="I268" t="str">
            <v>Light Vehicle Passenger</v>
          </cell>
          <cell r="J268" t="str">
            <v>2012/13</v>
          </cell>
        </row>
        <row r="269">
          <cell r="A269" t="str">
            <v>04 BAY OF PLENTY</v>
          </cell>
          <cell r="B269">
            <v>3</v>
          </cell>
          <cell r="C269">
            <v>2018</v>
          </cell>
          <cell r="D269">
            <v>591</v>
          </cell>
          <cell r="E269">
            <v>2668</v>
          </cell>
          <cell r="F269">
            <v>102.84895456</v>
          </cell>
          <cell r="G269">
            <v>1548.2250696999999</v>
          </cell>
          <cell r="H269">
            <v>31.525414812000001</v>
          </cell>
          <cell r="I269" t="str">
            <v>Light Vehicle Passenger</v>
          </cell>
          <cell r="J269" t="str">
            <v>2017/18</v>
          </cell>
        </row>
        <row r="270">
          <cell r="A270" t="str">
            <v>04 BAY OF PLENTY</v>
          </cell>
          <cell r="B270">
            <v>3</v>
          </cell>
          <cell r="C270">
            <v>2023</v>
          </cell>
          <cell r="D270">
            <v>591</v>
          </cell>
          <cell r="E270">
            <v>2668</v>
          </cell>
          <cell r="F270">
            <v>111.25140664</v>
          </cell>
          <cell r="G270">
            <v>1739.2012608</v>
          </cell>
          <cell r="H270">
            <v>34.934292024999998</v>
          </cell>
          <cell r="I270" t="str">
            <v>Light Vehicle Passenger</v>
          </cell>
          <cell r="J270" t="str">
            <v>2022/23</v>
          </cell>
        </row>
        <row r="271">
          <cell r="A271" t="str">
            <v>04 BAY OF PLENTY</v>
          </cell>
          <cell r="B271">
            <v>3</v>
          </cell>
          <cell r="C271">
            <v>2028</v>
          </cell>
          <cell r="D271">
            <v>591</v>
          </cell>
          <cell r="E271">
            <v>2668</v>
          </cell>
          <cell r="F271">
            <v>119.98846928</v>
          </cell>
          <cell r="G271">
            <v>1942.4205881</v>
          </cell>
          <cell r="H271">
            <v>38.549634044999998</v>
          </cell>
          <cell r="I271" t="str">
            <v>Light Vehicle Passenger</v>
          </cell>
          <cell r="J271" t="str">
            <v>2027/28</v>
          </cell>
        </row>
        <row r="272">
          <cell r="A272" t="str">
            <v>04 BAY OF PLENTY</v>
          </cell>
          <cell r="B272">
            <v>3</v>
          </cell>
          <cell r="C272">
            <v>2033</v>
          </cell>
          <cell r="D272">
            <v>591</v>
          </cell>
          <cell r="E272">
            <v>2668</v>
          </cell>
          <cell r="F272">
            <v>128.27306325999999</v>
          </cell>
          <cell r="G272">
            <v>2116.3626675</v>
          </cell>
          <cell r="H272">
            <v>41.672092231000001</v>
          </cell>
          <cell r="I272" t="str">
            <v>Light Vehicle Passenger</v>
          </cell>
          <cell r="J272" t="str">
            <v>2032/33</v>
          </cell>
        </row>
        <row r="273">
          <cell r="A273" t="str">
            <v>04 BAY OF PLENTY</v>
          </cell>
          <cell r="B273">
            <v>3</v>
          </cell>
          <cell r="C273">
            <v>2038</v>
          </cell>
          <cell r="D273">
            <v>591</v>
          </cell>
          <cell r="E273">
            <v>2668</v>
          </cell>
          <cell r="F273">
            <v>136.21036971999999</v>
          </cell>
          <cell r="G273">
            <v>2281.1483194000002</v>
          </cell>
          <cell r="H273">
            <v>44.637418965999998</v>
          </cell>
          <cell r="I273" t="str">
            <v>Light Vehicle Passenger</v>
          </cell>
          <cell r="J273" t="str">
            <v>2037/38</v>
          </cell>
        </row>
        <row r="274">
          <cell r="A274" t="str">
            <v>04 BAY OF PLENTY</v>
          </cell>
          <cell r="B274">
            <v>3</v>
          </cell>
          <cell r="C274">
            <v>2043</v>
          </cell>
          <cell r="D274">
            <v>591</v>
          </cell>
          <cell r="E274">
            <v>2668</v>
          </cell>
          <cell r="F274">
            <v>144.09257395</v>
          </cell>
          <cell r="G274">
            <v>2438.6724073999999</v>
          </cell>
          <cell r="H274">
            <v>47.497617793000003</v>
          </cell>
          <cell r="I274" t="str">
            <v>Light Vehicle Passenger</v>
          </cell>
          <cell r="J274" t="str">
            <v>2042/43</v>
          </cell>
        </row>
        <row r="275">
          <cell r="A275" t="str">
            <v>04 BAY OF PLENTY</v>
          </cell>
          <cell r="B275">
            <v>4</v>
          </cell>
          <cell r="C275">
            <v>2013</v>
          </cell>
          <cell r="D275">
            <v>4</v>
          </cell>
          <cell r="E275">
            <v>8</v>
          </cell>
          <cell r="F275">
            <v>0.15552198610000001</v>
          </cell>
          <cell r="G275">
            <v>0.98369936449999995</v>
          </cell>
          <cell r="H275">
            <v>7.3048454499999999E-2</v>
          </cell>
          <cell r="J275" t="str">
            <v>2012/13</v>
          </cell>
        </row>
        <row r="276">
          <cell r="A276" t="str">
            <v>04 BAY OF PLENTY</v>
          </cell>
          <cell r="B276">
            <v>4</v>
          </cell>
          <cell r="C276">
            <v>2018</v>
          </cell>
          <cell r="D276">
            <v>4</v>
          </cell>
          <cell r="E276">
            <v>8</v>
          </cell>
          <cell r="F276">
            <v>0.1428360062</v>
          </cell>
          <cell r="G276">
            <v>0.91316791100000005</v>
          </cell>
          <cell r="H276">
            <v>6.7913321600000007E-2</v>
          </cell>
          <cell r="J276" t="str">
            <v>2017/18</v>
          </cell>
        </row>
        <row r="277">
          <cell r="A277" t="str">
            <v>04 BAY OF PLENTY</v>
          </cell>
          <cell r="B277">
            <v>4</v>
          </cell>
          <cell r="C277">
            <v>2023</v>
          </cell>
          <cell r="D277">
            <v>4</v>
          </cell>
          <cell r="E277">
            <v>8</v>
          </cell>
          <cell r="F277">
            <v>0.13872412210000001</v>
          </cell>
          <cell r="G277">
            <v>0.93489858449999996</v>
          </cell>
          <cell r="H277">
            <v>6.9449696800000002E-2</v>
          </cell>
          <cell r="J277" t="str">
            <v>2022/23</v>
          </cell>
        </row>
        <row r="278">
          <cell r="A278" t="str">
            <v>04 BAY OF PLENTY</v>
          </cell>
          <cell r="B278">
            <v>4</v>
          </cell>
          <cell r="C278">
            <v>2028</v>
          </cell>
          <cell r="D278">
            <v>4</v>
          </cell>
          <cell r="E278">
            <v>8</v>
          </cell>
          <cell r="F278">
            <v>0.13531017840000001</v>
          </cell>
          <cell r="G278">
            <v>0.98196069480000003</v>
          </cell>
          <cell r="H278">
            <v>7.27043577E-2</v>
          </cell>
          <cell r="J278" t="str">
            <v>2027/28</v>
          </cell>
        </row>
        <row r="279">
          <cell r="A279" t="str">
            <v>04 BAY OF PLENTY</v>
          </cell>
          <cell r="B279">
            <v>4</v>
          </cell>
          <cell r="C279">
            <v>2033</v>
          </cell>
          <cell r="D279">
            <v>4</v>
          </cell>
          <cell r="E279">
            <v>8</v>
          </cell>
          <cell r="F279">
            <v>0.13361230190000001</v>
          </cell>
          <cell r="G279">
            <v>1.0018092452</v>
          </cell>
          <cell r="H279">
            <v>7.4013146200000005E-2</v>
          </cell>
          <cell r="J279" t="str">
            <v>2032/33</v>
          </cell>
        </row>
        <row r="280">
          <cell r="A280" t="str">
            <v>04 BAY OF PLENTY</v>
          </cell>
          <cell r="B280">
            <v>4</v>
          </cell>
          <cell r="C280">
            <v>2038</v>
          </cell>
          <cell r="D280">
            <v>4</v>
          </cell>
          <cell r="E280">
            <v>8</v>
          </cell>
          <cell r="F280">
            <v>0.1334085542</v>
          </cell>
          <cell r="G280">
            <v>1.0270649344</v>
          </cell>
          <cell r="H280">
            <v>7.6363938699999995E-2</v>
          </cell>
          <cell r="J280" t="str">
            <v>2037/38</v>
          </cell>
        </row>
        <row r="281">
          <cell r="A281" t="str">
            <v>04 BAY OF PLENTY</v>
          </cell>
          <cell r="B281">
            <v>4</v>
          </cell>
          <cell r="C281">
            <v>2043</v>
          </cell>
          <cell r="D281">
            <v>4</v>
          </cell>
          <cell r="E281">
            <v>8</v>
          </cell>
          <cell r="F281">
            <v>0.13205134099999999</v>
          </cell>
          <cell r="G281">
            <v>1.0446343888</v>
          </cell>
          <cell r="H281">
            <v>7.8171195200000002E-2</v>
          </cell>
          <cell r="J281" t="str">
            <v>2042/43</v>
          </cell>
        </row>
        <row r="282">
          <cell r="A282" t="str">
            <v>04 BAY OF PLENTY</v>
          </cell>
          <cell r="B282">
            <v>5</v>
          </cell>
          <cell r="C282">
            <v>2013</v>
          </cell>
          <cell r="D282">
            <v>10</v>
          </cell>
          <cell r="E282">
            <v>40</v>
          </cell>
          <cell r="F282">
            <v>0.90641599910000004</v>
          </cell>
          <cell r="G282">
            <v>35.608960758999999</v>
          </cell>
          <cell r="H282">
            <v>0.60409197079999999</v>
          </cell>
          <cell r="I282" t="str">
            <v>Motorcyclist</v>
          </cell>
          <cell r="J282" t="str">
            <v>2012/13</v>
          </cell>
        </row>
        <row r="283">
          <cell r="A283" t="str">
            <v>04 BAY OF PLENTY</v>
          </cell>
          <cell r="B283">
            <v>5</v>
          </cell>
          <cell r="C283">
            <v>2018</v>
          </cell>
          <cell r="D283">
            <v>10</v>
          </cell>
          <cell r="E283">
            <v>40</v>
          </cell>
          <cell r="F283">
            <v>1.0300694527000001</v>
          </cell>
          <cell r="G283">
            <v>41.347645206000003</v>
          </cell>
          <cell r="H283">
            <v>0.69757636909999998</v>
          </cell>
          <cell r="I283" t="str">
            <v>Motorcyclist</v>
          </cell>
          <cell r="J283" t="str">
            <v>2017/18</v>
          </cell>
        </row>
        <row r="284">
          <cell r="A284" t="str">
            <v>04 BAY OF PLENTY</v>
          </cell>
          <cell r="B284">
            <v>5</v>
          </cell>
          <cell r="C284">
            <v>2023</v>
          </cell>
          <cell r="D284">
            <v>10</v>
          </cell>
          <cell r="E284">
            <v>40</v>
          </cell>
          <cell r="F284">
            <v>1.1004107425</v>
          </cell>
          <cell r="G284">
            <v>43.713429290999997</v>
          </cell>
          <cell r="H284">
            <v>0.73841885100000004</v>
          </cell>
          <cell r="I284" t="str">
            <v>Motorcyclist</v>
          </cell>
          <cell r="J284" t="str">
            <v>2022/23</v>
          </cell>
        </row>
        <row r="285">
          <cell r="A285" t="str">
            <v>04 BAY OF PLENTY</v>
          </cell>
          <cell r="B285">
            <v>5</v>
          </cell>
          <cell r="C285">
            <v>2028</v>
          </cell>
          <cell r="D285">
            <v>10</v>
          </cell>
          <cell r="E285">
            <v>40</v>
          </cell>
          <cell r="F285">
            <v>1.2286701550000001</v>
          </cell>
          <cell r="G285">
            <v>48.926216367000002</v>
          </cell>
          <cell r="H285">
            <v>0.823124313</v>
          </cell>
          <cell r="I285" t="str">
            <v>Motorcyclist</v>
          </cell>
          <cell r="J285" t="str">
            <v>2027/28</v>
          </cell>
        </row>
        <row r="286">
          <cell r="A286" t="str">
            <v>04 BAY OF PLENTY</v>
          </cell>
          <cell r="B286">
            <v>5</v>
          </cell>
          <cell r="C286">
            <v>2033</v>
          </cell>
          <cell r="D286">
            <v>10</v>
          </cell>
          <cell r="E286">
            <v>40</v>
          </cell>
          <cell r="F286">
            <v>1.3167143603</v>
          </cell>
          <cell r="G286">
            <v>52.552415062000001</v>
          </cell>
          <cell r="H286">
            <v>0.88336067169999999</v>
          </cell>
          <cell r="I286" t="str">
            <v>Motorcyclist</v>
          </cell>
          <cell r="J286" t="str">
            <v>2032/33</v>
          </cell>
        </row>
        <row r="287">
          <cell r="A287" t="str">
            <v>04 BAY OF PLENTY</v>
          </cell>
          <cell r="B287">
            <v>5</v>
          </cell>
          <cell r="C287">
            <v>2038</v>
          </cell>
          <cell r="D287">
            <v>10</v>
          </cell>
          <cell r="E287">
            <v>40</v>
          </cell>
          <cell r="F287">
            <v>1.3781432322</v>
          </cell>
          <cell r="G287">
            <v>55.181821820000003</v>
          </cell>
          <cell r="H287">
            <v>0.92835045329999999</v>
          </cell>
          <cell r="I287" t="str">
            <v>Motorcyclist</v>
          </cell>
          <cell r="J287" t="str">
            <v>2037/38</v>
          </cell>
        </row>
        <row r="288">
          <cell r="A288" t="str">
            <v>04 BAY OF PLENTY</v>
          </cell>
          <cell r="B288">
            <v>5</v>
          </cell>
          <cell r="C288">
            <v>2043</v>
          </cell>
          <cell r="D288">
            <v>10</v>
          </cell>
          <cell r="E288">
            <v>40</v>
          </cell>
          <cell r="F288">
            <v>1.4246634074</v>
          </cell>
          <cell r="G288">
            <v>57.091918905999997</v>
          </cell>
          <cell r="H288">
            <v>0.96178948789999996</v>
          </cell>
          <cell r="I288" t="str">
            <v>Motorcyclist</v>
          </cell>
          <cell r="J288" t="str">
            <v>2042/43</v>
          </cell>
        </row>
        <row r="289">
          <cell r="A289" t="str">
            <v>04 BAY OF PLENTY</v>
          </cell>
          <cell r="B289">
            <v>7</v>
          </cell>
          <cell r="C289">
            <v>2013</v>
          </cell>
          <cell r="D289">
            <v>73</v>
          </cell>
          <cell r="E289">
            <v>194</v>
          </cell>
          <cell r="F289">
            <v>7.4672006229000001</v>
          </cell>
          <cell r="G289">
            <v>52.669440211999998</v>
          </cell>
          <cell r="H289">
            <v>2.9412276716000001</v>
          </cell>
          <cell r="I289" t="str">
            <v>Local Bus</v>
          </cell>
          <cell r="J289" t="str">
            <v>2012/13</v>
          </cell>
        </row>
        <row r="290">
          <cell r="A290" t="str">
            <v>04 BAY OF PLENTY</v>
          </cell>
          <cell r="B290">
            <v>7</v>
          </cell>
          <cell r="C290">
            <v>2018</v>
          </cell>
          <cell r="D290">
            <v>73</v>
          </cell>
          <cell r="E290">
            <v>194</v>
          </cell>
          <cell r="F290">
            <v>7.5586600339999999</v>
          </cell>
          <cell r="G290">
            <v>52.004413630999998</v>
          </cell>
          <cell r="H290">
            <v>2.9210554277999998</v>
          </cell>
          <cell r="I290" t="str">
            <v>Local Bus</v>
          </cell>
          <cell r="J290" t="str">
            <v>2017/18</v>
          </cell>
        </row>
        <row r="291">
          <cell r="A291" t="str">
            <v>04 BAY OF PLENTY</v>
          </cell>
          <cell r="B291">
            <v>7</v>
          </cell>
          <cell r="C291">
            <v>2023</v>
          </cell>
          <cell r="D291">
            <v>73</v>
          </cell>
          <cell r="E291">
            <v>194</v>
          </cell>
          <cell r="F291">
            <v>8.2733592537000007</v>
          </cell>
          <cell r="G291">
            <v>55.953030867999999</v>
          </cell>
          <cell r="H291">
            <v>3.1681289224000002</v>
          </cell>
          <cell r="I291" t="str">
            <v>Local Bus</v>
          </cell>
          <cell r="J291" t="str">
            <v>2022/23</v>
          </cell>
        </row>
        <row r="292">
          <cell r="A292" t="str">
            <v>04 BAY OF PLENTY</v>
          </cell>
          <cell r="B292">
            <v>7</v>
          </cell>
          <cell r="C292">
            <v>2028</v>
          </cell>
          <cell r="D292">
            <v>73</v>
          </cell>
          <cell r="E292">
            <v>194</v>
          </cell>
          <cell r="F292">
            <v>8.9481632001999998</v>
          </cell>
          <cell r="G292">
            <v>57.770672953999998</v>
          </cell>
          <cell r="H292">
            <v>3.3645774195999998</v>
          </cell>
          <cell r="I292" t="str">
            <v>Local Bus</v>
          </cell>
          <cell r="J292" t="str">
            <v>2027/28</v>
          </cell>
        </row>
        <row r="293">
          <cell r="A293" t="str">
            <v>04 BAY OF PLENTY</v>
          </cell>
          <cell r="B293">
            <v>7</v>
          </cell>
          <cell r="C293">
            <v>2033</v>
          </cell>
          <cell r="D293">
            <v>73</v>
          </cell>
          <cell r="E293">
            <v>194</v>
          </cell>
          <cell r="F293">
            <v>9.6824298881999997</v>
          </cell>
          <cell r="G293">
            <v>59.641243056999997</v>
          </cell>
          <cell r="H293">
            <v>3.5813993547999998</v>
          </cell>
          <cell r="I293" t="str">
            <v>Local Bus</v>
          </cell>
          <cell r="J293" t="str">
            <v>2032/33</v>
          </cell>
        </row>
        <row r="294">
          <cell r="A294" t="str">
            <v>04 BAY OF PLENTY</v>
          </cell>
          <cell r="B294">
            <v>7</v>
          </cell>
          <cell r="C294">
            <v>2038</v>
          </cell>
          <cell r="D294">
            <v>73</v>
          </cell>
          <cell r="E294">
            <v>194</v>
          </cell>
          <cell r="F294">
            <v>10.422957627000001</v>
          </cell>
          <cell r="G294">
            <v>61.636426614999998</v>
          </cell>
          <cell r="H294">
            <v>3.7925891114999999</v>
          </cell>
          <cell r="I294" t="str">
            <v>Local Bus</v>
          </cell>
          <cell r="J294" t="str">
            <v>2037/38</v>
          </cell>
        </row>
        <row r="295">
          <cell r="A295" t="str">
            <v>04 BAY OF PLENTY</v>
          </cell>
          <cell r="B295">
            <v>7</v>
          </cell>
          <cell r="C295">
            <v>2043</v>
          </cell>
          <cell r="D295">
            <v>73</v>
          </cell>
          <cell r="E295">
            <v>194</v>
          </cell>
          <cell r="F295">
            <v>11.156395733</v>
          </cell>
          <cell r="G295">
            <v>63.459278947000001</v>
          </cell>
          <cell r="H295">
            <v>4.0008471649999997</v>
          </cell>
          <cell r="I295" t="str">
            <v>Local Bus</v>
          </cell>
          <cell r="J295" t="str">
            <v>2042/43</v>
          </cell>
        </row>
        <row r="296">
          <cell r="A296" t="str">
            <v>04 BAY OF PLENTY</v>
          </cell>
          <cell r="B296">
            <v>9</v>
          </cell>
          <cell r="C296">
            <v>2013</v>
          </cell>
          <cell r="D296">
            <v>13</v>
          </cell>
          <cell r="E296">
            <v>34</v>
          </cell>
          <cell r="F296">
            <v>0.59853678389999998</v>
          </cell>
          <cell r="G296">
            <v>0</v>
          </cell>
          <cell r="H296">
            <v>0.21279540499999999</v>
          </cell>
          <cell r="I296" t="str">
            <v>Other Household Travel</v>
          </cell>
          <cell r="J296" t="str">
            <v>2012/13</v>
          </cell>
        </row>
        <row r="297">
          <cell r="A297" t="str">
            <v>04 BAY OF PLENTY</v>
          </cell>
          <cell r="B297">
            <v>9</v>
          </cell>
          <cell r="C297">
            <v>2018</v>
          </cell>
          <cell r="D297">
            <v>13</v>
          </cell>
          <cell r="E297">
            <v>34</v>
          </cell>
          <cell r="F297">
            <v>0.61298969579999996</v>
          </cell>
          <cell r="G297">
            <v>0</v>
          </cell>
          <cell r="H297">
            <v>0.2246261064</v>
          </cell>
          <cell r="I297" t="str">
            <v>Other Household Travel</v>
          </cell>
          <cell r="J297" t="str">
            <v>2017/18</v>
          </cell>
        </row>
        <row r="298">
          <cell r="A298" t="str">
            <v>04 BAY OF PLENTY</v>
          </cell>
          <cell r="B298">
            <v>9</v>
          </cell>
          <cell r="C298">
            <v>2023</v>
          </cell>
          <cell r="D298">
            <v>13</v>
          </cell>
          <cell r="E298">
            <v>34</v>
          </cell>
          <cell r="F298">
            <v>0.59499340690000002</v>
          </cell>
          <cell r="G298">
            <v>0</v>
          </cell>
          <cell r="H298">
            <v>0.23262154409999999</v>
          </cell>
          <cell r="I298" t="str">
            <v>Other Household Travel</v>
          </cell>
          <cell r="J298" t="str">
            <v>2022/23</v>
          </cell>
        </row>
        <row r="299">
          <cell r="A299" t="str">
            <v>04 BAY OF PLENTY</v>
          </cell>
          <cell r="B299">
            <v>9</v>
          </cell>
          <cell r="C299">
            <v>2028</v>
          </cell>
          <cell r="D299">
            <v>13</v>
          </cell>
          <cell r="E299">
            <v>34</v>
          </cell>
          <cell r="F299">
            <v>0.52851421399999998</v>
          </cell>
          <cell r="G299">
            <v>0</v>
          </cell>
          <cell r="H299">
            <v>0.2130721096</v>
          </cell>
          <cell r="I299" t="str">
            <v>Other Household Travel</v>
          </cell>
          <cell r="J299" t="str">
            <v>2027/28</v>
          </cell>
        </row>
        <row r="300">
          <cell r="A300" t="str">
            <v>04 BAY OF PLENTY</v>
          </cell>
          <cell r="B300">
            <v>9</v>
          </cell>
          <cell r="C300">
            <v>2033</v>
          </cell>
          <cell r="D300">
            <v>13</v>
          </cell>
          <cell r="E300">
            <v>34</v>
          </cell>
          <cell r="F300">
            <v>0.4676912848</v>
          </cell>
          <cell r="G300">
            <v>0</v>
          </cell>
          <cell r="H300">
            <v>0.18821963550000001</v>
          </cell>
          <cell r="I300" t="str">
            <v>Other Household Travel</v>
          </cell>
          <cell r="J300" t="str">
            <v>2032/33</v>
          </cell>
        </row>
        <row r="301">
          <cell r="A301" t="str">
            <v>04 BAY OF PLENTY</v>
          </cell>
          <cell r="B301">
            <v>9</v>
          </cell>
          <cell r="C301">
            <v>2038</v>
          </cell>
          <cell r="D301">
            <v>13</v>
          </cell>
          <cell r="E301">
            <v>34</v>
          </cell>
          <cell r="F301">
            <v>0.41949895790000002</v>
          </cell>
          <cell r="G301">
            <v>0</v>
          </cell>
          <cell r="H301">
            <v>0.1679451481</v>
          </cell>
          <cell r="I301" t="str">
            <v>Other Household Travel</v>
          </cell>
          <cell r="J301" t="str">
            <v>2037/38</v>
          </cell>
        </row>
        <row r="302">
          <cell r="A302" t="str">
            <v>04 BAY OF PLENTY</v>
          </cell>
          <cell r="B302">
            <v>9</v>
          </cell>
          <cell r="C302">
            <v>2043</v>
          </cell>
          <cell r="D302">
            <v>13</v>
          </cell>
          <cell r="E302">
            <v>34</v>
          </cell>
          <cell r="F302">
            <v>0.37366664630000002</v>
          </cell>
          <cell r="G302">
            <v>0</v>
          </cell>
          <cell r="H302">
            <v>0.14820853470000001</v>
          </cell>
          <cell r="I302" t="str">
            <v>Other Household Travel</v>
          </cell>
          <cell r="J302" t="str">
            <v>2042/43</v>
          </cell>
        </row>
        <row r="303">
          <cell r="A303" t="str">
            <v>04 BAY OF PLENTY</v>
          </cell>
          <cell r="B303">
            <v>10</v>
          </cell>
          <cell r="C303">
            <v>2013</v>
          </cell>
          <cell r="D303">
            <v>10</v>
          </cell>
          <cell r="E303">
            <v>20</v>
          </cell>
          <cell r="F303">
            <v>0.7132672793</v>
          </cell>
          <cell r="G303">
            <v>34.241381883000003</v>
          </cell>
          <cell r="H303">
            <v>1.7899343983</v>
          </cell>
          <cell r="I303" t="str">
            <v>Air/Non-Local PT</v>
          </cell>
          <cell r="J303" t="str">
            <v>2012/13</v>
          </cell>
        </row>
        <row r="304">
          <cell r="A304" t="str">
            <v>04 BAY OF PLENTY</v>
          </cell>
          <cell r="B304">
            <v>10</v>
          </cell>
          <cell r="C304">
            <v>2018</v>
          </cell>
          <cell r="D304">
            <v>10</v>
          </cell>
          <cell r="E304">
            <v>20</v>
          </cell>
          <cell r="F304">
            <v>0.82215910869999997</v>
          </cell>
          <cell r="G304">
            <v>41.036302919999997</v>
          </cell>
          <cell r="H304">
            <v>2.4445007157999998</v>
          </cell>
          <cell r="I304" t="str">
            <v>Air/Non-Local PT</v>
          </cell>
          <cell r="J304" t="str">
            <v>2017/18</v>
          </cell>
        </row>
        <row r="305">
          <cell r="A305" t="str">
            <v>04 BAY OF PLENTY</v>
          </cell>
          <cell r="B305">
            <v>10</v>
          </cell>
          <cell r="C305">
            <v>2023</v>
          </cell>
          <cell r="D305">
            <v>10</v>
          </cell>
          <cell r="E305">
            <v>20</v>
          </cell>
          <cell r="F305">
            <v>0.96011477379999999</v>
          </cell>
          <cell r="G305">
            <v>49.464822112</v>
          </cell>
          <cell r="H305">
            <v>3.0877956076999999</v>
          </cell>
          <cell r="I305" t="str">
            <v>Air/Non-Local PT</v>
          </cell>
          <cell r="J305" t="str">
            <v>2022/23</v>
          </cell>
        </row>
        <row r="306">
          <cell r="A306" t="str">
            <v>04 BAY OF PLENTY</v>
          </cell>
          <cell r="B306">
            <v>10</v>
          </cell>
          <cell r="C306">
            <v>2028</v>
          </cell>
          <cell r="D306">
            <v>10</v>
          </cell>
          <cell r="E306">
            <v>20</v>
          </cell>
          <cell r="F306">
            <v>1.0735331276</v>
          </cell>
          <cell r="G306">
            <v>56.992588058000003</v>
          </cell>
          <cell r="H306">
            <v>3.6497832736000002</v>
          </cell>
          <cell r="I306" t="str">
            <v>Air/Non-Local PT</v>
          </cell>
          <cell r="J306" t="str">
            <v>2027/28</v>
          </cell>
        </row>
        <row r="307">
          <cell r="A307" t="str">
            <v>04 BAY OF PLENTY</v>
          </cell>
          <cell r="B307">
            <v>10</v>
          </cell>
          <cell r="C307">
            <v>2033</v>
          </cell>
          <cell r="D307">
            <v>10</v>
          </cell>
          <cell r="E307">
            <v>20</v>
          </cell>
          <cell r="F307">
            <v>1.1767869937</v>
          </cell>
          <cell r="G307">
            <v>64.699929897000004</v>
          </cell>
          <cell r="H307">
            <v>4.0830619428999997</v>
          </cell>
          <cell r="I307" t="str">
            <v>Air/Non-Local PT</v>
          </cell>
          <cell r="J307" t="str">
            <v>2032/33</v>
          </cell>
        </row>
        <row r="308">
          <cell r="A308" t="str">
            <v>04 BAY OF PLENTY</v>
          </cell>
          <cell r="B308">
            <v>10</v>
          </cell>
          <cell r="C308">
            <v>2038</v>
          </cell>
          <cell r="D308">
            <v>10</v>
          </cell>
          <cell r="E308">
            <v>20</v>
          </cell>
          <cell r="F308">
            <v>1.3403891139999999</v>
          </cell>
          <cell r="G308">
            <v>78.842720029000006</v>
          </cell>
          <cell r="H308">
            <v>4.5341585557000004</v>
          </cell>
          <cell r="I308" t="str">
            <v>Air/Non-Local PT</v>
          </cell>
          <cell r="J308" t="str">
            <v>2037/38</v>
          </cell>
        </row>
        <row r="309">
          <cell r="A309" t="str">
            <v>04 BAY OF PLENTY</v>
          </cell>
          <cell r="B309">
            <v>10</v>
          </cell>
          <cell r="C309">
            <v>2043</v>
          </cell>
          <cell r="D309">
            <v>10</v>
          </cell>
          <cell r="E309">
            <v>20</v>
          </cell>
          <cell r="F309">
            <v>1.5188268518000001</v>
          </cell>
          <cell r="G309">
            <v>94.597112664999997</v>
          </cell>
          <cell r="H309">
            <v>4.9634568424000003</v>
          </cell>
          <cell r="I309" t="str">
            <v>Air/Non-Local PT</v>
          </cell>
          <cell r="J309" t="str">
            <v>2042/43</v>
          </cell>
        </row>
        <row r="310">
          <cell r="A310" t="str">
            <v>04 BAY OF PLENTY</v>
          </cell>
          <cell r="B310">
            <v>11</v>
          </cell>
          <cell r="C310">
            <v>2013</v>
          </cell>
          <cell r="D310">
            <v>6</v>
          </cell>
          <cell r="E310">
            <v>33</v>
          </cell>
          <cell r="F310">
            <v>1.4872690419000001</v>
          </cell>
          <cell r="G310">
            <v>13.901388431999999</v>
          </cell>
          <cell r="H310">
            <v>0.32958292379999998</v>
          </cell>
          <cell r="I310" t="str">
            <v>Non-Household Travel</v>
          </cell>
          <cell r="J310" t="str">
            <v>2012/13</v>
          </cell>
        </row>
        <row r="311">
          <cell r="A311" t="str">
            <v>04 BAY OF PLENTY</v>
          </cell>
          <cell r="B311">
            <v>11</v>
          </cell>
          <cell r="C311">
            <v>2018</v>
          </cell>
          <cell r="D311">
            <v>6</v>
          </cell>
          <cell r="E311">
            <v>33</v>
          </cell>
          <cell r="F311">
            <v>1.7340928390999999</v>
          </cell>
          <cell r="G311">
            <v>14.448185294</v>
          </cell>
          <cell r="H311">
            <v>0.366562006</v>
          </cell>
          <cell r="I311" t="str">
            <v>Non-Household Travel</v>
          </cell>
          <cell r="J311" t="str">
            <v>2017/18</v>
          </cell>
        </row>
        <row r="312">
          <cell r="A312" t="str">
            <v>04 BAY OF PLENTY</v>
          </cell>
          <cell r="B312">
            <v>11</v>
          </cell>
          <cell r="C312">
            <v>2023</v>
          </cell>
          <cell r="D312">
            <v>6</v>
          </cell>
          <cell r="E312">
            <v>33</v>
          </cell>
          <cell r="F312">
            <v>1.8582949415000001</v>
          </cell>
          <cell r="G312">
            <v>14.386176074</v>
          </cell>
          <cell r="H312">
            <v>0.38252332010000001</v>
          </cell>
          <cell r="I312" t="str">
            <v>Non-Household Travel</v>
          </cell>
          <cell r="J312" t="str">
            <v>2022/23</v>
          </cell>
        </row>
        <row r="313">
          <cell r="A313" t="str">
            <v>04 BAY OF PLENTY</v>
          </cell>
          <cell r="B313">
            <v>11</v>
          </cell>
          <cell r="C313">
            <v>2028</v>
          </cell>
          <cell r="D313">
            <v>6</v>
          </cell>
          <cell r="E313">
            <v>33</v>
          </cell>
          <cell r="F313">
            <v>2.0483226533000001</v>
          </cell>
          <cell r="G313">
            <v>14.707443228000001</v>
          </cell>
          <cell r="H313">
            <v>0.4080537105</v>
          </cell>
          <cell r="I313" t="str">
            <v>Non-Household Travel</v>
          </cell>
          <cell r="J313" t="str">
            <v>2027/28</v>
          </cell>
        </row>
        <row r="314">
          <cell r="A314" t="str">
            <v>04 BAY OF PLENTY</v>
          </cell>
          <cell r="B314">
            <v>11</v>
          </cell>
          <cell r="C314">
            <v>2033</v>
          </cell>
          <cell r="D314">
            <v>6</v>
          </cell>
          <cell r="E314">
            <v>33</v>
          </cell>
          <cell r="F314">
            <v>2.2094434254999999</v>
          </cell>
          <cell r="G314">
            <v>15.184080188999999</v>
          </cell>
          <cell r="H314">
            <v>0.4316218959</v>
          </cell>
          <cell r="I314" t="str">
            <v>Non-Household Travel</v>
          </cell>
          <cell r="J314" t="str">
            <v>2032/33</v>
          </cell>
        </row>
        <row r="315">
          <cell r="A315" t="str">
            <v>04 BAY OF PLENTY</v>
          </cell>
          <cell r="B315">
            <v>11</v>
          </cell>
          <cell r="C315">
            <v>2038</v>
          </cell>
          <cell r="D315">
            <v>6</v>
          </cell>
          <cell r="E315">
            <v>33</v>
          </cell>
          <cell r="F315">
            <v>2.3651783494999998</v>
          </cell>
          <cell r="G315">
            <v>15.742067343</v>
          </cell>
          <cell r="H315">
            <v>0.4556201815</v>
          </cell>
          <cell r="I315" t="str">
            <v>Non-Household Travel</v>
          </cell>
          <cell r="J315" t="str">
            <v>2037/38</v>
          </cell>
        </row>
        <row r="316">
          <cell r="A316" t="str">
            <v>04 BAY OF PLENTY</v>
          </cell>
          <cell r="B316">
            <v>11</v>
          </cell>
          <cell r="C316">
            <v>2043</v>
          </cell>
          <cell r="D316">
            <v>6</v>
          </cell>
          <cell r="E316">
            <v>33</v>
          </cell>
          <cell r="F316">
            <v>2.5002115431999998</v>
          </cell>
          <cell r="G316">
            <v>16.095985329000001</v>
          </cell>
          <cell r="H316">
            <v>0.47493204719999998</v>
          </cell>
          <cell r="I316" t="str">
            <v>Non-Household Travel</v>
          </cell>
          <cell r="J316" t="str">
            <v>2042/43</v>
          </cell>
        </row>
        <row r="317">
          <cell r="A317" t="str">
            <v>05 GISBORNE</v>
          </cell>
          <cell r="B317">
            <v>0</v>
          </cell>
          <cell r="C317">
            <v>2013</v>
          </cell>
          <cell r="D317">
            <v>242</v>
          </cell>
          <cell r="E317">
            <v>910</v>
          </cell>
          <cell r="F317">
            <v>12.564280467</v>
          </cell>
          <cell r="G317">
            <v>7.5635235767999998</v>
          </cell>
          <cell r="H317">
            <v>2.2694063563000002</v>
          </cell>
          <cell r="I317" t="str">
            <v>Pedestrian</v>
          </cell>
          <cell r="J317" t="str">
            <v>2012/13</v>
          </cell>
        </row>
        <row r="318">
          <cell r="A318" t="str">
            <v>05 GISBORNE</v>
          </cell>
          <cell r="B318">
            <v>0</v>
          </cell>
          <cell r="C318">
            <v>2018</v>
          </cell>
          <cell r="D318">
            <v>242</v>
          </cell>
          <cell r="E318">
            <v>910</v>
          </cell>
          <cell r="F318">
            <v>11.031352663</v>
          </cell>
          <cell r="G318">
            <v>6.7095778239000001</v>
          </cell>
          <cell r="H318">
            <v>1.9663865806</v>
          </cell>
          <cell r="I318" t="str">
            <v>Pedestrian</v>
          </cell>
          <cell r="J318" t="str">
            <v>2017/18</v>
          </cell>
        </row>
        <row r="319">
          <cell r="A319" t="str">
            <v>05 GISBORNE</v>
          </cell>
          <cell r="B319">
            <v>0</v>
          </cell>
          <cell r="C319">
            <v>2023</v>
          </cell>
          <cell r="D319">
            <v>242</v>
          </cell>
          <cell r="E319">
            <v>910</v>
          </cell>
          <cell r="F319">
            <v>10.5963881</v>
          </cell>
          <cell r="G319">
            <v>6.5445717515000004</v>
          </cell>
          <cell r="H319">
            <v>1.8699849319999999</v>
          </cell>
          <cell r="I319" t="str">
            <v>Pedestrian</v>
          </cell>
          <cell r="J319" t="str">
            <v>2022/23</v>
          </cell>
        </row>
        <row r="320">
          <cell r="A320" t="str">
            <v>05 GISBORNE</v>
          </cell>
          <cell r="B320">
            <v>0</v>
          </cell>
          <cell r="C320">
            <v>2028</v>
          </cell>
          <cell r="D320">
            <v>242</v>
          </cell>
          <cell r="E320">
            <v>910</v>
          </cell>
          <cell r="F320">
            <v>9.9976077593999992</v>
          </cell>
          <cell r="G320">
            <v>6.3607804584999998</v>
          </cell>
          <cell r="H320">
            <v>1.7665445741000001</v>
          </cell>
          <cell r="I320" t="str">
            <v>Pedestrian</v>
          </cell>
          <cell r="J320" t="str">
            <v>2027/28</v>
          </cell>
        </row>
        <row r="321">
          <cell r="A321" t="str">
            <v>05 GISBORNE</v>
          </cell>
          <cell r="B321">
            <v>0</v>
          </cell>
          <cell r="C321">
            <v>2033</v>
          </cell>
          <cell r="D321">
            <v>242</v>
          </cell>
          <cell r="E321">
            <v>910</v>
          </cell>
          <cell r="F321">
            <v>9.4589008146999998</v>
          </cell>
          <cell r="G321">
            <v>6.2530206583999997</v>
          </cell>
          <cell r="H321">
            <v>1.6868638014999999</v>
          </cell>
          <cell r="I321" t="str">
            <v>Pedestrian</v>
          </cell>
          <cell r="J321" t="str">
            <v>2032/33</v>
          </cell>
        </row>
        <row r="322">
          <cell r="A322" t="str">
            <v>05 GISBORNE</v>
          </cell>
          <cell r="B322">
            <v>0</v>
          </cell>
          <cell r="C322">
            <v>2038</v>
          </cell>
          <cell r="D322">
            <v>242</v>
          </cell>
          <cell r="E322">
            <v>910</v>
          </cell>
          <cell r="F322">
            <v>8.9565942764000006</v>
          </cell>
          <cell r="G322">
            <v>6.0895447840000001</v>
          </cell>
          <cell r="H322">
            <v>1.6091812861999999</v>
          </cell>
          <cell r="I322" t="str">
            <v>Pedestrian</v>
          </cell>
          <cell r="J322" t="str">
            <v>2037/38</v>
          </cell>
        </row>
        <row r="323">
          <cell r="A323" t="str">
            <v>05 GISBORNE</v>
          </cell>
          <cell r="B323">
            <v>0</v>
          </cell>
          <cell r="C323">
            <v>2043</v>
          </cell>
          <cell r="D323">
            <v>242</v>
          </cell>
          <cell r="E323">
            <v>910</v>
          </cell>
          <cell r="F323">
            <v>8.5269986341999999</v>
          </cell>
          <cell r="G323">
            <v>5.9826703909000001</v>
          </cell>
          <cell r="H323">
            <v>1.5459179377000001</v>
          </cell>
          <cell r="I323" t="str">
            <v>Pedestrian</v>
          </cell>
          <cell r="J323" t="str">
            <v>2042/43</v>
          </cell>
        </row>
        <row r="324">
          <cell r="A324" t="str">
            <v>05 GISBORNE</v>
          </cell>
          <cell r="B324">
            <v>1</v>
          </cell>
          <cell r="C324">
            <v>2013</v>
          </cell>
          <cell r="D324">
            <v>27</v>
          </cell>
          <cell r="E324">
            <v>100</v>
          </cell>
          <cell r="F324">
            <v>1.1119455742</v>
          </cell>
          <cell r="G324">
            <v>3.8031873472000002</v>
          </cell>
          <cell r="H324">
            <v>0.28046850410000002</v>
          </cell>
          <cell r="I324" t="str">
            <v>Cyclist</v>
          </cell>
          <cell r="J324" t="str">
            <v>2012/13</v>
          </cell>
        </row>
        <row r="325">
          <cell r="A325" t="str">
            <v>05 GISBORNE</v>
          </cell>
          <cell r="B325">
            <v>1</v>
          </cell>
          <cell r="C325">
            <v>2018</v>
          </cell>
          <cell r="D325">
            <v>27</v>
          </cell>
          <cell r="E325">
            <v>100</v>
          </cell>
          <cell r="F325">
            <v>0.96763615169999995</v>
          </cell>
          <cell r="G325">
            <v>3.0706241145000002</v>
          </cell>
          <cell r="H325">
            <v>0.23354751879999999</v>
          </cell>
          <cell r="I325" t="str">
            <v>Cyclist</v>
          </cell>
          <cell r="J325" t="str">
            <v>2017/18</v>
          </cell>
        </row>
        <row r="326">
          <cell r="A326" t="str">
            <v>05 GISBORNE</v>
          </cell>
          <cell r="B326">
            <v>1</v>
          </cell>
          <cell r="C326">
            <v>2023</v>
          </cell>
          <cell r="D326">
            <v>27</v>
          </cell>
          <cell r="E326">
            <v>100</v>
          </cell>
          <cell r="F326">
            <v>0.94639081530000002</v>
          </cell>
          <cell r="G326">
            <v>2.8096854634000001</v>
          </cell>
          <cell r="H326">
            <v>0.2169698055</v>
          </cell>
          <cell r="I326" t="str">
            <v>Cyclist</v>
          </cell>
          <cell r="J326" t="str">
            <v>2022/23</v>
          </cell>
        </row>
        <row r="327">
          <cell r="A327" t="str">
            <v>05 GISBORNE</v>
          </cell>
          <cell r="B327">
            <v>1</v>
          </cell>
          <cell r="C327">
            <v>2028</v>
          </cell>
          <cell r="D327">
            <v>27</v>
          </cell>
          <cell r="E327">
            <v>100</v>
          </cell>
          <cell r="F327">
            <v>0.86330203189999999</v>
          </cell>
          <cell r="G327">
            <v>2.3433885093</v>
          </cell>
          <cell r="H327">
            <v>0.1844223552</v>
          </cell>
          <cell r="I327" t="str">
            <v>Cyclist</v>
          </cell>
          <cell r="J327" t="str">
            <v>2027/28</v>
          </cell>
        </row>
        <row r="328">
          <cell r="A328" t="str">
            <v>05 GISBORNE</v>
          </cell>
          <cell r="B328">
            <v>1</v>
          </cell>
          <cell r="C328">
            <v>2033</v>
          </cell>
          <cell r="D328">
            <v>27</v>
          </cell>
          <cell r="E328">
            <v>100</v>
          </cell>
          <cell r="F328">
            <v>0.78762650069999995</v>
          </cell>
          <cell r="G328">
            <v>1.9614999001</v>
          </cell>
          <cell r="H328">
            <v>0.15945393290000001</v>
          </cell>
          <cell r="I328" t="str">
            <v>Cyclist</v>
          </cell>
          <cell r="J328" t="str">
            <v>2032/33</v>
          </cell>
        </row>
        <row r="329">
          <cell r="A329" t="str">
            <v>05 GISBORNE</v>
          </cell>
          <cell r="B329">
            <v>1</v>
          </cell>
          <cell r="C329">
            <v>2038</v>
          </cell>
          <cell r="D329">
            <v>27</v>
          </cell>
          <cell r="E329">
            <v>100</v>
          </cell>
          <cell r="F329">
            <v>0.72151186450000004</v>
          </cell>
          <cell r="G329">
            <v>1.6595701759999999</v>
          </cell>
          <cell r="H329">
            <v>0.14068655050000001</v>
          </cell>
          <cell r="I329" t="str">
            <v>Cyclist</v>
          </cell>
          <cell r="J329" t="str">
            <v>2037/38</v>
          </cell>
        </row>
        <row r="330">
          <cell r="A330" t="str">
            <v>05 GISBORNE</v>
          </cell>
          <cell r="B330">
            <v>1</v>
          </cell>
          <cell r="C330">
            <v>2043</v>
          </cell>
          <cell r="D330">
            <v>27</v>
          </cell>
          <cell r="E330">
            <v>100</v>
          </cell>
          <cell r="F330">
            <v>0.66868773560000005</v>
          </cell>
          <cell r="G330">
            <v>1.4420517204000001</v>
          </cell>
          <cell r="H330">
            <v>0.1270674876</v>
          </cell>
          <cell r="I330" t="str">
            <v>Cyclist</v>
          </cell>
          <cell r="J330" t="str">
            <v>2042/43</v>
          </cell>
        </row>
        <row r="331">
          <cell r="A331" t="str">
            <v>05 GISBORNE</v>
          </cell>
          <cell r="B331">
            <v>2</v>
          </cell>
          <cell r="C331">
            <v>2013</v>
          </cell>
          <cell r="D331">
            <v>319</v>
          </cell>
          <cell r="E331">
            <v>2307</v>
          </cell>
          <cell r="F331">
            <v>28.776347379000001</v>
          </cell>
          <cell r="G331">
            <v>241.40144318</v>
          </cell>
          <cell r="H331">
            <v>6.0182660548999998</v>
          </cell>
          <cell r="I331" t="str">
            <v>Light Vehicle Driver</v>
          </cell>
          <cell r="J331" t="str">
            <v>2012/13</v>
          </cell>
        </row>
        <row r="332">
          <cell r="A332" t="str">
            <v>05 GISBORNE</v>
          </cell>
          <cell r="B332">
            <v>2</v>
          </cell>
          <cell r="C332">
            <v>2018</v>
          </cell>
          <cell r="D332">
            <v>319</v>
          </cell>
          <cell r="E332">
            <v>2307</v>
          </cell>
          <cell r="F332">
            <v>26.895989644</v>
          </cell>
          <cell r="G332">
            <v>231.43338102999999</v>
          </cell>
          <cell r="H332">
            <v>5.7384923941999997</v>
          </cell>
          <cell r="I332" t="str">
            <v>Light Vehicle Driver</v>
          </cell>
          <cell r="J332" t="str">
            <v>2017/18</v>
          </cell>
        </row>
        <row r="333">
          <cell r="A333" t="str">
            <v>05 GISBORNE</v>
          </cell>
          <cell r="B333">
            <v>2</v>
          </cell>
          <cell r="C333">
            <v>2023</v>
          </cell>
          <cell r="D333">
            <v>319</v>
          </cell>
          <cell r="E333">
            <v>2307</v>
          </cell>
          <cell r="F333">
            <v>27.004577224999998</v>
          </cell>
          <cell r="G333">
            <v>236.77251361</v>
          </cell>
          <cell r="H333">
            <v>5.8621809522000001</v>
          </cell>
          <cell r="I333" t="str">
            <v>Light Vehicle Driver</v>
          </cell>
          <cell r="J333" t="str">
            <v>2022/23</v>
          </cell>
        </row>
        <row r="334">
          <cell r="A334" t="str">
            <v>05 GISBORNE</v>
          </cell>
          <cell r="B334">
            <v>2</v>
          </cell>
          <cell r="C334">
            <v>2028</v>
          </cell>
          <cell r="D334">
            <v>319</v>
          </cell>
          <cell r="E334">
            <v>2307</v>
          </cell>
          <cell r="F334">
            <v>25.930514348999999</v>
          </cell>
          <cell r="G334">
            <v>230.58090272000001</v>
          </cell>
          <cell r="H334">
            <v>5.7039406110000002</v>
          </cell>
          <cell r="I334" t="str">
            <v>Light Vehicle Driver</v>
          </cell>
          <cell r="J334" t="str">
            <v>2027/28</v>
          </cell>
        </row>
        <row r="335">
          <cell r="A335" t="str">
            <v>05 GISBORNE</v>
          </cell>
          <cell r="B335">
            <v>2</v>
          </cell>
          <cell r="C335">
            <v>2033</v>
          </cell>
          <cell r="D335">
            <v>319</v>
          </cell>
          <cell r="E335">
            <v>2307</v>
          </cell>
          <cell r="F335">
            <v>24.841491005000002</v>
          </cell>
          <cell r="G335">
            <v>223.58153055</v>
          </cell>
          <cell r="H335">
            <v>5.5255700399999998</v>
          </cell>
          <cell r="I335" t="str">
            <v>Light Vehicle Driver</v>
          </cell>
          <cell r="J335" t="str">
            <v>2032/33</v>
          </cell>
        </row>
        <row r="336">
          <cell r="A336" t="str">
            <v>05 GISBORNE</v>
          </cell>
          <cell r="B336">
            <v>2</v>
          </cell>
          <cell r="C336">
            <v>2038</v>
          </cell>
          <cell r="D336">
            <v>319</v>
          </cell>
          <cell r="E336">
            <v>2307</v>
          </cell>
          <cell r="F336">
            <v>23.870676761999999</v>
          </cell>
          <cell r="G336">
            <v>216.34732116000001</v>
          </cell>
          <cell r="H336">
            <v>5.3573567305000003</v>
          </cell>
          <cell r="I336" t="str">
            <v>Light Vehicle Driver</v>
          </cell>
          <cell r="J336" t="str">
            <v>2037/38</v>
          </cell>
        </row>
        <row r="337">
          <cell r="A337" t="str">
            <v>05 GISBORNE</v>
          </cell>
          <cell r="B337">
            <v>2</v>
          </cell>
          <cell r="C337">
            <v>2043</v>
          </cell>
          <cell r="D337">
            <v>319</v>
          </cell>
          <cell r="E337">
            <v>2307</v>
          </cell>
          <cell r="F337">
            <v>22.983705869000001</v>
          </cell>
          <cell r="G337">
            <v>208.96470134</v>
          </cell>
          <cell r="H337">
            <v>5.1960142060000001</v>
          </cell>
          <cell r="I337" t="str">
            <v>Light Vehicle Driver</v>
          </cell>
          <cell r="J337" t="str">
            <v>2042/43</v>
          </cell>
        </row>
        <row r="338">
          <cell r="A338" t="str">
            <v>05 GISBORNE</v>
          </cell>
          <cell r="B338">
            <v>3</v>
          </cell>
          <cell r="C338">
            <v>2013</v>
          </cell>
          <cell r="D338">
            <v>278</v>
          </cell>
          <cell r="E338">
            <v>1431</v>
          </cell>
          <cell r="F338">
            <v>18.791024854</v>
          </cell>
          <cell r="G338">
            <v>174.74236519999999</v>
          </cell>
          <cell r="H338">
            <v>4.5909579553000004</v>
          </cell>
          <cell r="I338" t="str">
            <v>Light Vehicle Passenger</v>
          </cell>
          <cell r="J338" t="str">
            <v>2012/13</v>
          </cell>
        </row>
        <row r="339">
          <cell r="A339" t="str">
            <v>05 GISBORNE</v>
          </cell>
          <cell r="B339">
            <v>3</v>
          </cell>
          <cell r="C339">
            <v>2018</v>
          </cell>
          <cell r="D339">
            <v>278</v>
          </cell>
          <cell r="E339">
            <v>1431</v>
          </cell>
          <cell r="F339">
            <v>16.066332581000001</v>
          </cell>
          <cell r="G339">
            <v>150.74468472999999</v>
          </cell>
          <cell r="H339">
            <v>4.0091183035000002</v>
          </cell>
          <cell r="I339" t="str">
            <v>Light Vehicle Passenger</v>
          </cell>
          <cell r="J339" t="str">
            <v>2017/18</v>
          </cell>
        </row>
        <row r="340">
          <cell r="A340" t="str">
            <v>05 GISBORNE</v>
          </cell>
          <cell r="B340">
            <v>3</v>
          </cell>
          <cell r="C340">
            <v>2023</v>
          </cell>
          <cell r="D340">
            <v>278</v>
          </cell>
          <cell r="E340">
            <v>1431</v>
          </cell>
          <cell r="F340">
            <v>15.169250449</v>
          </cell>
          <cell r="G340">
            <v>144.13316021</v>
          </cell>
          <cell r="H340">
            <v>3.8687531918000002</v>
          </cell>
          <cell r="I340" t="str">
            <v>Light Vehicle Passenger</v>
          </cell>
          <cell r="J340" t="str">
            <v>2022/23</v>
          </cell>
        </row>
        <row r="341">
          <cell r="A341" t="str">
            <v>05 GISBORNE</v>
          </cell>
          <cell r="B341">
            <v>3</v>
          </cell>
          <cell r="C341">
            <v>2028</v>
          </cell>
          <cell r="D341">
            <v>278</v>
          </cell>
          <cell r="E341">
            <v>1431</v>
          </cell>
          <cell r="F341">
            <v>13.777104926</v>
          </cell>
          <cell r="G341">
            <v>132.43366549999999</v>
          </cell>
          <cell r="H341">
            <v>3.5642529458999999</v>
          </cell>
          <cell r="I341" t="str">
            <v>Light Vehicle Passenger</v>
          </cell>
          <cell r="J341" t="str">
            <v>2027/28</v>
          </cell>
        </row>
        <row r="342">
          <cell r="A342" t="str">
            <v>05 GISBORNE</v>
          </cell>
          <cell r="B342">
            <v>3</v>
          </cell>
          <cell r="C342">
            <v>2033</v>
          </cell>
          <cell r="D342">
            <v>278</v>
          </cell>
          <cell r="E342">
            <v>1431</v>
          </cell>
          <cell r="F342">
            <v>12.618683002999999</v>
          </cell>
          <cell r="G342">
            <v>120.93791216</v>
          </cell>
          <cell r="H342">
            <v>3.2732480884999999</v>
          </cell>
          <cell r="I342" t="str">
            <v>Light Vehicle Passenger</v>
          </cell>
          <cell r="J342" t="str">
            <v>2032/33</v>
          </cell>
        </row>
        <row r="343">
          <cell r="A343" t="str">
            <v>05 GISBORNE</v>
          </cell>
          <cell r="B343">
            <v>3</v>
          </cell>
          <cell r="C343">
            <v>2038</v>
          </cell>
          <cell r="D343">
            <v>278</v>
          </cell>
          <cell r="E343">
            <v>1431</v>
          </cell>
          <cell r="F343">
            <v>11.754636698000001</v>
          </cell>
          <cell r="G343">
            <v>112.36454981</v>
          </cell>
          <cell r="H343">
            <v>3.0868616392999999</v>
          </cell>
          <cell r="I343" t="str">
            <v>Light Vehicle Passenger</v>
          </cell>
          <cell r="J343" t="str">
            <v>2037/38</v>
          </cell>
        </row>
        <row r="344">
          <cell r="A344" t="str">
            <v>05 GISBORNE</v>
          </cell>
          <cell r="B344">
            <v>3</v>
          </cell>
          <cell r="C344">
            <v>2043</v>
          </cell>
          <cell r="D344">
            <v>278</v>
          </cell>
          <cell r="E344">
            <v>1431</v>
          </cell>
          <cell r="F344">
            <v>11.012423116000001</v>
          </cell>
          <cell r="G344">
            <v>104.96033989999999</v>
          </cell>
          <cell r="H344">
            <v>2.9315756926000001</v>
          </cell>
          <cell r="I344" t="str">
            <v>Light Vehicle Passenger</v>
          </cell>
          <cell r="J344" t="str">
            <v>2042/43</v>
          </cell>
        </row>
        <row r="345">
          <cell r="A345" t="str">
            <v>05 GISBORNE</v>
          </cell>
          <cell r="B345">
            <v>4</v>
          </cell>
          <cell r="C345">
            <v>2013</v>
          </cell>
          <cell r="D345">
            <v>2</v>
          </cell>
          <cell r="E345">
            <v>2</v>
          </cell>
          <cell r="F345">
            <v>2.27015811E-2</v>
          </cell>
          <cell r="G345">
            <v>0.1174510768</v>
          </cell>
          <cell r="H345">
            <v>5.0534828E-3</v>
          </cell>
          <cell r="J345" t="str">
            <v>2012/13</v>
          </cell>
        </row>
        <row r="346">
          <cell r="A346" t="str">
            <v>05 GISBORNE</v>
          </cell>
          <cell r="B346">
            <v>4</v>
          </cell>
          <cell r="C346">
            <v>2018</v>
          </cell>
          <cell r="D346">
            <v>2</v>
          </cell>
          <cell r="E346">
            <v>2</v>
          </cell>
          <cell r="F346">
            <v>2.45635731E-2</v>
          </cell>
          <cell r="G346">
            <v>0.17738402719999999</v>
          </cell>
          <cell r="H346">
            <v>7.3514525000000002E-3</v>
          </cell>
          <cell r="J346" t="str">
            <v>2017/18</v>
          </cell>
        </row>
        <row r="347">
          <cell r="A347" t="str">
            <v>05 GISBORNE</v>
          </cell>
          <cell r="B347">
            <v>4</v>
          </cell>
          <cell r="C347">
            <v>2023</v>
          </cell>
          <cell r="D347">
            <v>2</v>
          </cell>
          <cell r="E347">
            <v>2</v>
          </cell>
          <cell r="F347">
            <v>3.2278462199999997E-2</v>
          </cell>
          <cell r="G347">
            <v>0.29374220420000002</v>
          </cell>
          <cell r="H347">
            <v>1.19312793E-2</v>
          </cell>
          <cell r="J347" t="str">
            <v>2022/23</v>
          </cell>
        </row>
        <row r="348">
          <cell r="A348" t="str">
            <v>05 GISBORNE</v>
          </cell>
          <cell r="B348">
            <v>4</v>
          </cell>
          <cell r="C348">
            <v>2028</v>
          </cell>
          <cell r="D348">
            <v>2</v>
          </cell>
          <cell r="E348">
            <v>2</v>
          </cell>
          <cell r="F348">
            <v>4.4749733100000001E-2</v>
          </cell>
          <cell r="G348">
            <v>0.47067490249999999</v>
          </cell>
          <cell r="H348">
            <v>1.89166734E-2</v>
          </cell>
          <cell r="J348" t="str">
            <v>2027/28</v>
          </cell>
        </row>
        <row r="349">
          <cell r="A349" t="str">
            <v>05 GISBORNE</v>
          </cell>
          <cell r="B349">
            <v>4</v>
          </cell>
          <cell r="C349">
            <v>2033</v>
          </cell>
          <cell r="D349">
            <v>2</v>
          </cell>
          <cell r="E349">
            <v>2</v>
          </cell>
          <cell r="F349">
            <v>5.9789534800000002E-2</v>
          </cell>
          <cell r="G349">
            <v>0.68066178990000004</v>
          </cell>
          <cell r="H349">
            <v>2.7213955500000001E-2</v>
          </cell>
          <cell r="J349" t="str">
            <v>2032/33</v>
          </cell>
        </row>
        <row r="350">
          <cell r="A350" t="str">
            <v>05 GISBORNE</v>
          </cell>
          <cell r="B350">
            <v>4</v>
          </cell>
          <cell r="C350">
            <v>2038</v>
          </cell>
          <cell r="D350">
            <v>2</v>
          </cell>
          <cell r="E350">
            <v>2</v>
          </cell>
          <cell r="F350">
            <v>7.1550029200000004E-2</v>
          </cell>
          <cell r="G350">
            <v>0.83941530450000001</v>
          </cell>
          <cell r="H350">
            <v>3.3498101799999999E-2</v>
          </cell>
          <cell r="J350" t="str">
            <v>2037/38</v>
          </cell>
        </row>
        <row r="351">
          <cell r="A351" t="str">
            <v>05 GISBORNE</v>
          </cell>
          <cell r="B351">
            <v>4</v>
          </cell>
          <cell r="C351">
            <v>2043</v>
          </cell>
          <cell r="D351">
            <v>2</v>
          </cell>
          <cell r="E351">
            <v>2</v>
          </cell>
          <cell r="F351">
            <v>8.3970096499999994E-2</v>
          </cell>
          <cell r="G351">
            <v>1.0061207832000001</v>
          </cell>
          <cell r="H351">
            <v>4.0099056399999999E-2</v>
          </cell>
          <cell r="J351" t="str">
            <v>2042/43</v>
          </cell>
        </row>
        <row r="352">
          <cell r="A352" t="str">
            <v>05 GISBORNE</v>
          </cell>
          <cell r="B352">
            <v>5</v>
          </cell>
          <cell r="C352">
            <v>2013</v>
          </cell>
          <cell r="D352">
            <v>3</v>
          </cell>
          <cell r="E352">
            <v>16</v>
          </cell>
          <cell r="F352">
            <v>0.20072163900000001</v>
          </cell>
          <cell r="G352">
            <v>0.95186353219999997</v>
          </cell>
          <cell r="H352">
            <v>4.6418087199999999E-2</v>
          </cell>
          <cell r="I352" t="str">
            <v>Motorcyclist</v>
          </cell>
          <cell r="J352" t="str">
            <v>2012/13</v>
          </cell>
        </row>
        <row r="353">
          <cell r="A353" t="str">
            <v>05 GISBORNE</v>
          </cell>
          <cell r="B353">
            <v>5</v>
          </cell>
          <cell r="C353">
            <v>2018</v>
          </cell>
          <cell r="D353">
            <v>3</v>
          </cell>
          <cell r="E353">
            <v>16</v>
          </cell>
          <cell r="F353">
            <v>0.1800229364</v>
          </cell>
          <cell r="G353">
            <v>0.87975729199999997</v>
          </cell>
          <cell r="H353">
            <v>4.1696091499999997E-2</v>
          </cell>
          <cell r="I353" t="str">
            <v>Motorcyclist</v>
          </cell>
          <cell r="J353" t="str">
            <v>2017/18</v>
          </cell>
        </row>
        <row r="354">
          <cell r="A354" t="str">
            <v>05 GISBORNE</v>
          </cell>
          <cell r="B354">
            <v>5</v>
          </cell>
          <cell r="C354">
            <v>2023</v>
          </cell>
          <cell r="D354">
            <v>3</v>
          </cell>
          <cell r="E354">
            <v>16</v>
          </cell>
          <cell r="F354">
            <v>0.17083532200000001</v>
          </cell>
          <cell r="G354">
            <v>0.86347665600000001</v>
          </cell>
          <cell r="H354">
            <v>3.9761759399999999E-2</v>
          </cell>
          <cell r="I354" t="str">
            <v>Motorcyclist</v>
          </cell>
          <cell r="J354" t="str">
            <v>2022/23</v>
          </cell>
        </row>
        <row r="355">
          <cell r="A355" t="str">
            <v>05 GISBORNE</v>
          </cell>
          <cell r="B355">
            <v>5</v>
          </cell>
          <cell r="C355">
            <v>2028</v>
          </cell>
          <cell r="D355">
            <v>3</v>
          </cell>
          <cell r="E355">
            <v>16</v>
          </cell>
          <cell r="F355">
            <v>0.14971215430000001</v>
          </cell>
          <cell r="G355">
            <v>0.77706692990000004</v>
          </cell>
          <cell r="H355">
            <v>3.51243958E-2</v>
          </cell>
          <cell r="I355" t="str">
            <v>Motorcyclist</v>
          </cell>
          <cell r="J355" t="str">
            <v>2027/28</v>
          </cell>
        </row>
        <row r="356">
          <cell r="A356" t="str">
            <v>05 GISBORNE</v>
          </cell>
          <cell r="B356">
            <v>5</v>
          </cell>
          <cell r="C356">
            <v>2033</v>
          </cell>
          <cell r="D356">
            <v>3</v>
          </cell>
          <cell r="E356">
            <v>16</v>
          </cell>
          <cell r="F356">
            <v>0.13077002670000001</v>
          </cell>
          <cell r="G356">
            <v>0.68142617589999999</v>
          </cell>
          <cell r="H356">
            <v>3.0847944299999999E-2</v>
          </cell>
          <cell r="I356" t="str">
            <v>Motorcyclist</v>
          </cell>
          <cell r="J356" t="str">
            <v>2032/33</v>
          </cell>
        </row>
        <row r="357">
          <cell r="A357" t="str">
            <v>05 GISBORNE</v>
          </cell>
          <cell r="B357">
            <v>5</v>
          </cell>
          <cell r="C357">
            <v>2038</v>
          </cell>
          <cell r="D357">
            <v>3</v>
          </cell>
          <cell r="E357">
            <v>16</v>
          </cell>
          <cell r="F357">
            <v>0.1149460833</v>
          </cell>
          <cell r="G357">
            <v>0.59209425569999996</v>
          </cell>
          <cell r="H357">
            <v>2.7184605800000001E-2</v>
          </cell>
          <cell r="I357" t="str">
            <v>Motorcyclist</v>
          </cell>
          <cell r="J357" t="str">
            <v>2037/38</v>
          </cell>
        </row>
        <row r="358">
          <cell r="A358" t="str">
            <v>05 GISBORNE</v>
          </cell>
          <cell r="B358">
            <v>5</v>
          </cell>
          <cell r="C358">
            <v>2043</v>
          </cell>
          <cell r="D358">
            <v>3</v>
          </cell>
          <cell r="E358">
            <v>16</v>
          </cell>
          <cell r="F358">
            <v>9.9504337999999998E-2</v>
          </cell>
          <cell r="G358">
            <v>0.50905765780000001</v>
          </cell>
          <cell r="H358">
            <v>2.3578624100000001E-2</v>
          </cell>
          <cell r="I358" t="str">
            <v>Motorcyclist</v>
          </cell>
          <cell r="J358" t="str">
            <v>2042/43</v>
          </cell>
        </row>
        <row r="359">
          <cell r="A359" t="str">
            <v>05 GISBORNE</v>
          </cell>
          <cell r="B359">
            <v>6</v>
          </cell>
          <cell r="C359">
            <v>2013</v>
          </cell>
          <cell r="D359">
            <v>1</v>
          </cell>
          <cell r="E359">
            <v>3</v>
          </cell>
          <cell r="F359">
            <v>2.2764127700000001E-2</v>
          </cell>
          <cell r="G359">
            <v>0</v>
          </cell>
          <cell r="H359">
            <v>2.5293475000000001E-3</v>
          </cell>
          <cell r="I359" t="str">
            <v>Local Train</v>
          </cell>
          <cell r="J359" t="str">
            <v>2012/13</v>
          </cell>
        </row>
        <row r="360">
          <cell r="A360" t="str">
            <v>05 GISBORNE</v>
          </cell>
          <cell r="B360">
            <v>6</v>
          </cell>
          <cell r="C360">
            <v>2018</v>
          </cell>
          <cell r="D360">
            <v>1</v>
          </cell>
          <cell r="E360">
            <v>3</v>
          </cell>
          <cell r="F360">
            <v>3.77778842E-2</v>
          </cell>
          <cell r="G360">
            <v>0</v>
          </cell>
          <cell r="H360">
            <v>4.1917867000000001E-3</v>
          </cell>
          <cell r="I360" t="str">
            <v>Local Train</v>
          </cell>
          <cell r="J360" t="str">
            <v>2017/18</v>
          </cell>
        </row>
        <row r="361">
          <cell r="A361" t="str">
            <v>05 GISBORNE</v>
          </cell>
          <cell r="B361">
            <v>6</v>
          </cell>
          <cell r="C361">
            <v>2023</v>
          </cell>
          <cell r="D361">
            <v>1</v>
          </cell>
          <cell r="E361">
            <v>3</v>
          </cell>
          <cell r="F361">
            <v>6.4978466799999995E-2</v>
          </cell>
          <cell r="G361">
            <v>0</v>
          </cell>
          <cell r="H361">
            <v>7.1981676000000003E-3</v>
          </cell>
          <cell r="I361" t="str">
            <v>Local Train</v>
          </cell>
          <cell r="J361" t="str">
            <v>2022/23</v>
          </cell>
        </row>
        <row r="362">
          <cell r="A362" t="str">
            <v>05 GISBORNE</v>
          </cell>
          <cell r="B362">
            <v>6</v>
          </cell>
          <cell r="C362">
            <v>2028</v>
          </cell>
          <cell r="D362">
            <v>1</v>
          </cell>
          <cell r="E362">
            <v>3</v>
          </cell>
          <cell r="F362">
            <v>0.105513359</v>
          </cell>
          <cell r="G362">
            <v>0</v>
          </cell>
          <cell r="H362">
            <v>1.1670417000000001E-2</v>
          </cell>
          <cell r="I362" t="str">
            <v>Local Train</v>
          </cell>
          <cell r="J362" t="str">
            <v>2027/28</v>
          </cell>
        </row>
        <row r="363">
          <cell r="A363" t="str">
            <v>05 GISBORNE</v>
          </cell>
          <cell r="B363">
            <v>6</v>
          </cell>
          <cell r="C363">
            <v>2033</v>
          </cell>
          <cell r="D363">
            <v>1</v>
          </cell>
          <cell r="E363">
            <v>3</v>
          </cell>
          <cell r="F363">
            <v>0.15251805830000001</v>
          </cell>
          <cell r="G363">
            <v>0</v>
          </cell>
          <cell r="H363">
            <v>1.68416079E-2</v>
          </cell>
          <cell r="I363" t="str">
            <v>Local Train</v>
          </cell>
          <cell r="J363" t="str">
            <v>2032/33</v>
          </cell>
        </row>
        <row r="364">
          <cell r="A364" t="str">
            <v>05 GISBORNE</v>
          </cell>
          <cell r="B364">
            <v>6</v>
          </cell>
          <cell r="C364">
            <v>2038</v>
          </cell>
          <cell r="D364">
            <v>1</v>
          </cell>
          <cell r="E364">
            <v>3</v>
          </cell>
          <cell r="F364">
            <v>0.1861490596</v>
          </cell>
          <cell r="G364">
            <v>0</v>
          </cell>
          <cell r="H364">
            <v>2.0515072499999999E-2</v>
          </cell>
          <cell r="I364" t="str">
            <v>Local Train</v>
          </cell>
          <cell r="J364" t="str">
            <v>2037/38</v>
          </cell>
        </row>
        <row r="365">
          <cell r="A365" t="str">
            <v>05 GISBORNE</v>
          </cell>
          <cell r="B365">
            <v>6</v>
          </cell>
          <cell r="C365">
            <v>2043</v>
          </cell>
          <cell r="D365">
            <v>1</v>
          </cell>
          <cell r="E365">
            <v>3</v>
          </cell>
          <cell r="F365">
            <v>0.22067698899999999</v>
          </cell>
          <cell r="G365">
            <v>0</v>
          </cell>
          <cell r="H365">
            <v>2.4274468800000001E-2</v>
          </cell>
          <cell r="I365" t="str">
            <v>Local Train</v>
          </cell>
          <cell r="J365" t="str">
            <v>2042/43</v>
          </cell>
        </row>
        <row r="366">
          <cell r="A366" t="str">
            <v>05 GISBORNE</v>
          </cell>
          <cell r="B366">
            <v>7</v>
          </cell>
          <cell r="C366">
            <v>2013</v>
          </cell>
          <cell r="D366">
            <v>18</v>
          </cell>
          <cell r="E366">
            <v>34</v>
          </cell>
          <cell r="F366">
            <v>0.39415976190000002</v>
          </cell>
          <cell r="G366">
            <v>4.8778387282000004</v>
          </cell>
          <cell r="H366">
            <v>0.17812381360000001</v>
          </cell>
          <cell r="I366" t="str">
            <v>Local Bus</v>
          </cell>
          <cell r="J366" t="str">
            <v>2012/13</v>
          </cell>
        </row>
        <row r="367">
          <cell r="A367" t="str">
            <v>05 GISBORNE</v>
          </cell>
          <cell r="B367">
            <v>7</v>
          </cell>
          <cell r="C367">
            <v>2018</v>
          </cell>
          <cell r="D367">
            <v>18</v>
          </cell>
          <cell r="E367">
            <v>34</v>
          </cell>
          <cell r="F367">
            <v>0.32561049520000002</v>
          </cell>
          <cell r="G367">
            <v>3.9560555215000002</v>
          </cell>
          <cell r="H367">
            <v>0.14737933010000001</v>
          </cell>
          <cell r="I367" t="str">
            <v>Local Bus</v>
          </cell>
          <cell r="J367" t="str">
            <v>2017/18</v>
          </cell>
        </row>
        <row r="368">
          <cell r="A368" t="str">
            <v>05 GISBORNE</v>
          </cell>
          <cell r="B368">
            <v>7</v>
          </cell>
          <cell r="C368">
            <v>2023</v>
          </cell>
          <cell r="D368">
            <v>18</v>
          </cell>
          <cell r="E368">
            <v>34</v>
          </cell>
          <cell r="F368">
            <v>0.30948882170000003</v>
          </cell>
          <cell r="G368">
            <v>3.6206602275000002</v>
          </cell>
          <cell r="H368">
            <v>0.1399183886</v>
          </cell>
          <cell r="I368" t="str">
            <v>Local Bus</v>
          </cell>
          <cell r="J368" t="str">
            <v>2022/23</v>
          </cell>
        </row>
        <row r="369">
          <cell r="A369" t="str">
            <v>05 GISBORNE</v>
          </cell>
          <cell r="B369">
            <v>7</v>
          </cell>
          <cell r="C369">
            <v>2028</v>
          </cell>
          <cell r="D369">
            <v>18</v>
          </cell>
          <cell r="E369">
            <v>34</v>
          </cell>
          <cell r="F369">
            <v>0.31035847319999998</v>
          </cell>
          <cell r="G369">
            <v>3.2354607871000001</v>
          </cell>
          <cell r="H369">
            <v>0.1383155388</v>
          </cell>
          <cell r="I369" t="str">
            <v>Local Bus</v>
          </cell>
          <cell r="J369" t="str">
            <v>2027/28</v>
          </cell>
        </row>
        <row r="370">
          <cell r="A370" t="str">
            <v>05 GISBORNE</v>
          </cell>
          <cell r="B370">
            <v>7</v>
          </cell>
          <cell r="C370">
            <v>2033</v>
          </cell>
          <cell r="D370">
            <v>18</v>
          </cell>
          <cell r="E370">
            <v>34</v>
          </cell>
          <cell r="F370">
            <v>0.32691121229999998</v>
          </cell>
          <cell r="G370">
            <v>2.8607936544000001</v>
          </cell>
          <cell r="H370">
            <v>0.1420258385</v>
          </cell>
          <cell r="I370" t="str">
            <v>Local Bus</v>
          </cell>
          <cell r="J370" t="str">
            <v>2032/33</v>
          </cell>
        </row>
        <row r="371">
          <cell r="A371" t="str">
            <v>05 GISBORNE</v>
          </cell>
          <cell r="B371">
            <v>7</v>
          </cell>
          <cell r="C371">
            <v>2038</v>
          </cell>
          <cell r="D371">
            <v>18</v>
          </cell>
          <cell r="E371">
            <v>34</v>
          </cell>
          <cell r="F371">
            <v>0.33939189320000002</v>
          </cell>
          <cell r="G371">
            <v>2.6895364703000002</v>
          </cell>
          <cell r="H371">
            <v>0.14740256860000001</v>
          </cell>
          <cell r="I371" t="str">
            <v>Local Bus</v>
          </cell>
          <cell r="J371" t="str">
            <v>2037/38</v>
          </cell>
        </row>
        <row r="372">
          <cell r="A372" t="str">
            <v>05 GISBORNE</v>
          </cell>
          <cell r="B372">
            <v>7</v>
          </cell>
          <cell r="C372">
            <v>2043</v>
          </cell>
          <cell r="D372">
            <v>18</v>
          </cell>
          <cell r="E372">
            <v>34</v>
          </cell>
          <cell r="F372">
            <v>0.35667972619999999</v>
          </cell>
          <cell r="G372">
            <v>2.5386672350000001</v>
          </cell>
          <cell r="H372">
            <v>0.1542887272</v>
          </cell>
          <cell r="I372" t="str">
            <v>Local Bus</v>
          </cell>
          <cell r="J372" t="str">
            <v>2042/43</v>
          </cell>
        </row>
        <row r="373">
          <cell r="A373" t="str">
            <v>05 GISBORNE</v>
          </cell>
          <cell r="B373">
            <v>8</v>
          </cell>
          <cell r="C373">
            <v>2013</v>
          </cell>
          <cell r="D373">
            <v>1</v>
          </cell>
          <cell r="E373">
            <v>2</v>
          </cell>
          <cell r="F373">
            <v>1.5651153399999999E-2</v>
          </cell>
          <cell r="G373">
            <v>0</v>
          </cell>
          <cell r="H373">
            <v>6.5213138999999998E-3</v>
          </cell>
          <cell r="I373" t="str">
            <v>Local Ferry</v>
          </cell>
          <cell r="J373" t="str">
            <v>2012/13</v>
          </cell>
        </row>
        <row r="374">
          <cell r="A374" t="str">
            <v>05 GISBORNE</v>
          </cell>
          <cell r="B374">
            <v>8</v>
          </cell>
          <cell r="C374">
            <v>2018</v>
          </cell>
          <cell r="D374">
            <v>1</v>
          </cell>
          <cell r="E374">
            <v>2</v>
          </cell>
          <cell r="F374">
            <v>1.4467232E-2</v>
          </cell>
          <cell r="G374">
            <v>0</v>
          </cell>
          <cell r="H374">
            <v>6.0280133000000001E-3</v>
          </cell>
          <cell r="I374" t="str">
            <v>Local Ferry</v>
          </cell>
          <cell r="J374" t="str">
            <v>2017/18</v>
          </cell>
        </row>
        <row r="375">
          <cell r="A375" t="str">
            <v>05 GISBORNE</v>
          </cell>
          <cell r="B375">
            <v>8</v>
          </cell>
          <cell r="C375">
            <v>2023</v>
          </cell>
          <cell r="D375">
            <v>1</v>
          </cell>
          <cell r="E375">
            <v>2</v>
          </cell>
          <cell r="F375">
            <v>1.31863398E-2</v>
          </cell>
          <cell r="G375">
            <v>0</v>
          </cell>
          <cell r="H375">
            <v>5.4943081999999999E-3</v>
          </cell>
          <cell r="I375" t="str">
            <v>Local Ferry</v>
          </cell>
          <cell r="J375" t="str">
            <v>2022/23</v>
          </cell>
        </row>
        <row r="376">
          <cell r="A376" t="str">
            <v>05 GISBORNE</v>
          </cell>
          <cell r="B376">
            <v>8</v>
          </cell>
          <cell r="C376">
            <v>2028</v>
          </cell>
          <cell r="D376">
            <v>1</v>
          </cell>
          <cell r="E376">
            <v>2</v>
          </cell>
          <cell r="F376">
            <v>1.3009267E-2</v>
          </cell>
          <cell r="G376">
            <v>0</v>
          </cell>
          <cell r="H376">
            <v>5.4205279000000004E-3</v>
          </cell>
          <cell r="I376" t="str">
            <v>Local Ferry</v>
          </cell>
          <cell r="J376" t="str">
            <v>2027/28</v>
          </cell>
        </row>
        <row r="377">
          <cell r="A377" t="str">
            <v>05 GISBORNE</v>
          </cell>
          <cell r="B377">
            <v>8</v>
          </cell>
          <cell r="C377">
            <v>2033</v>
          </cell>
          <cell r="D377">
            <v>1</v>
          </cell>
          <cell r="E377">
            <v>2</v>
          </cell>
          <cell r="F377">
            <v>1.4411093E-2</v>
          </cell>
          <cell r="G377">
            <v>0</v>
          </cell>
          <cell r="H377">
            <v>6.0046220999999999E-3</v>
          </cell>
          <cell r="I377" t="str">
            <v>Local Ferry</v>
          </cell>
          <cell r="J377" t="str">
            <v>2032/33</v>
          </cell>
        </row>
        <row r="378">
          <cell r="A378" t="str">
            <v>05 GISBORNE</v>
          </cell>
          <cell r="B378">
            <v>8</v>
          </cell>
          <cell r="C378">
            <v>2038</v>
          </cell>
          <cell r="D378">
            <v>1</v>
          </cell>
          <cell r="E378">
            <v>2</v>
          </cell>
          <cell r="F378">
            <v>1.7040618300000001E-2</v>
          </cell>
          <cell r="G378">
            <v>0</v>
          </cell>
          <cell r="H378">
            <v>7.1002575999999998E-3</v>
          </cell>
          <cell r="I378" t="str">
            <v>Local Ferry</v>
          </cell>
          <cell r="J378" t="str">
            <v>2037/38</v>
          </cell>
        </row>
        <row r="379">
          <cell r="A379" t="str">
            <v>05 GISBORNE</v>
          </cell>
          <cell r="B379">
            <v>8</v>
          </cell>
          <cell r="C379">
            <v>2043</v>
          </cell>
          <cell r="D379">
            <v>1</v>
          </cell>
          <cell r="E379">
            <v>2</v>
          </cell>
          <cell r="F379">
            <v>1.9717857200000001E-2</v>
          </cell>
          <cell r="G379">
            <v>0</v>
          </cell>
          <cell r="H379">
            <v>8.2157737999999994E-3</v>
          </cell>
          <cell r="I379" t="str">
            <v>Local Ferry</v>
          </cell>
          <cell r="J379" t="str">
            <v>2042/43</v>
          </cell>
        </row>
        <row r="380">
          <cell r="A380" t="str">
            <v>05 GISBORNE</v>
          </cell>
          <cell r="B380">
            <v>9</v>
          </cell>
          <cell r="C380">
            <v>2013</v>
          </cell>
          <cell r="D380">
            <v>1</v>
          </cell>
          <cell r="E380">
            <v>2</v>
          </cell>
          <cell r="F380">
            <v>3.13358953E-2</v>
          </cell>
          <cell r="G380">
            <v>0</v>
          </cell>
          <cell r="H380">
            <v>5.2226492000000003E-3</v>
          </cell>
          <cell r="I380" t="str">
            <v>Other Household Travel</v>
          </cell>
          <cell r="J380" t="str">
            <v>2012/13</v>
          </cell>
        </row>
        <row r="381">
          <cell r="A381" t="str">
            <v>05 GISBORNE</v>
          </cell>
          <cell r="B381">
            <v>9</v>
          </cell>
          <cell r="C381">
            <v>2018</v>
          </cell>
          <cell r="D381">
            <v>1</v>
          </cell>
          <cell r="E381">
            <v>2</v>
          </cell>
          <cell r="F381">
            <v>2.3792926799999999E-2</v>
          </cell>
          <cell r="G381">
            <v>0</v>
          </cell>
          <cell r="H381">
            <v>3.9654877999999996E-3</v>
          </cell>
          <cell r="I381" t="str">
            <v>Other Household Travel</v>
          </cell>
          <cell r="J381" t="str">
            <v>2017/18</v>
          </cell>
        </row>
        <row r="382">
          <cell r="A382" t="str">
            <v>05 GISBORNE</v>
          </cell>
          <cell r="B382">
            <v>9</v>
          </cell>
          <cell r="C382">
            <v>2023</v>
          </cell>
          <cell r="D382">
            <v>1</v>
          </cell>
          <cell r="E382">
            <v>2</v>
          </cell>
          <cell r="F382">
            <v>1.7145705899999999E-2</v>
          </cell>
          <cell r="G382">
            <v>0</v>
          </cell>
          <cell r="H382">
            <v>2.8576177E-3</v>
          </cell>
          <cell r="I382" t="str">
            <v>Other Household Travel</v>
          </cell>
          <cell r="J382" t="str">
            <v>2022/23</v>
          </cell>
        </row>
        <row r="383">
          <cell r="A383" t="str">
            <v>05 GISBORNE</v>
          </cell>
          <cell r="B383">
            <v>9</v>
          </cell>
          <cell r="C383">
            <v>2028</v>
          </cell>
          <cell r="D383">
            <v>1</v>
          </cell>
          <cell r="E383">
            <v>2</v>
          </cell>
          <cell r="F383">
            <v>1.31948359E-2</v>
          </cell>
          <cell r="G383">
            <v>0</v>
          </cell>
          <cell r="H383">
            <v>2.1991392999999998E-3</v>
          </cell>
          <cell r="I383" t="str">
            <v>Other Household Travel</v>
          </cell>
          <cell r="J383" t="str">
            <v>2027/28</v>
          </cell>
        </row>
        <row r="384">
          <cell r="A384" t="str">
            <v>05 GISBORNE</v>
          </cell>
          <cell r="B384">
            <v>9</v>
          </cell>
          <cell r="C384">
            <v>2033</v>
          </cell>
          <cell r="D384">
            <v>1</v>
          </cell>
          <cell r="E384">
            <v>2</v>
          </cell>
          <cell r="F384">
            <v>9.4502109000000004E-3</v>
          </cell>
          <cell r="G384">
            <v>0</v>
          </cell>
          <cell r="H384">
            <v>1.5750351000000001E-3</v>
          </cell>
          <cell r="I384" t="str">
            <v>Other Household Travel</v>
          </cell>
          <cell r="J384" t="str">
            <v>2032/33</v>
          </cell>
        </row>
        <row r="385">
          <cell r="A385" t="str">
            <v>05 GISBORNE</v>
          </cell>
          <cell r="B385">
            <v>9</v>
          </cell>
          <cell r="C385">
            <v>2038</v>
          </cell>
          <cell r="D385">
            <v>1</v>
          </cell>
          <cell r="E385">
            <v>2</v>
          </cell>
          <cell r="F385">
            <v>5.6836604999999998E-3</v>
          </cell>
          <cell r="G385">
            <v>0</v>
          </cell>
          <cell r="H385">
            <v>9.4727669999999996E-4</v>
          </cell>
          <cell r="I385" t="str">
            <v>Other Household Travel</v>
          </cell>
          <cell r="J385" t="str">
            <v>2037/38</v>
          </cell>
        </row>
        <row r="386">
          <cell r="A386" t="str">
            <v>05 GISBORNE</v>
          </cell>
          <cell r="B386">
            <v>9</v>
          </cell>
          <cell r="C386">
            <v>2043</v>
          </cell>
          <cell r="D386">
            <v>1</v>
          </cell>
          <cell r="E386">
            <v>2</v>
          </cell>
          <cell r="F386">
            <v>3.1182524999999999E-3</v>
          </cell>
          <cell r="G386">
            <v>0</v>
          </cell>
          <cell r="H386">
            <v>5.1970879999999997E-4</v>
          </cell>
          <cell r="I386" t="str">
            <v>Other Household Travel</v>
          </cell>
          <cell r="J386" t="str">
            <v>2042/43</v>
          </cell>
        </row>
        <row r="387">
          <cell r="A387" t="str">
            <v>05 GISBORNE</v>
          </cell>
          <cell r="B387">
            <v>10</v>
          </cell>
          <cell r="C387">
            <v>2013</v>
          </cell>
          <cell r="D387">
            <v>12</v>
          </cell>
          <cell r="E387">
            <v>20</v>
          </cell>
          <cell r="F387">
            <v>0.31271654580000002</v>
          </cell>
          <cell r="G387">
            <v>23.012948782999999</v>
          </cell>
          <cell r="H387">
            <v>0.66485160600000004</v>
          </cell>
          <cell r="I387" t="str">
            <v>Air/Non-Local PT</v>
          </cell>
          <cell r="J387" t="str">
            <v>2012/13</v>
          </cell>
        </row>
        <row r="388">
          <cell r="A388" t="str">
            <v>05 GISBORNE</v>
          </cell>
          <cell r="B388">
            <v>10</v>
          </cell>
          <cell r="C388">
            <v>2018</v>
          </cell>
          <cell r="D388">
            <v>12</v>
          </cell>
          <cell r="E388">
            <v>20</v>
          </cell>
          <cell r="F388">
            <v>0.2952591222</v>
          </cell>
          <cell r="G388">
            <v>21.703982919000001</v>
          </cell>
          <cell r="H388">
            <v>0.61755028960000002</v>
          </cell>
          <cell r="I388" t="str">
            <v>Air/Non-Local PT</v>
          </cell>
          <cell r="J388" t="str">
            <v>2017/18</v>
          </cell>
        </row>
        <row r="389">
          <cell r="A389" t="str">
            <v>05 GISBORNE</v>
          </cell>
          <cell r="B389">
            <v>10</v>
          </cell>
          <cell r="C389">
            <v>2023</v>
          </cell>
          <cell r="D389">
            <v>12</v>
          </cell>
          <cell r="E389">
            <v>20</v>
          </cell>
          <cell r="F389">
            <v>0.2940768165</v>
          </cell>
          <cell r="G389">
            <v>21.088433228</v>
          </cell>
          <cell r="H389">
            <v>0.60327027649999998</v>
          </cell>
          <cell r="I389" t="str">
            <v>Air/Non-Local PT</v>
          </cell>
          <cell r="J389" t="str">
            <v>2022/23</v>
          </cell>
        </row>
        <row r="390">
          <cell r="A390" t="str">
            <v>05 GISBORNE</v>
          </cell>
          <cell r="B390">
            <v>10</v>
          </cell>
          <cell r="C390">
            <v>2028</v>
          </cell>
          <cell r="D390">
            <v>12</v>
          </cell>
          <cell r="E390">
            <v>20</v>
          </cell>
          <cell r="F390">
            <v>0.29857858809999999</v>
          </cell>
          <cell r="G390">
            <v>20.307054149999999</v>
          </cell>
          <cell r="H390">
            <v>0.5968311932</v>
          </cell>
          <cell r="I390" t="str">
            <v>Air/Non-Local PT</v>
          </cell>
          <cell r="J390" t="str">
            <v>2027/28</v>
          </cell>
        </row>
        <row r="391">
          <cell r="A391" t="str">
            <v>05 GISBORNE</v>
          </cell>
          <cell r="B391">
            <v>10</v>
          </cell>
          <cell r="C391">
            <v>2033</v>
          </cell>
          <cell r="D391">
            <v>12</v>
          </cell>
          <cell r="E391">
            <v>20</v>
          </cell>
          <cell r="F391">
            <v>0.30372182130000003</v>
          </cell>
          <cell r="G391">
            <v>19.612375862</v>
          </cell>
          <cell r="H391">
            <v>0.59133466879999996</v>
          </cell>
          <cell r="I391" t="str">
            <v>Air/Non-Local PT</v>
          </cell>
          <cell r="J391" t="str">
            <v>2032/33</v>
          </cell>
        </row>
        <row r="392">
          <cell r="A392" t="str">
            <v>05 GISBORNE</v>
          </cell>
          <cell r="B392">
            <v>10</v>
          </cell>
          <cell r="C392">
            <v>2038</v>
          </cell>
          <cell r="D392">
            <v>12</v>
          </cell>
          <cell r="E392">
            <v>20</v>
          </cell>
          <cell r="F392">
            <v>0.30360431180000003</v>
          </cell>
          <cell r="G392">
            <v>19.172497795000002</v>
          </cell>
          <cell r="H392">
            <v>0.57751973020000003</v>
          </cell>
          <cell r="I392" t="str">
            <v>Air/Non-Local PT</v>
          </cell>
          <cell r="J392" t="str">
            <v>2037/38</v>
          </cell>
        </row>
        <row r="393">
          <cell r="A393" t="str">
            <v>05 GISBORNE</v>
          </cell>
          <cell r="B393">
            <v>10</v>
          </cell>
          <cell r="C393">
            <v>2043</v>
          </cell>
          <cell r="D393">
            <v>12</v>
          </cell>
          <cell r="E393">
            <v>20</v>
          </cell>
          <cell r="F393">
            <v>0.3059667197</v>
          </cell>
          <cell r="G393">
            <v>18.802244043999998</v>
          </cell>
          <cell r="H393">
            <v>0.56814199809999999</v>
          </cell>
          <cell r="I393" t="str">
            <v>Air/Non-Local PT</v>
          </cell>
          <cell r="J393" t="str">
            <v>2042/43</v>
          </cell>
        </row>
        <row r="394">
          <cell r="A394" t="str">
            <v>05 GISBORNE</v>
          </cell>
          <cell r="B394">
            <v>11</v>
          </cell>
          <cell r="C394">
            <v>2013</v>
          </cell>
          <cell r="D394">
            <v>8</v>
          </cell>
          <cell r="E394">
            <v>22</v>
          </cell>
          <cell r="F394">
            <v>0.24434687620000001</v>
          </cell>
          <cell r="G394">
            <v>9.0032605469</v>
          </cell>
          <cell r="H394">
            <v>0.1991820503</v>
          </cell>
          <cell r="I394" t="str">
            <v>Non-Household Travel</v>
          </cell>
          <cell r="J394" t="str">
            <v>2012/13</v>
          </cell>
        </row>
        <row r="395">
          <cell r="A395" t="str">
            <v>05 GISBORNE</v>
          </cell>
          <cell r="B395">
            <v>11</v>
          </cell>
          <cell r="C395">
            <v>2018</v>
          </cell>
          <cell r="D395">
            <v>8</v>
          </cell>
          <cell r="E395">
            <v>22</v>
          </cell>
          <cell r="F395">
            <v>0.25207000619999997</v>
          </cell>
          <cell r="G395">
            <v>8.9857057945999994</v>
          </cell>
          <cell r="H395">
            <v>0.1983831412</v>
          </cell>
          <cell r="I395" t="str">
            <v>Non-Household Travel</v>
          </cell>
          <cell r="J395" t="str">
            <v>2017/18</v>
          </cell>
        </row>
        <row r="396">
          <cell r="A396" t="str">
            <v>05 GISBORNE</v>
          </cell>
          <cell r="B396">
            <v>11</v>
          </cell>
          <cell r="C396">
            <v>2023</v>
          </cell>
          <cell r="D396">
            <v>8</v>
          </cell>
          <cell r="E396">
            <v>22</v>
          </cell>
          <cell r="F396">
            <v>0.27057232959999999</v>
          </cell>
          <cell r="G396">
            <v>9.2325790056999999</v>
          </cell>
          <cell r="H396">
            <v>0.20550869159999999</v>
          </cell>
          <cell r="I396" t="str">
            <v>Non-Household Travel</v>
          </cell>
          <cell r="J396" t="str">
            <v>2022/23</v>
          </cell>
        </row>
        <row r="397">
          <cell r="A397" t="str">
            <v>05 GISBORNE</v>
          </cell>
          <cell r="B397">
            <v>11</v>
          </cell>
          <cell r="C397">
            <v>2028</v>
          </cell>
          <cell r="D397">
            <v>8</v>
          </cell>
          <cell r="E397">
            <v>22</v>
          </cell>
          <cell r="F397">
            <v>0.26407965709999998</v>
          </cell>
          <cell r="G397">
            <v>8.6011114134</v>
          </cell>
          <cell r="H397">
            <v>0.1933502825</v>
          </cell>
          <cell r="I397" t="str">
            <v>Non-Household Travel</v>
          </cell>
          <cell r="J397" t="str">
            <v>2027/28</v>
          </cell>
        </row>
        <row r="398">
          <cell r="A398" t="str">
            <v>05 GISBORNE</v>
          </cell>
          <cell r="B398">
            <v>11</v>
          </cell>
          <cell r="C398">
            <v>2033</v>
          </cell>
          <cell r="D398">
            <v>8</v>
          </cell>
          <cell r="E398">
            <v>22</v>
          </cell>
          <cell r="F398">
            <v>0.2556355119</v>
          </cell>
          <cell r="G398">
            <v>7.6257574034999998</v>
          </cell>
          <cell r="H398">
            <v>0.17626418069999999</v>
          </cell>
          <cell r="I398" t="str">
            <v>Non-Household Travel</v>
          </cell>
          <cell r="J398" t="str">
            <v>2032/33</v>
          </cell>
        </row>
        <row r="399">
          <cell r="A399" t="str">
            <v>05 GISBORNE</v>
          </cell>
          <cell r="B399">
            <v>11</v>
          </cell>
          <cell r="C399">
            <v>2038</v>
          </cell>
          <cell r="D399">
            <v>8</v>
          </cell>
          <cell r="E399">
            <v>22</v>
          </cell>
          <cell r="F399">
            <v>0.25158420240000001</v>
          </cell>
          <cell r="G399">
            <v>6.5977799710999996</v>
          </cell>
          <cell r="H399">
            <v>0.16000818999999999</v>
          </cell>
          <cell r="I399" t="str">
            <v>Non-Household Travel</v>
          </cell>
          <cell r="J399" t="str">
            <v>2037/38</v>
          </cell>
        </row>
        <row r="400">
          <cell r="A400" t="str">
            <v>05 GISBORNE</v>
          </cell>
          <cell r="B400">
            <v>11</v>
          </cell>
          <cell r="C400">
            <v>2043</v>
          </cell>
          <cell r="D400">
            <v>8</v>
          </cell>
          <cell r="E400">
            <v>22</v>
          </cell>
          <cell r="F400">
            <v>0.2493582258</v>
          </cell>
          <cell r="G400">
            <v>5.6724947164000001</v>
          </cell>
          <cell r="H400">
            <v>0.14561966740000001</v>
          </cell>
          <cell r="I400" t="str">
            <v>Non-Household Travel</v>
          </cell>
          <cell r="J400" t="str">
            <v>2042/43</v>
          </cell>
        </row>
        <row r="401">
          <cell r="A401" t="str">
            <v>06 HAWKE`S BAY</v>
          </cell>
          <cell r="B401">
            <v>0</v>
          </cell>
          <cell r="C401">
            <v>2013</v>
          </cell>
          <cell r="D401">
            <v>221</v>
          </cell>
          <cell r="E401">
            <v>754</v>
          </cell>
          <cell r="F401">
            <v>26.538300281000001</v>
          </cell>
          <cell r="G401">
            <v>22.691613215</v>
          </cell>
          <cell r="H401">
            <v>5.9462513095</v>
          </cell>
          <cell r="I401" t="str">
            <v>Pedestrian</v>
          </cell>
          <cell r="J401" t="str">
            <v>2012/13</v>
          </cell>
        </row>
        <row r="402">
          <cell r="A402" t="str">
            <v>06 HAWKE`S BAY</v>
          </cell>
          <cell r="B402">
            <v>0</v>
          </cell>
          <cell r="C402">
            <v>2018</v>
          </cell>
          <cell r="D402">
            <v>221</v>
          </cell>
          <cell r="E402">
            <v>754</v>
          </cell>
          <cell r="F402">
            <v>25.790480690999999</v>
          </cell>
          <cell r="G402">
            <v>21.746599830000001</v>
          </cell>
          <cell r="H402">
            <v>5.6967903254000003</v>
          </cell>
          <cell r="I402" t="str">
            <v>Pedestrian</v>
          </cell>
          <cell r="J402" t="str">
            <v>2017/18</v>
          </cell>
        </row>
        <row r="403">
          <cell r="A403" t="str">
            <v>06 HAWKE`S BAY</v>
          </cell>
          <cell r="B403">
            <v>0</v>
          </cell>
          <cell r="C403">
            <v>2023</v>
          </cell>
          <cell r="D403">
            <v>221</v>
          </cell>
          <cell r="E403">
            <v>754</v>
          </cell>
          <cell r="F403">
            <v>27.202256567999999</v>
          </cell>
          <cell r="G403">
            <v>22.596554269999999</v>
          </cell>
          <cell r="H403">
            <v>5.9482388637000003</v>
          </cell>
          <cell r="I403" t="str">
            <v>Pedestrian</v>
          </cell>
          <cell r="J403" t="str">
            <v>2022/23</v>
          </cell>
        </row>
        <row r="404">
          <cell r="A404" t="str">
            <v>06 HAWKE`S BAY</v>
          </cell>
          <cell r="B404">
            <v>0</v>
          </cell>
          <cell r="C404">
            <v>2028</v>
          </cell>
          <cell r="D404">
            <v>221</v>
          </cell>
          <cell r="E404">
            <v>754</v>
          </cell>
          <cell r="F404">
            <v>26.611566149000002</v>
          </cell>
          <cell r="G404">
            <v>22.121791979000001</v>
          </cell>
          <cell r="H404">
            <v>5.7677316062999999</v>
          </cell>
          <cell r="I404" t="str">
            <v>Pedestrian</v>
          </cell>
          <cell r="J404" t="str">
            <v>2027/28</v>
          </cell>
        </row>
        <row r="405">
          <cell r="A405" t="str">
            <v>06 HAWKE`S BAY</v>
          </cell>
          <cell r="B405">
            <v>0</v>
          </cell>
          <cell r="C405">
            <v>2033</v>
          </cell>
          <cell r="D405">
            <v>221</v>
          </cell>
          <cell r="E405">
            <v>754</v>
          </cell>
          <cell r="F405">
            <v>25.634795661999998</v>
          </cell>
          <cell r="G405">
            <v>21.554506726</v>
          </cell>
          <cell r="H405">
            <v>5.5624385375000003</v>
          </cell>
          <cell r="I405" t="str">
            <v>Pedestrian</v>
          </cell>
          <cell r="J405" t="str">
            <v>2032/33</v>
          </cell>
        </row>
        <row r="406">
          <cell r="A406" t="str">
            <v>06 HAWKE`S BAY</v>
          </cell>
          <cell r="B406">
            <v>0</v>
          </cell>
          <cell r="C406">
            <v>2038</v>
          </cell>
          <cell r="D406">
            <v>221</v>
          </cell>
          <cell r="E406">
            <v>754</v>
          </cell>
          <cell r="F406">
            <v>24.606867941000001</v>
          </cell>
          <cell r="G406">
            <v>21.142325306</v>
          </cell>
          <cell r="H406">
            <v>5.3943456775999996</v>
          </cell>
          <cell r="I406" t="str">
            <v>Pedestrian</v>
          </cell>
          <cell r="J406" t="str">
            <v>2037/38</v>
          </cell>
        </row>
        <row r="407">
          <cell r="A407" t="str">
            <v>06 HAWKE`S BAY</v>
          </cell>
          <cell r="B407">
            <v>0</v>
          </cell>
          <cell r="C407">
            <v>2043</v>
          </cell>
          <cell r="D407">
            <v>221</v>
          </cell>
          <cell r="E407">
            <v>754</v>
          </cell>
          <cell r="F407">
            <v>23.519077129999999</v>
          </cell>
          <cell r="G407">
            <v>20.689245753000002</v>
          </cell>
          <cell r="H407">
            <v>5.2241302718</v>
          </cell>
          <cell r="I407" t="str">
            <v>Pedestrian</v>
          </cell>
          <cell r="J407" t="str">
            <v>2042/43</v>
          </cell>
        </row>
        <row r="408">
          <cell r="A408" t="str">
            <v>06 HAWKE`S BAY</v>
          </cell>
          <cell r="B408">
            <v>1</v>
          </cell>
          <cell r="C408">
            <v>2013</v>
          </cell>
          <cell r="D408">
            <v>30</v>
          </cell>
          <cell r="E408">
            <v>93</v>
          </cell>
          <cell r="F408">
            <v>3.1819840940000002</v>
          </cell>
          <cell r="G408">
            <v>9.5482363540000001</v>
          </cell>
          <cell r="H408">
            <v>0.88401106659999995</v>
          </cell>
          <cell r="I408" t="str">
            <v>Cyclist</v>
          </cell>
          <cell r="J408" t="str">
            <v>2012/13</v>
          </cell>
        </row>
        <row r="409">
          <cell r="A409" t="str">
            <v>06 HAWKE`S BAY</v>
          </cell>
          <cell r="B409">
            <v>1</v>
          </cell>
          <cell r="C409">
            <v>2018</v>
          </cell>
          <cell r="D409">
            <v>30</v>
          </cell>
          <cell r="E409">
            <v>93</v>
          </cell>
          <cell r="F409">
            <v>3.0986368579999999</v>
          </cell>
          <cell r="G409">
            <v>9.5686196717000005</v>
          </cell>
          <cell r="H409">
            <v>0.88773321140000006</v>
          </cell>
          <cell r="I409" t="str">
            <v>Cyclist</v>
          </cell>
          <cell r="J409" t="str">
            <v>2017/18</v>
          </cell>
        </row>
        <row r="410">
          <cell r="A410" t="str">
            <v>06 HAWKE`S BAY</v>
          </cell>
          <cell r="B410">
            <v>1</v>
          </cell>
          <cell r="C410">
            <v>2023</v>
          </cell>
          <cell r="D410">
            <v>30</v>
          </cell>
          <cell r="E410">
            <v>93</v>
          </cell>
          <cell r="F410">
            <v>3.2697771376000002</v>
          </cell>
          <cell r="G410">
            <v>10.3123857</v>
          </cell>
          <cell r="H410">
            <v>0.94579678869999995</v>
          </cell>
          <cell r="I410" t="str">
            <v>Cyclist</v>
          </cell>
          <cell r="J410" t="str">
            <v>2022/23</v>
          </cell>
        </row>
        <row r="411">
          <cell r="A411" t="str">
            <v>06 HAWKE`S BAY</v>
          </cell>
          <cell r="B411">
            <v>1</v>
          </cell>
          <cell r="C411">
            <v>2028</v>
          </cell>
          <cell r="D411">
            <v>30</v>
          </cell>
          <cell r="E411">
            <v>93</v>
          </cell>
          <cell r="F411">
            <v>3.2775508490999998</v>
          </cell>
          <cell r="G411">
            <v>10.561035244999999</v>
          </cell>
          <cell r="H411">
            <v>0.96778292560000001</v>
          </cell>
          <cell r="I411" t="str">
            <v>Cyclist</v>
          </cell>
          <cell r="J411" t="str">
            <v>2027/28</v>
          </cell>
        </row>
        <row r="412">
          <cell r="A412" t="str">
            <v>06 HAWKE`S BAY</v>
          </cell>
          <cell r="B412">
            <v>1</v>
          </cell>
          <cell r="C412">
            <v>2033</v>
          </cell>
          <cell r="D412">
            <v>30</v>
          </cell>
          <cell r="E412">
            <v>93</v>
          </cell>
          <cell r="F412">
            <v>3.1906249385000001</v>
          </cell>
          <cell r="G412">
            <v>10.720975509000001</v>
          </cell>
          <cell r="H412">
            <v>0.9788395848</v>
          </cell>
          <cell r="I412" t="str">
            <v>Cyclist</v>
          </cell>
          <cell r="J412" t="str">
            <v>2032/33</v>
          </cell>
        </row>
        <row r="413">
          <cell r="A413" t="str">
            <v>06 HAWKE`S BAY</v>
          </cell>
          <cell r="B413">
            <v>1</v>
          </cell>
          <cell r="C413">
            <v>2038</v>
          </cell>
          <cell r="D413">
            <v>30</v>
          </cell>
          <cell r="E413">
            <v>93</v>
          </cell>
          <cell r="F413">
            <v>3.1018794663000002</v>
          </cell>
          <cell r="G413">
            <v>10.588288277</v>
          </cell>
          <cell r="H413">
            <v>0.97666469769999997</v>
          </cell>
          <cell r="I413" t="str">
            <v>Cyclist</v>
          </cell>
          <cell r="J413" t="str">
            <v>2037/38</v>
          </cell>
        </row>
        <row r="414">
          <cell r="A414" t="str">
            <v>06 HAWKE`S BAY</v>
          </cell>
          <cell r="B414">
            <v>1</v>
          </cell>
          <cell r="C414">
            <v>2043</v>
          </cell>
          <cell r="D414">
            <v>30</v>
          </cell>
          <cell r="E414">
            <v>93</v>
          </cell>
          <cell r="F414">
            <v>2.9833470930999999</v>
          </cell>
          <cell r="G414">
            <v>10.343207591000001</v>
          </cell>
          <cell r="H414">
            <v>0.96497309519999996</v>
          </cell>
          <cell r="I414" t="str">
            <v>Cyclist</v>
          </cell>
          <cell r="J414" t="str">
            <v>2042/43</v>
          </cell>
        </row>
        <row r="415">
          <cell r="A415" t="str">
            <v>06 HAWKE`S BAY</v>
          </cell>
          <cell r="B415">
            <v>2</v>
          </cell>
          <cell r="C415">
            <v>2013</v>
          </cell>
          <cell r="D415">
            <v>446</v>
          </cell>
          <cell r="E415">
            <v>3171</v>
          </cell>
          <cell r="F415">
            <v>111.16933473</v>
          </cell>
          <cell r="G415">
            <v>1001.7566771</v>
          </cell>
          <cell r="H415">
            <v>25.377986313000001</v>
          </cell>
          <cell r="I415" t="str">
            <v>Light Vehicle Driver</v>
          </cell>
          <cell r="J415" t="str">
            <v>2012/13</v>
          </cell>
        </row>
        <row r="416">
          <cell r="A416" t="str">
            <v>06 HAWKE`S BAY</v>
          </cell>
          <cell r="B416">
            <v>2</v>
          </cell>
          <cell r="C416">
            <v>2018</v>
          </cell>
          <cell r="D416">
            <v>446</v>
          </cell>
          <cell r="E416">
            <v>3171</v>
          </cell>
          <cell r="F416">
            <v>110.15783963</v>
          </cell>
          <cell r="G416">
            <v>1001.2096487</v>
          </cell>
          <cell r="H416">
            <v>25.281594783999999</v>
          </cell>
          <cell r="I416" t="str">
            <v>Light Vehicle Driver</v>
          </cell>
          <cell r="J416" t="str">
            <v>2017/18</v>
          </cell>
        </row>
        <row r="417">
          <cell r="A417" t="str">
            <v>06 HAWKE`S BAY</v>
          </cell>
          <cell r="B417">
            <v>2</v>
          </cell>
          <cell r="C417">
            <v>2023</v>
          </cell>
          <cell r="D417">
            <v>446</v>
          </cell>
          <cell r="E417">
            <v>3171</v>
          </cell>
          <cell r="F417">
            <v>117.14312771</v>
          </cell>
          <cell r="G417">
            <v>1072.1660652999999</v>
          </cell>
          <cell r="H417">
            <v>27.041360605000001</v>
          </cell>
          <cell r="I417" t="str">
            <v>Light Vehicle Driver</v>
          </cell>
          <cell r="J417" t="str">
            <v>2022/23</v>
          </cell>
        </row>
        <row r="418">
          <cell r="A418" t="str">
            <v>06 HAWKE`S BAY</v>
          </cell>
          <cell r="B418">
            <v>2</v>
          </cell>
          <cell r="C418">
            <v>2028</v>
          </cell>
          <cell r="D418">
            <v>446</v>
          </cell>
          <cell r="E418">
            <v>3171</v>
          </cell>
          <cell r="F418">
            <v>119.72515236</v>
          </cell>
          <cell r="G418">
            <v>1102.3103787</v>
          </cell>
          <cell r="H418">
            <v>27.810910332999999</v>
          </cell>
          <cell r="I418" t="str">
            <v>Light Vehicle Driver</v>
          </cell>
          <cell r="J418" t="str">
            <v>2027/28</v>
          </cell>
        </row>
        <row r="419">
          <cell r="A419" t="str">
            <v>06 HAWKE`S BAY</v>
          </cell>
          <cell r="B419">
            <v>2</v>
          </cell>
          <cell r="C419">
            <v>2033</v>
          </cell>
          <cell r="D419">
            <v>446</v>
          </cell>
          <cell r="E419">
            <v>3171</v>
          </cell>
          <cell r="F419">
            <v>120.71939752</v>
          </cell>
          <cell r="G419">
            <v>1116.1093768000001</v>
          </cell>
          <cell r="H419">
            <v>28.171041206999998</v>
          </cell>
          <cell r="I419" t="str">
            <v>Light Vehicle Driver</v>
          </cell>
          <cell r="J419" t="str">
            <v>2032/33</v>
          </cell>
        </row>
        <row r="420">
          <cell r="A420" t="str">
            <v>06 HAWKE`S BAY</v>
          </cell>
          <cell r="B420">
            <v>2</v>
          </cell>
          <cell r="C420">
            <v>2038</v>
          </cell>
          <cell r="D420">
            <v>446</v>
          </cell>
          <cell r="E420">
            <v>3171</v>
          </cell>
          <cell r="F420">
            <v>119.48841401</v>
          </cell>
          <cell r="G420">
            <v>1106.1066840000001</v>
          </cell>
          <cell r="H420">
            <v>27.96309269</v>
          </cell>
          <cell r="I420" t="str">
            <v>Light Vehicle Driver</v>
          </cell>
          <cell r="J420" t="str">
            <v>2037/38</v>
          </cell>
        </row>
        <row r="421">
          <cell r="A421" t="str">
            <v>06 HAWKE`S BAY</v>
          </cell>
          <cell r="B421">
            <v>2</v>
          </cell>
          <cell r="C421">
            <v>2043</v>
          </cell>
          <cell r="D421">
            <v>446</v>
          </cell>
          <cell r="E421">
            <v>3171</v>
          </cell>
          <cell r="F421">
            <v>117.82202875</v>
          </cell>
          <cell r="G421">
            <v>1091.5939119</v>
          </cell>
          <cell r="H421">
            <v>27.633206221999998</v>
          </cell>
          <cell r="I421" t="str">
            <v>Light Vehicle Driver</v>
          </cell>
          <cell r="J421" t="str">
            <v>2042/43</v>
          </cell>
        </row>
        <row r="422">
          <cell r="A422" t="str">
            <v>06 HAWKE`S BAY</v>
          </cell>
          <cell r="B422">
            <v>3</v>
          </cell>
          <cell r="C422">
            <v>2013</v>
          </cell>
          <cell r="D422">
            <v>300</v>
          </cell>
          <cell r="E422">
            <v>1579</v>
          </cell>
          <cell r="F422">
            <v>58.497679761999997</v>
          </cell>
          <cell r="G422">
            <v>607.82570181000006</v>
          </cell>
          <cell r="H422">
            <v>15.230731736999999</v>
          </cell>
          <cell r="I422" t="str">
            <v>Light Vehicle Passenger</v>
          </cell>
          <cell r="J422" t="str">
            <v>2012/13</v>
          </cell>
        </row>
        <row r="423">
          <cell r="A423" t="str">
            <v>06 HAWKE`S BAY</v>
          </cell>
          <cell r="B423">
            <v>3</v>
          </cell>
          <cell r="C423">
            <v>2018</v>
          </cell>
          <cell r="D423">
            <v>300</v>
          </cell>
          <cell r="E423">
            <v>1579</v>
          </cell>
          <cell r="F423">
            <v>55.911286386</v>
          </cell>
          <cell r="G423">
            <v>595.01570763999996</v>
          </cell>
          <cell r="H423">
            <v>14.761676072</v>
          </cell>
          <cell r="I423" t="str">
            <v>Light Vehicle Passenger</v>
          </cell>
          <cell r="J423" t="str">
            <v>2017/18</v>
          </cell>
        </row>
        <row r="424">
          <cell r="A424" t="str">
            <v>06 HAWKE`S BAY</v>
          </cell>
          <cell r="B424">
            <v>3</v>
          </cell>
          <cell r="C424">
            <v>2023</v>
          </cell>
          <cell r="D424">
            <v>300</v>
          </cell>
          <cell r="E424">
            <v>1579</v>
          </cell>
          <cell r="F424">
            <v>58.452653067999996</v>
          </cell>
          <cell r="G424">
            <v>634.56914041000005</v>
          </cell>
          <cell r="H424">
            <v>15.652335471000001</v>
          </cell>
          <cell r="I424" t="str">
            <v>Light Vehicle Passenger</v>
          </cell>
          <cell r="J424" t="str">
            <v>2022/23</v>
          </cell>
        </row>
        <row r="425">
          <cell r="A425" t="str">
            <v>06 HAWKE`S BAY</v>
          </cell>
          <cell r="B425">
            <v>3</v>
          </cell>
          <cell r="C425">
            <v>2028</v>
          </cell>
          <cell r="D425">
            <v>300</v>
          </cell>
          <cell r="E425">
            <v>1579</v>
          </cell>
          <cell r="F425">
            <v>59.282564911999998</v>
          </cell>
          <cell r="G425">
            <v>640.46610392000002</v>
          </cell>
          <cell r="H425">
            <v>15.876182489</v>
          </cell>
          <cell r="I425" t="str">
            <v>Light Vehicle Passenger</v>
          </cell>
          <cell r="J425" t="str">
            <v>2027/28</v>
          </cell>
        </row>
        <row r="426">
          <cell r="A426" t="str">
            <v>06 HAWKE`S BAY</v>
          </cell>
          <cell r="B426">
            <v>3</v>
          </cell>
          <cell r="C426">
            <v>2033</v>
          </cell>
          <cell r="D426">
            <v>300</v>
          </cell>
          <cell r="E426">
            <v>1579</v>
          </cell>
          <cell r="F426">
            <v>59.090741975999997</v>
          </cell>
          <cell r="G426">
            <v>631.43287674999999</v>
          </cell>
          <cell r="H426">
            <v>15.740171337</v>
          </cell>
          <cell r="I426" t="str">
            <v>Light Vehicle Passenger</v>
          </cell>
          <cell r="J426" t="str">
            <v>2032/33</v>
          </cell>
        </row>
        <row r="427">
          <cell r="A427" t="str">
            <v>06 HAWKE`S BAY</v>
          </cell>
          <cell r="B427">
            <v>3</v>
          </cell>
          <cell r="C427">
            <v>2038</v>
          </cell>
          <cell r="D427">
            <v>300</v>
          </cell>
          <cell r="E427">
            <v>1579</v>
          </cell>
          <cell r="F427">
            <v>58.745729402000002</v>
          </cell>
          <cell r="G427">
            <v>614.96116789999996</v>
          </cell>
          <cell r="H427">
            <v>15.421817612</v>
          </cell>
          <cell r="I427" t="str">
            <v>Light Vehicle Passenger</v>
          </cell>
          <cell r="J427" t="str">
            <v>2037/38</v>
          </cell>
        </row>
        <row r="428">
          <cell r="A428" t="str">
            <v>06 HAWKE`S BAY</v>
          </cell>
          <cell r="B428">
            <v>3</v>
          </cell>
          <cell r="C428">
            <v>2043</v>
          </cell>
          <cell r="D428">
            <v>300</v>
          </cell>
          <cell r="E428">
            <v>1579</v>
          </cell>
          <cell r="F428">
            <v>58.195328977000003</v>
          </cell>
          <cell r="G428">
            <v>596.36011757999995</v>
          </cell>
          <cell r="H428">
            <v>15.0461987</v>
          </cell>
          <cell r="I428" t="str">
            <v>Light Vehicle Passenger</v>
          </cell>
          <cell r="J428" t="str">
            <v>2042/43</v>
          </cell>
        </row>
        <row r="429">
          <cell r="A429" t="str">
            <v>06 HAWKE`S BAY</v>
          </cell>
          <cell r="B429">
            <v>4</v>
          </cell>
          <cell r="C429">
            <v>2013</v>
          </cell>
          <cell r="D429">
            <v>4</v>
          </cell>
          <cell r="E429">
            <v>8</v>
          </cell>
          <cell r="F429">
            <v>0.32519619989999998</v>
          </cell>
          <cell r="G429">
            <v>1.7589425135000001</v>
          </cell>
          <cell r="H429">
            <v>4.5837477299999999E-2</v>
          </cell>
          <cell r="J429" t="str">
            <v>2012/13</v>
          </cell>
        </row>
        <row r="430">
          <cell r="A430" t="str">
            <v>06 HAWKE`S BAY</v>
          </cell>
          <cell r="B430">
            <v>4</v>
          </cell>
          <cell r="C430">
            <v>2018</v>
          </cell>
          <cell r="D430">
            <v>4</v>
          </cell>
          <cell r="E430">
            <v>8</v>
          </cell>
          <cell r="F430">
            <v>0.31852379790000002</v>
          </cell>
          <cell r="G430">
            <v>1.6247499005999999</v>
          </cell>
          <cell r="H430">
            <v>4.5503553799999999E-2</v>
          </cell>
          <cell r="J430" t="str">
            <v>2017/18</v>
          </cell>
        </row>
        <row r="431">
          <cell r="A431" t="str">
            <v>06 HAWKE`S BAY</v>
          </cell>
          <cell r="B431">
            <v>4</v>
          </cell>
          <cell r="C431">
            <v>2023</v>
          </cell>
          <cell r="D431">
            <v>4</v>
          </cell>
          <cell r="E431">
            <v>8</v>
          </cell>
          <cell r="F431">
            <v>0.33841531380000001</v>
          </cell>
          <cell r="G431">
            <v>1.6325766732</v>
          </cell>
          <cell r="H431">
            <v>4.7981795000000001E-2</v>
          </cell>
          <cell r="J431" t="str">
            <v>2022/23</v>
          </cell>
        </row>
        <row r="432">
          <cell r="A432" t="str">
            <v>06 HAWKE`S BAY</v>
          </cell>
          <cell r="B432">
            <v>4</v>
          </cell>
          <cell r="C432">
            <v>2028</v>
          </cell>
          <cell r="D432">
            <v>4</v>
          </cell>
          <cell r="E432">
            <v>8</v>
          </cell>
          <cell r="F432">
            <v>0.34275326010000001</v>
          </cell>
          <cell r="G432">
            <v>1.6226645195</v>
          </cell>
          <cell r="H432">
            <v>4.8511216099999997E-2</v>
          </cell>
          <cell r="J432" t="str">
            <v>2027/28</v>
          </cell>
        </row>
        <row r="433">
          <cell r="A433" t="str">
            <v>06 HAWKE`S BAY</v>
          </cell>
          <cell r="B433">
            <v>4</v>
          </cell>
          <cell r="C433">
            <v>2033</v>
          </cell>
          <cell r="D433">
            <v>4</v>
          </cell>
          <cell r="E433">
            <v>8</v>
          </cell>
          <cell r="F433">
            <v>0.33840122239999998</v>
          </cell>
          <cell r="G433">
            <v>1.5874506062</v>
          </cell>
          <cell r="H433">
            <v>4.8424815400000001E-2</v>
          </cell>
          <cell r="J433" t="str">
            <v>2032/33</v>
          </cell>
        </row>
        <row r="434">
          <cell r="A434" t="str">
            <v>06 HAWKE`S BAY</v>
          </cell>
          <cell r="B434">
            <v>4</v>
          </cell>
          <cell r="C434">
            <v>2038</v>
          </cell>
          <cell r="D434">
            <v>4</v>
          </cell>
          <cell r="E434">
            <v>8</v>
          </cell>
          <cell r="F434">
            <v>0.30471381240000001</v>
          </cell>
          <cell r="G434">
            <v>1.4540046515</v>
          </cell>
          <cell r="H434">
            <v>4.4135964299999997E-2</v>
          </cell>
          <cell r="J434" t="str">
            <v>2037/38</v>
          </cell>
        </row>
        <row r="435">
          <cell r="A435" t="str">
            <v>06 HAWKE`S BAY</v>
          </cell>
          <cell r="B435">
            <v>4</v>
          </cell>
          <cell r="C435">
            <v>2043</v>
          </cell>
          <cell r="D435">
            <v>4</v>
          </cell>
          <cell r="E435">
            <v>8</v>
          </cell>
          <cell r="F435">
            <v>0.25969020929999997</v>
          </cell>
          <cell r="G435">
            <v>1.2925164807</v>
          </cell>
          <cell r="H435">
            <v>3.7666103200000002E-2</v>
          </cell>
          <cell r="J435" t="str">
            <v>2042/43</v>
          </cell>
        </row>
        <row r="436">
          <cell r="A436" t="str">
            <v>06 HAWKE`S BAY</v>
          </cell>
          <cell r="B436">
            <v>5</v>
          </cell>
          <cell r="C436">
            <v>2013</v>
          </cell>
          <cell r="D436">
            <v>6</v>
          </cell>
          <cell r="E436">
            <v>19</v>
          </cell>
          <cell r="F436">
            <v>0.65061969099999994</v>
          </cell>
          <cell r="G436">
            <v>3.0321841239</v>
          </cell>
          <cell r="H436">
            <v>0.11763194120000001</v>
          </cell>
          <cell r="I436" t="str">
            <v>Motorcyclist</v>
          </cell>
          <cell r="J436" t="str">
            <v>2012/13</v>
          </cell>
        </row>
        <row r="437">
          <cell r="A437" t="str">
            <v>06 HAWKE`S BAY</v>
          </cell>
          <cell r="B437">
            <v>5</v>
          </cell>
          <cell r="C437">
            <v>2018</v>
          </cell>
          <cell r="D437">
            <v>6</v>
          </cell>
          <cell r="E437">
            <v>19</v>
          </cell>
          <cell r="F437">
            <v>0.56268429389999997</v>
          </cell>
          <cell r="G437">
            <v>2.9542272621999999</v>
          </cell>
          <cell r="H437">
            <v>0.10360596919999999</v>
          </cell>
          <cell r="I437" t="str">
            <v>Motorcyclist</v>
          </cell>
          <cell r="J437" t="str">
            <v>2017/18</v>
          </cell>
        </row>
        <row r="438">
          <cell r="A438" t="str">
            <v>06 HAWKE`S BAY</v>
          </cell>
          <cell r="B438">
            <v>5</v>
          </cell>
          <cell r="C438">
            <v>2023</v>
          </cell>
          <cell r="D438">
            <v>6</v>
          </cell>
          <cell r="E438">
            <v>19</v>
          </cell>
          <cell r="F438">
            <v>0.49586737190000002</v>
          </cell>
          <cell r="G438">
            <v>2.9146494843999999</v>
          </cell>
          <cell r="H438">
            <v>9.65029949E-2</v>
          </cell>
          <cell r="I438" t="str">
            <v>Motorcyclist</v>
          </cell>
          <cell r="J438" t="str">
            <v>2022/23</v>
          </cell>
        </row>
        <row r="439">
          <cell r="A439" t="str">
            <v>06 HAWKE`S BAY</v>
          </cell>
          <cell r="B439">
            <v>5</v>
          </cell>
          <cell r="C439">
            <v>2028</v>
          </cell>
          <cell r="D439">
            <v>6</v>
          </cell>
          <cell r="E439">
            <v>19</v>
          </cell>
          <cell r="F439">
            <v>0.43699670899999998</v>
          </cell>
          <cell r="G439">
            <v>2.6259315085999999</v>
          </cell>
          <cell r="H439">
            <v>8.7309250699999993E-2</v>
          </cell>
          <cell r="I439" t="str">
            <v>Motorcyclist</v>
          </cell>
          <cell r="J439" t="str">
            <v>2027/28</v>
          </cell>
        </row>
        <row r="440">
          <cell r="A440" t="str">
            <v>06 HAWKE`S BAY</v>
          </cell>
          <cell r="B440">
            <v>5</v>
          </cell>
          <cell r="C440">
            <v>2033</v>
          </cell>
          <cell r="D440">
            <v>6</v>
          </cell>
          <cell r="E440">
            <v>19</v>
          </cell>
          <cell r="F440">
            <v>0.37858385880000001</v>
          </cell>
          <cell r="G440">
            <v>2.3340800031</v>
          </cell>
          <cell r="H440">
            <v>7.6741086799999997E-2</v>
          </cell>
          <cell r="I440" t="str">
            <v>Motorcyclist</v>
          </cell>
          <cell r="J440" t="str">
            <v>2032/33</v>
          </cell>
        </row>
        <row r="441">
          <cell r="A441" t="str">
            <v>06 HAWKE`S BAY</v>
          </cell>
          <cell r="B441">
            <v>5</v>
          </cell>
          <cell r="C441">
            <v>2038</v>
          </cell>
          <cell r="D441">
            <v>6</v>
          </cell>
          <cell r="E441">
            <v>19</v>
          </cell>
          <cell r="F441">
            <v>0.33150135200000003</v>
          </cell>
          <cell r="G441">
            <v>2.122583691</v>
          </cell>
          <cell r="H441">
            <v>7.0237036500000002E-2</v>
          </cell>
          <cell r="I441" t="str">
            <v>Motorcyclist</v>
          </cell>
          <cell r="J441" t="str">
            <v>2037/38</v>
          </cell>
        </row>
        <row r="442">
          <cell r="A442" t="str">
            <v>06 HAWKE`S BAY</v>
          </cell>
          <cell r="B442">
            <v>5</v>
          </cell>
          <cell r="C442">
            <v>2043</v>
          </cell>
          <cell r="D442">
            <v>6</v>
          </cell>
          <cell r="E442">
            <v>19</v>
          </cell>
          <cell r="F442">
            <v>0.29141081600000002</v>
          </cell>
          <cell r="G442">
            <v>1.9429965157</v>
          </cell>
          <cell r="H442">
            <v>6.4651145199999996E-2</v>
          </cell>
          <cell r="I442" t="str">
            <v>Motorcyclist</v>
          </cell>
          <cell r="J442" t="str">
            <v>2042/43</v>
          </cell>
        </row>
        <row r="443">
          <cell r="A443" t="str">
            <v>06 HAWKE`S BAY</v>
          </cell>
          <cell r="B443">
            <v>7</v>
          </cell>
          <cell r="C443">
            <v>2013</v>
          </cell>
          <cell r="D443">
            <v>50</v>
          </cell>
          <cell r="E443">
            <v>142</v>
          </cell>
          <cell r="F443">
            <v>4.5218645043999999</v>
          </cell>
          <cell r="G443">
            <v>39.591997026999998</v>
          </cell>
          <cell r="H443">
            <v>1.3660147812000001</v>
          </cell>
          <cell r="I443" t="str">
            <v>Local Bus</v>
          </cell>
          <cell r="J443" t="str">
            <v>2012/13</v>
          </cell>
        </row>
        <row r="444">
          <cell r="A444" t="str">
            <v>06 HAWKE`S BAY</v>
          </cell>
          <cell r="B444">
            <v>7</v>
          </cell>
          <cell r="C444">
            <v>2018</v>
          </cell>
          <cell r="D444">
            <v>50</v>
          </cell>
          <cell r="E444">
            <v>142</v>
          </cell>
          <cell r="F444">
            <v>4.2128943276999999</v>
          </cell>
          <cell r="G444">
            <v>35.820083236999999</v>
          </cell>
          <cell r="H444">
            <v>1.2779562759</v>
          </cell>
          <cell r="I444" t="str">
            <v>Local Bus</v>
          </cell>
          <cell r="J444" t="str">
            <v>2017/18</v>
          </cell>
        </row>
        <row r="445">
          <cell r="A445" t="str">
            <v>06 HAWKE`S BAY</v>
          </cell>
          <cell r="B445">
            <v>7</v>
          </cell>
          <cell r="C445">
            <v>2023</v>
          </cell>
          <cell r="D445">
            <v>50</v>
          </cell>
          <cell r="E445">
            <v>142</v>
          </cell>
          <cell r="F445">
            <v>4.3603953235999997</v>
          </cell>
          <cell r="G445">
            <v>35.956778356000001</v>
          </cell>
          <cell r="H445">
            <v>1.3255580378</v>
          </cell>
          <cell r="I445" t="str">
            <v>Local Bus</v>
          </cell>
          <cell r="J445" t="str">
            <v>2022/23</v>
          </cell>
        </row>
        <row r="446">
          <cell r="A446" t="str">
            <v>06 HAWKE`S BAY</v>
          </cell>
          <cell r="B446">
            <v>7</v>
          </cell>
          <cell r="C446">
            <v>2028</v>
          </cell>
          <cell r="D446">
            <v>50</v>
          </cell>
          <cell r="E446">
            <v>142</v>
          </cell>
          <cell r="F446">
            <v>4.4003058816999996</v>
          </cell>
          <cell r="G446">
            <v>36.433417120000001</v>
          </cell>
          <cell r="H446">
            <v>1.3360469043000001</v>
          </cell>
          <cell r="I446" t="str">
            <v>Local Bus</v>
          </cell>
          <cell r="J446" t="str">
            <v>2027/28</v>
          </cell>
        </row>
        <row r="447">
          <cell r="A447" t="str">
            <v>06 HAWKE`S BAY</v>
          </cell>
          <cell r="B447">
            <v>7</v>
          </cell>
          <cell r="C447">
            <v>2033</v>
          </cell>
          <cell r="D447">
            <v>50</v>
          </cell>
          <cell r="E447">
            <v>142</v>
          </cell>
          <cell r="F447">
            <v>4.3032782383999999</v>
          </cell>
          <cell r="G447">
            <v>35.806194775000002</v>
          </cell>
          <cell r="H447">
            <v>1.3020808343000001</v>
          </cell>
          <cell r="I447" t="str">
            <v>Local Bus</v>
          </cell>
          <cell r="J447" t="str">
            <v>2032/33</v>
          </cell>
        </row>
        <row r="448">
          <cell r="A448" t="str">
            <v>06 HAWKE`S BAY</v>
          </cell>
          <cell r="B448">
            <v>7</v>
          </cell>
          <cell r="C448">
            <v>2038</v>
          </cell>
          <cell r="D448">
            <v>50</v>
          </cell>
          <cell r="E448">
            <v>142</v>
          </cell>
          <cell r="F448">
            <v>4.2865295565999997</v>
          </cell>
          <cell r="G448">
            <v>35.890975459000003</v>
          </cell>
          <cell r="H448">
            <v>1.2966185906000001</v>
          </cell>
          <cell r="I448" t="str">
            <v>Local Bus</v>
          </cell>
          <cell r="J448" t="str">
            <v>2037/38</v>
          </cell>
        </row>
        <row r="449">
          <cell r="A449" t="str">
            <v>06 HAWKE`S BAY</v>
          </cell>
          <cell r="B449">
            <v>7</v>
          </cell>
          <cell r="C449">
            <v>2043</v>
          </cell>
          <cell r="D449">
            <v>50</v>
          </cell>
          <cell r="E449">
            <v>142</v>
          </cell>
          <cell r="F449">
            <v>4.2449323743000003</v>
          </cell>
          <cell r="G449">
            <v>35.774455017000001</v>
          </cell>
          <cell r="H449">
            <v>1.2828472934999999</v>
          </cell>
          <cell r="I449" t="str">
            <v>Local Bus</v>
          </cell>
          <cell r="J449" t="str">
            <v>2042/43</v>
          </cell>
        </row>
        <row r="450">
          <cell r="A450" t="str">
            <v>06 HAWKE`S BAY</v>
          </cell>
          <cell r="B450">
            <v>9</v>
          </cell>
          <cell r="C450">
            <v>2013</v>
          </cell>
          <cell r="D450">
            <v>3</v>
          </cell>
          <cell r="E450">
            <v>10</v>
          </cell>
          <cell r="F450">
            <v>0.49138149730000003</v>
          </cell>
          <cell r="G450">
            <v>0</v>
          </cell>
          <cell r="H450">
            <v>0.15778150060000001</v>
          </cell>
          <cell r="I450" t="str">
            <v>Other Household Travel</v>
          </cell>
          <cell r="J450" t="str">
            <v>2012/13</v>
          </cell>
        </row>
        <row r="451">
          <cell r="A451" t="str">
            <v>06 HAWKE`S BAY</v>
          </cell>
          <cell r="B451">
            <v>9</v>
          </cell>
          <cell r="C451">
            <v>2018</v>
          </cell>
          <cell r="D451">
            <v>3</v>
          </cell>
          <cell r="E451">
            <v>10</v>
          </cell>
          <cell r="F451">
            <v>0.50665771959999995</v>
          </cell>
          <cell r="G451">
            <v>0</v>
          </cell>
          <cell r="H451">
            <v>0.15860784310000001</v>
          </cell>
          <cell r="I451" t="str">
            <v>Other Household Travel</v>
          </cell>
          <cell r="J451" t="str">
            <v>2017/18</v>
          </cell>
        </row>
        <row r="452">
          <cell r="A452" t="str">
            <v>06 HAWKE`S BAY</v>
          </cell>
          <cell r="B452">
            <v>9</v>
          </cell>
          <cell r="C452">
            <v>2023</v>
          </cell>
          <cell r="D452">
            <v>3</v>
          </cell>
          <cell r="E452">
            <v>10</v>
          </cell>
          <cell r="F452">
            <v>0.5787658242</v>
          </cell>
          <cell r="G452">
            <v>0</v>
          </cell>
          <cell r="H452">
            <v>0.1780779542</v>
          </cell>
          <cell r="I452" t="str">
            <v>Other Household Travel</v>
          </cell>
          <cell r="J452" t="str">
            <v>2022/23</v>
          </cell>
        </row>
        <row r="453">
          <cell r="A453" t="str">
            <v>06 HAWKE`S BAY</v>
          </cell>
          <cell r="B453">
            <v>9</v>
          </cell>
          <cell r="C453">
            <v>2028</v>
          </cell>
          <cell r="D453">
            <v>3</v>
          </cell>
          <cell r="E453">
            <v>10</v>
          </cell>
          <cell r="F453">
            <v>0.67262502700000004</v>
          </cell>
          <cell r="G453">
            <v>0</v>
          </cell>
          <cell r="H453">
            <v>0.20079019040000001</v>
          </cell>
          <cell r="I453" t="str">
            <v>Other Household Travel</v>
          </cell>
          <cell r="J453" t="str">
            <v>2027/28</v>
          </cell>
        </row>
        <row r="454">
          <cell r="A454" t="str">
            <v>06 HAWKE`S BAY</v>
          </cell>
          <cell r="B454">
            <v>9</v>
          </cell>
          <cell r="C454">
            <v>2033</v>
          </cell>
          <cell r="D454">
            <v>3</v>
          </cell>
          <cell r="E454">
            <v>10</v>
          </cell>
          <cell r="F454">
            <v>0.75037808930000005</v>
          </cell>
          <cell r="G454">
            <v>0</v>
          </cell>
          <cell r="H454">
            <v>0.21856149010000001</v>
          </cell>
          <cell r="I454" t="str">
            <v>Other Household Travel</v>
          </cell>
          <cell r="J454" t="str">
            <v>2032/33</v>
          </cell>
        </row>
        <row r="455">
          <cell r="A455" t="str">
            <v>06 HAWKE`S BAY</v>
          </cell>
          <cell r="B455">
            <v>9</v>
          </cell>
          <cell r="C455">
            <v>2038</v>
          </cell>
          <cell r="D455">
            <v>3</v>
          </cell>
          <cell r="E455">
            <v>10</v>
          </cell>
          <cell r="F455">
            <v>0.83222729689999997</v>
          </cell>
          <cell r="G455">
            <v>0</v>
          </cell>
          <cell r="H455">
            <v>0.23916129119999999</v>
          </cell>
          <cell r="I455" t="str">
            <v>Other Household Travel</v>
          </cell>
          <cell r="J455" t="str">
            <v>2037/38</v>
          </cell>
        </row>
        <row r="456">
          <cell r="A456" t="str">
            <v>06 HAWKE`S BAY</v>
          </cell>
          <cell r="B456">
            <v>9</v>
          </cell>
          <cell r="C456">
            <v>2043</v>
          </cell>
          <cell r="D456">
            <v>3</v>
          </cell>
          <cell r="E456">
            <v>10</v>
          </cell>
          <cell r="F456">
            <v>0.91127611720000001</v>
          </cell>
          <cell r="G456">
            <v>0</v>
          </cell>
          <cell r="H456">
            <v>0.25893084220000001</v>
          </cell>
          <cell r="I456" t="str">
            <v>Other Household Travel</v>
          </cell>
          <cell r="J456" t="str">
            <v>2042/43</v>
          </cell>
        </row>
        <row r="457">
          <cell r="A457" t="str">
            <v>06 HAWKE`S BAY</v>
          </cell>
          <cell r="B457">
            <v>10</v>
          </cell>
          <cell r="C457">
            <v>2013</v>
          </cell>
          <cell r="D457">
            <v>3</v>
          </cell>
          <cell r="E457">
            <v>5</v>
          </cell>
          <cell r="F457">
            <v>0.36260942909999999</v>
          </cell>
          <cell r="G457">
            <v>56.865163273</v>
          </cell>
          <cell r="H457">
            <v>0.96259589999999995</v>
          </cell>
          <cell r="I457" t="str">
            <v>Air/Non-Local PT</v>
          </cell>
          <cell r="J457" t="str">
            <v>2012/13</v>
          </cell>
        </row>
        <row r="458">
          <cell r="A458" t="str">
            <v>06 HAWKE`S BAY</v>
          </cell>
          <cell r="B458">
            <v>10</v>
          </cell>
          <cell r="C458">
            <v>2018</v>
          </cell>
          <cell r="D458">
            <v>3</v>
          </cell>
          <cell r="E458">
            <v>5</v>
          </cell>
          <cell r="F458">
            <v>0.37865470690000003</v>
          </cell>
          <cell r="G458">
            <v>59.005874759999998</v>
          </cell>
          <cell r="H458">
            <v>1.0009403754999999</v>
          </cell>
          <cell r="I458" t="str">
            <v>Air/Non-Local PT</v>
          </cell>
          <cell r="J458" t="str">
            <v>2017/18</v>
          </cell>
        </row>
        <row r="459">
          <cell r="A459" t="str">
            <v>06 HAWKE`S BAY</v>
          </cell>
          <cell r="B459">
            <v>10</v>
          </cell>
          <cell r="C459">
            <v>2023</v>
          </cell>
          <cell r="D459">
            <v>3</v>
          </cell>
          <cell r="E459">
            <v>5</v>
          </cell>
          <cell r="F459">
            <v>0.41666653669999998</v>
          </cell>
          <cell r="G459">
            <v>63.827006976</v>
          </cell>
          <cell r="H459">
            <v>1.0891469415999999</v>
          </cell>
          <cell r="I459" t="str">
            <v>Air/Non-Local PT</v>
          </cell>
          <cell r="J459" t="str">
            <v>2022/23</v>
          </cell>
        </row>
        <row r="460">
          <cell r="A460" t="str">
            <v>06 HAWKE`S BAY</v>
          </cell>
          <cell r="B460">
            <v>10</v>
          </cell>
          <cell r="C460">
            <v>2028</v>
          </cell>
          <cell r="D460">
            <v>3</v>
          </cell>
          <cell r="E460">
            <v>5</v>
          </cell>
          <cell r="F460">
            <v>0.40107805790000001</v>
          </cell>
          <cell r="G460">
            <v>61.406468627000002</v>
          </cell>
          <cell r="H460">
            <v>1.0469769582999999</v>
          </cell>
          <cell r="I460" t="str">
            <v>Air/Non-Local PT</v>
          </cell>
          <cell r="J460" t="str">
            <v>2027/28</v>
          </cell>
        </row>
        <row r="461">
          <cell r="A461" t="str">
            <v>06 HAWKE`S BAY</v>
          </cell>
          <cell r="B461">
            <v>10</v>
          </cell>
          <cell r="C461">
            <v>2033</v>
          </cell>
          <cell r="D461">
            <v>3</v>
          </cell>
          <cell r="E461">
            <v>5</v>
          </cell>
          <cell r="F461">
            <v>0.37808810250000002</v>
          </cell>
          <cell r="G461">
            <v>58.153289202000003</v>
          </cell>
          <cell r="H461">
            <v>0.98928074889999995</v>
          </cell>
          <cell r="I461" t="str">
            <v>Air/Non-Local PT</v>
          </cell>
          <cell r="J461" t="str">
            <v>2032/33</v>
          </cell>
        </row>
        <row r="462">
          <cell r="A462" t="str">
            <v>06 HAWKE`S BAY</v>
          </cell>
          <cell r="B462">
            <v>10</v>
          </cell>
          <cell r="C462">
            <v>2038</v>
          </cell>
          <cell r="D462">
            <v>3</v>
          </cell>
          <cell r="E462">
            <v>5</v>
          </cell>
          <cell r="F462">
            <v>0.35679981919999998</v>
          </cell>
          <cell r="G462">
            <v>57.484597776999998</v>
          </cell>
          <cell r="H462">
            <v>0.959934124</v>
          </cell>
          <cell r="I462" t="str">
            <v>Air/Non-Local PT</v>
          </cell>
          <cell r="J462" t="str">
            <v>2037/38</v>
          </cell>
        </row>
        <row r="463">
          <cell r="A463" t="str">
            <v>06 HAWKE`S BAY</v>
          </cell>
          <cell r="B463">
            <v>10</v>
          </cell>
          <cell r="C463">
            <v>2043</v>
          </cell>
          <cell r="D463">
            <v>3</v>
          </cell>
          <cell r="E463">
            <v>5</v>
          </cell>
          <cell r="F463">
            <v>0.3295314573</v>
          </cell>
          <cell r="G463">
            <v>55.980426549999997</v>
          </cell>
          <cell r="H463">
            <v>0.91580033319999998</v>
          </cell>
          <cell r="I463" t="str">
            <v>Air/Non-Local PT</v>
          </cell>
          <cell r="J463" t="str">
            <v>2042/43</v>
          </cell>
        </row>
        <row r="464">
          <cell r="A464" t="str">
            <v>06 HAWKE`S BAY</v>
          </cell>
          <cell r="B464">
            <v>11</v>
          </cell>
          <cell r="C464">
            <v>2013</v>
          </cell>
          <cell r="D464">
            <v>8</v>
          </cell>
          <cell r="E464">
            <v>27</v>
          </cell>
          <cell r="F464">
            <v>0.84253347339999995</v>
          </cell>
          <cell r="G464">
            <v>31.621733808999998</v>
          </cell>
          <cell r="H464">
            <v>0.62196297879999995</v>
          </cell>
          <cell r="I464" t="str">
            <v>Non-Household Travel</v>
          </cell>
          <cell r="J464" t="str">
            <v>2012/13</v>
          </cell>
        </row>
        <row r="465">
          <cell r="A465" t="str">
            <v>06 HAWKE`S BAY</v>
          </cell>
          <cell r="B465">
            <v>11</v>
          </cell>
          <cell r="C465">
            <v>2018</v>
          </cell>
          <cell r="D465">
            <v>8</v>
          </cell>
          <cell r="E465">
            <v>27</v>
          </cell>
          <cell r="F465">
            <v>0.89379086969999999</v>
          </cell>
          <cell r="G465">
            <v>34.505102184000002</v>
          </cell>
          <cell r="H465">
            <v>0.67625827910000003</v>
          </cell>
          <cell r="I465" t="str">
            <v>Non-Household Travel</v>
          </cell>
          <cell r="J465" t="str">
            <v>2017/18</v>
          </cell>
        </row>
        <row r="466">
          <cell r="A466" t="str">
            <v>06 HAWKE`S BAY</v>
          </cell>
          <cell r="B466">
            <v>11</v>
          </cell>
          <cell r="C466">
            <v>2023</v>
          </cell>
          <cell r="D466">
            <v>8</v>
          </cell>
          <cell r="E466">
            <v>27</v>
          </cell>
          <cell r="F466">
            <v>1.0146238932</v>
          </cell>
          <cell r="G466">
            <v>39.158363110000003</v>
          </cell>
          <cell r="H466">
            <v>0.77213565470000001</v>
          </cell>
          <cell r="I466" t="str">
            <v>Non-Household Travel</v>
          </cell>
          <cell r="J466" t="str">
            <v>2022/23</v>
          </cell>
        </row>
        <row r="467">
          <cell r="A467" t="str">
            <v>06 HAWKE`S BAY</v>
          </cell>
          <cell r="B467">
            <v>11</v>
          </cell>
          <cell r="C467">
            <v>2028</v>
          </cell>
          <cell r="D467">
            <v>8</v>
          </cell>
          <cell r="E467">
            <v>27</v>
          </cell>
          <cell r="F467">
            <v>1.0886396595000001</v>
          </cell>
          <cell r="G467">
            <v>38.935815935999997</v>
          </cell>
          <cell r="H467">
            <v>0.79244041409999999</v>
          </cell>
          <cell r="I467" t="str">
            <v>Non-Household Travel</v>
          </cell>
          <cell r="J467" t="str">
            <v>2027/28</v>
          </cell>
        </row>
        <row r="468">
          <cell r="A468" t="str">
            <v>06 HAWKE`S BAY</v>
          </cell>
          <cell r="B468">
            <v>11</v>
          </cell>
          <cell r="C468">
            <v>2033</v>
          </cell>
          <cell r="D468">
            <v>8</v>
          </cell>
          <cell r="E468">
            <v>27</v>
          </cell>
          <cell r="F468">
            <v>1.1390990838999999</v>
          </cell>
          <cell r="G468">
            <v>39.060356079000002</v>
          </cell>
          <cell r="H468">
            <v>0.81333783719999997</v>
          </cell>
          <cell r="I468" t="str">
            <v>Non-Household Travel</v>
          </cell>
          <cell r="J468" t="str">
            <v>2032/33</v>
          </cell>
        </row>
        <row r="469">
          <cell r="A469" t="str">
            <v>06 HAWKE`S BAY</v>
          </cell>
          <cell r="B469">
            <v>11</v>
          </cell>
          <cell r="C469">
            <v>2038</v>
          </cell>
          <cell r="D469">
            <v>8</v>
          </cell>
          <cell r="E469">
            <v>27</v>
          </cell>
          <cell r="F469">
            <v>1.19897999</v>
          </cell>
          <cell r="G469">
            <v>39.924970807999998</v>
          </cell>
          <cell r="H469">
            <v>0.84714647440000002</v>
          </cell>
          <cell r="I469" t="str">
            <v>Non-Household Travel</v>
          </cell>
          <cell r="J469" t="str">
            <v>2037/38</v>
          </cell>
        </row>
        <row r="470">
          <cell r="A470" t="str">
            <v>06 HAWKE`S BAY</v>
          </cell>
          <cell r="B470">
            <v>11</v>
          </cell>
          <cell r="C470">
            <v>2043</v>
          </cell>
          <cell r="D470">
            <v>8</v>
          </cell>
          <cell r="E470">
            <v>27</v>
          </cell>
          <cell r="F470">
            <v>1.2586015548</v>
          </cell>
          <cell r="G470">
            <v>40.812535404000002</v>
          </cell>
          <cell r="H470">
            <v>0.88127219160000003</v>
          </cell>
          <cell r="I470" t="str">
            <v>Non-Household Travel</v>
          </cell>
          <cell r="J470" t="str">
            <v>2042/43</v>
          </cell>
        </row>
        <row r="471">
          <cell r="A471" t="str">
            <v>07 TARANAKI</v>
          </cell>
          <cell r="B471">
            <v>0</v>
          </cell>
          <cell r="C471">
            <v>2013</v>
          </cell>
          <cell r="D471">
            <v>314</v>
          </cell>
          <cell r="E471">
            <v>1091</v>
          </cell>
          <cell r="F471">
            <v>23.308571313000002</v>
          </cell>
          <cell r="G471">
            <v>16.820589198</v>
          </cell>
          <cell r="H471">
            <v>4.7547330373000003</v>
          </cell>
          <cell r="I471" t="str">
            <v>Pedestrian</v>
          </cell>
          <cell r="J471" t="str">
            <v>2012/13</v>
          </cell>
        </row>
        <row r="472">
          <cell r="A472" t="str">
            <v>07 TARANAKI</v>
          </cell>
          <cell r="B472">
            <v>0</v>
          </cell>
          <cell r="C472">
            <v>2018</v>
          </cell>
          <cell r="D472">
            <v>314</v>
          </cell>
          <cell r="E472">
            <v>1091</v>
          </cell>
          <cell r="F472">
            <v>22.622772427000001</v>
          </cell>
          <cell r="G472">
            <v>16.476627296</v>
          </cell>
          <cell r="H472">
            <v>4.4616967658000002</v>
          </cell>
          <cell r="I472" t="str">
            <v>Pedestrian</v>
          </cell>
          <cell r="J472" t="str">
            <v>2017/18</v>
          </cell>
        </row>
        <row r="473">
          <cell r="A473" t="str">
            <v>07 TARANAKI</v>
          </cell>
          <cell r="B473">
            <v>0</v>
          </cell>
          <cell r="C473">
            <v>2023</v>
          </cell>
          <cell r="D473">
            <v>314</v>
          </cell>
          <cell r="E473">
            <v>1091</v>
          </cell>
          <cell r="F473">
            <v>23.619524414000001</v>
          </cell>
          <cell r="G473">
            <v>17.421651743000002</v>
          </cell>
          <cell r="H473">
            <v>4.5382522600000001</v>
          </cell>
          <cell r="I473" t="str">
            <v>Pedestrian</v>
          </cell>
          <cell r="J473" t="str">
            <v>2022/23</v>
          </cell>
        </row>
        <row r="474">
          <cell r="A474" t="str">
            <v>07 TARANAKI</v>
          </cell>
          <cell r="B474">
            <v>0</v>
          </cell>
          <cell r="C474">
            <v>2028</v>
          </cell>
          <cell r="D474">
            <v>314</v>
          </cell>
          <cell r="E474">
            <v>1091</v>
          </cell>
          <cell r="F474">
            <v>23.182809510999999</v>
          </cell>
          <cell r="G474">
            <v>17.337091392000001</v>
          </cell>
          <cell r="H474">
            <v>4.3849402961999999</v>
          </cell>
          <cell r="I474" t="str">
            <v>Pedestrian</v>
          </cell>
          <cell r="J474" t="str">
            <v>2027/28</v>
          </cell>
        </row>
        <row r="475">
          <cell r="A475" t="str">
            <v>07 TARANAKI</v>
          </cell>
          <cell r="B475">
            <v>0</v>
          </cell>
          <cell r="C475">
            <v>2033</v>
          </cell>
          <cell r="D475">
            <v>314</v>
          </cell>
          <cell r="E475">
            <v>1091</v>
          </cell>
          <cell r="F475">
            <v>22.684795899000001</v>
          </cell>
          <cell r="G475">
            <v>17.158422262999999</v>
          </cell>
          <cell r="H475">
            <v>4.248310923</v>
          </cell>
          <cell r="I475" t="str">
            <v>Pedestrian</v>
          </cell>
          <cell r="J475" t="str">
            <v>2032/33</v>
          </cell>
        </row>
        <row r="476">
          <cell r="A476" t="str">
            <v>07 TARANAKI</v>
          </cell>
          <cell r="B476">
            <v>0</v>
          </cell>
          <cell r="C476">
            <v>2038</v>
          </cell>
          <cell r="D476">
            <v>314</v>
          </cell>
          <cell r="E476">
            <v>1091</v>
          </cell>
          <cell r="F476">
            <v>22.150002843999999</v>
          </cell>
          <cell r="G476">
            <v>16.988851086</v>
          </cell>
          <cell r="H476">
            <v>4.1357848014999998</v>
          </cell>
          <cell r="I476" t="str">
            <v>Pedestrian</v>
          </cell>
          <cell r="J476" t="str">
            <v>2037/38</v>
          </cell>
        </row>
        <row r="477">
          <cell r="A477" t="str">
            <v>07 TARANAKI</v>
          </cell>
          <cell r="B477">
            <v>0</v>
          </cell>
          <cell r="C477">
            <v>2043</v>
          </cell>
          <cell r="D477">
            <v>314</v>
          </cell>
          <cell r="E477">
            <v>1091</v>
          </cell>
          <cell r="F477">
            <v>21.617359099000002</v>
          </cell>
          <cell r="G477">
            <v>16.808457581999999</v>
          </cell>
          <cell r="H477">
            <v>4.0338013247999998</v>
          </cell>
          <cell r="I477" t="str">
            <v>Pedestrian</v>
          </cell>
          <cell r="J477" t="str">
            <v>2042/43</v>
          </cell>
        </row>
        <row r="478">
          <cell r="A478" t="str">
            <v>07 TARANAKI</v>
          </cell>
          <cell r="B478">
            <v>1</v>
          </cell>
          <cell r="C478">
            <v>2013</v>
          </cell>
          <cell r="D478">
            <v>45</v>
          </cell>
          <cell r="E478">
            <v>133</v>
          </cell>
          <cell r="F478">
            <v>2.1611397319000001</v>
          </cell>
          <cell r="G478">
            <v>5.5737915155</v>
          </cell>
          <cell r="H478">
            <v>0.51341482110000003</v>
          </cell>
          <cell r="I478" t="str">
            <v>Cyclist</v>
          </cell>
          <cell r="J478" t="str">
            <v>2012/13</v>
          </cell>
        </row>
        <row r="479">
          <cell r="A479" t="str">
            <v>07 TARANAKI</v>
          </cell>
          <cell r="B479">
            <v>1</v>
          </cell>
          <cell r="C479">
            <v>2018</v>
          </cell>
          <cell r="D479">
            <v>45</v>
          </cell>
          <cell r="E479">
            <v>133</v>
          </cell>
          <cell r="F479">
            <v>2.0337103172000002</v>
          </cell>
          <cell r="G479">
            <v>5.3359230288999999</v>
          </cell>
          <cell r="H479">
            <v>0.49911730589999997</v>
          </cell>
          <cell r="I479" t="str">
            <v>Cyclist</v>
          </cell>
          <cell r="J479" t="str">
            <v>2017/18</v>
          </cell>
        </row>
        <row r="480">
          <cell r="A480" t="str">
            <v>07 TARANAKI</v>
          </cell>
          <cell r="B480">
            <v>1</v>
          </cell>
          <cell r="C480">
            <v>2023</v>
          </cell>
          <cell r="D480">
            <v>45</v>
          </cell>
          <cell r="E480">
            <v>133</v>
          </cell>
          <cell r="F480">
            <v>2.0569300792999998</v>
          </cell>
          <cell r="G480">
            <v>5.5277498181000002</v>
          </cell>
          <cell r="H480">
            <v>0.52075643410000005</v>
          </cell>
          <cell r="I480" t="str">
            <v>Cyclist</v>
          </cell>
          <cell r="J480" t="str">
            <v>2022/23</v>
          </cell>
        </row>
        <row r="481">
          <cell r="A481" t="str">
            <v>07 TARANAKI</v>
          </cell>
          <cell r="B481">
            <v>1</v>
          </cell>
          <cell r="C481">
            <v>2028</v>
          </cell>
          <cell r="D481">
            <v>45</v>
          </cell>
          <cell r="E481">
            <v>133</v>
          </cell>
          <cell r="F481">
            <v>1.9511277787000001</v>
          </cell>
          <cell r="G481">
            <v>5.1984312132000001</v>
          </cell>
          <cell r="H481">
            <v>0.49518417310000001</v>
          </cell>
          <cell r="I481" t="str">
            <v>Cyclist</v>
          </cell>
          <cell r="J481" t="str">
            <v>2027/28</v>
          </cell>
        </row>
        <row r="482">
          <cell r="A482" t="str">
            <v>07 TARANAKI</v>
          </cell>
          <cell r="B482">
            <v>1</v>
          </cell>
          <cell r="C482">
            <v>2033</v>
          </cell>
          <cell r="D482">
            <v>45</v>
          </cell>
          <cell r="E482">
            <v>133</v>
          </cell>
          <cell r="F482">
            <v>1.8640259592999999</v>
          </cell>
          <cell r="G482">
            <v>5.0721984837000003</v>
          </cell>
          <cell r="H482">
            <v>0.4859100261</v>
          </cell>
          <cell r="I482" t="str">
            <v>Cyclist</v>
          </cell>
          <cell r="J482" t="str">
            <v>2032/33</v>
          </cell>
        </row>
        <row r="483">
          <cell r="A483" t="str">
            <v>07 TARANAKI</v>
          </cell>
          <cell r="B483">
            <v>1</v>
          </cell>
          <cell r="C483">
            <v>2038</v>
          </cell>
          <cell r="D483">
            <v>45</v>
          </cell>
          <cell r="E483">
            <v>133</v>
          </cell>
          <cell r="F483">
            <v>1.7694692982</v>
          </cell>
          <cell r="G483">
            <v>5.0969302025000003</v>
          </cell>
          <cell r="H483">
            <v>0.48588268200000001</v>
          </cell>
          <cell r="I483" t="str">
            <v>Cyclist</v>
          </cell>
          <cell r="J483" t="str">
            <v>2037/38</v>
          </cell>
        </row>
        <row r="484">
          <cell r="A484" t="str">
            <v>07 TARANAKI</v>
          </cell>
          <cell r="B484">
            <v>1</v>
          </cell>
          <cell r="C484">
            <v>2043</v>
          </cell>
          <cell r="D484">
            <v>45</v>
          </cell>
          <cell r="E484">
            <v>133</v>
          </cell>
          <cell r="F484">
            <v>1.6936086236000001</v>
          </cell>
          <cell r="G484">
            <v>5.1721720060000003</v>
          </cell>
          <cell r="H484">
            <v>0.4902892284</v>
          </cell>
          <cell r="I484" t="str">
            <v>Cyclist</v>
          </cell>
          <cell r="J484" t="str">
            <v>2042/43</v>
          </cell>
        </row>
        <row r="485">
          <cell r="A485" t="str">
            <v>07 TARANAKI</v>
          </cell>
          <cell r="B485">
            <v>2</v>
          </cell>
          <cell r="C485">
            <v>2013</v>
          </cell>
          <cell r="D485">
            <v>575</v>
          </cell>
          <cell r="E485">
            <v>4143</v>
          </cell>
          <cell r="F485">
            <v>90.801950900999998</v>
          </cell>
          <cell r="G485">
            <v>933.36875414999997</v>
          </cell>
          <cell r="H485">
            <v>21.205429401</v>
          </cell>
          <cell r="I485" t="str">
            <v>Light Vehicle Driver</v>
          </cell>
          <cell r="J485" t="str">
            <v>2012/13</v>
          </cell>
        </row>
        <row r="486">
          <cell r="A486" t="str">
            <v>07 TARANAKI</v>
          </cell>
          <cell r="B486">
            <v>2</v>
          </cell>
          <cell r="C486">
            <v>2018</v>
          </cell>
          <cell r="D486">
            <v>575</v>
          </cell>
          <cell r="E486">
            <v>4143</v>
          </cell>
          <cell r="F486">
            <v>90.072080670000005</v>
          </cell>
          <cell r="G486">
            <v>940.88617249000004</v>
          </cell>
          <cell r="H486">
            <v>21.247732160000002</v>
          </cell>
          <cell r="I486" t="str">
            <v>Light Vehicle Driver</v>
          </cell>
          <cell r="J486" t="str">
            <v>2017/18</v>
          </cell>
        </row>
        <row r="487">
          <cell r="A487" t="str">
            <v>07 TARANAKI</v>
          </cell>
          <cell r="B487">
            <v>2</v>
          </cell>
          <cell r="C487">
            <v>2023</v>
          </cell>
          <cell r="D487">
            <v>575</v>
          </cell>
          <cell r="E487">
            <v>4143</v>
          </cell>
          <cell r="F487">
            <v>96.582340439999996</v>
          </cell>
          <cell r="G487">
            <v>1025.2692817</v>
          </cell>
          <cell r="H487">
            <v>23.024594200999999</v>
          </cell>
          <cell r="I487" t="str">
            <v>Light Vehicle Driver</v>
          </cell>
          <cell r="J487" t="str">
            <v>2022/23</v>
          </cell>
        </row>
        <row r="488">
          <cell r="A488" t="str">
            <v>07 TARANAKI</v>
          </cell>
          <cell r="B488">
            <v>2</v>
          </cell>
          <cell r="C488">
            <v>2028</v>
          </cell>
          <cell r="D488">
            <v>575</v>
          </cell>
          <cell r="E488">
            <v>4143</v>
          </cell>
          <cell r="F488">
            <v>97.664051392999994</v>
          </cell>
          <cell r="G488">
            <v>1038.9268886</v>
          </cell>
          <cell r="H488">
            <v>23.359628345000001</v>
          </cell>
          <cell r="I488" t="str">
            <v>Light Vehicle Driver</v>
          </cell>
          <cell r="J488" t="str">
            <v>2027/28</v>
          </cell>
        </row>
        <row r="489">
          <cell r="A489" t="str">
            <v>07 TARANAKI</v>
          </cell>
          <cell r="B489">
            <v>2</v>
          </cell>
          <cell r="C489">
            <v>2033</v>
          </cell>
          <cell r="D489">
            <v>575</v>
          </cell>
          <cell r="E489">
            <v>4143</v>
          </cell>
          <cell r="F489">
            <v>96.632365640000003</v>
          </cell>
          <cell r="G489">
            <v>1028.3137004</v>
          </cell>
          <cell r="H489">
            <v>23.178229661</v>
          </cell>
          <cell r="I489" t="str">
            <v>Light Vehicle Driver</v>
          </cell>
          <cell r="J489" t="str">
            <v>2032/33</v>
          </cell>
        </row>
        <row r="490">
          <cell r="A490" t="str">
            <v>07 TARANAKI</v>
          </cell>
          <cell r="B490">
            <v>2</v>
          </cell>
          <cell r="C490">
            <v>2038</v>
          </cell>
          <cell r="D490">
            <v>575</v>
          </cell>
          <cell r="E490">
            <v>4143</v>
          </cell>
          <cell r="F490">
            <v>95.079907431999999</v>
          </cell>
          <cell r="G490">
            <v>1022.490081</v>
          </cell>
          <cell r="H490">
            <v>22.981719905999999</v>
          </cell>
          <cell r="I490" t="str">
            <v>Light Vehicle Driver</v>
          </cell>
          <cell r="J490" t="str">
            <v>2037/38</v>
          </cell>
        </row>
        <row r="491">
          <cell r="A491" t="str">
            <v>07 TARANAKI</v>
          </cell>
          <cell r="B491">
            <v>2</v>
          </cell>
          <cell r="C491">
            <v>2043</v>
          </cell>
          <cell r="D491">
            <v>575</v>
          </cell>
          <cell r="E491">
            <v>4143</v>
          </cell>
          <cell r="F491">
            <v>93.023229925999999</v>
          </cell>
          <cell r="G491">
            <v>1011.0955106</v>
          </cell>
          <cell r="H491">
            <v>22.653376351999999</v>
          </cell>
          <cell r="I491" t="str">
            <v>Light Vehicle Driver</v>
          </cell>
          <cell r="J491" t="str">
            <v>2042/43</v>
          </cell>
        </row>
        <row r="492">
          <cell r="A492" t="str">
            <v>07 TARANAKI</v>
          </cell>
          <cell r="B492">
            <v>3</v>
          </cell>
          <cell r="C492">
            <v>2013</v>
          </cell>
          <cell r="D492">
            <v>446</v>
          </cell>
          <cell r="E492">
            <v>2212</v>
          </cell>
          <cell r="F492">
            <v>45.48406773</v>
          </cell>
          <cell r="G492">
            <v>656.25872372000003</v>
          </cell>
          <cell r="H492">
            <v>13.125178352000001</v>
          </cell>
          <cell r="I492" t="str">
            <v>Light Vehicle Passenger</v>
          </cell>
          <cell r="J492" t="str">
            <v>2012/13</v>
          </cell>
        </row>
        <row r="493">
          <cell r="A493" t="str">
            <v>07 TARANAKI</v>
          </cell>
          <cell r="B493">
            <v>3</v>
          </cell>
          <cell r="C493">
            <v>2018</v>
          </cell>
          <cell r="D493">
            <v>446</v>
          </cell>
          <cell r="E493">
            <v>2212</v>
          </cell>
          <cell r="F493">
            <v>42.519870167999997</v>
          </cell>
          <cell r="G493">
            <v>608.73691880000001</v>
          </cell>
          <cell r="H493">
            <v>12.19899197</v>
          </cell>
          <cell r="I493" t="str">
            <v>Light Vehicle Passenger</v>
          </cell>
          <cell r="J493" t="str">
            <v>2017/18</v>
          </cell>
        </row>
        <row r="494">
          <cell r="A494" t="str">
            <v>07 TARANAKI</v>
          </cell>
          <cell r="B494">
            <v>3</v>
          </cell>
          <cell r="C494">
            <v>2023</v>
          </cell>
          <cell r="D494">
            <v>446</v>
          </cell>
          <cell r="E494">
            <v>2212</v>
          </cell>
          <cell r="F494">
            <v>43.504686757999998</v>
          </cell>
          <cell r="G494">
            <v>619.51150198000005</v>
          </cell>
          <cell r="H494">
            <v>12.431189006</v>
          </cell>
          <cell r="I494" t="str">
            <v>Light Vehicle Passenger</v>
          </cell>
          <cell r="J494" t="str">
            <v>2022/23</v>
          </cell>
        </row>
        <row r="495">
          <cell r="A495" t="str">
            <v>07 TARANAKI</v>
          </cell>
          <cell r="B495">
            <v>3</v>
          </cell>
          <cell r="C495">
            <v>2028</v>
          </cell>
          <cell r="D495">
            <v>446</v>
          </cell>
          <cell r="E495">
            <v>2212</v>
          </cell>
          <cell r="F495">
            <v>42.752245596000002</v>
          </cell>
          <cell r="G495">
            <v>609.72579507</v>
          </cell>
          <cell r="H495">
            <v>12.249713206999999</v>
          </cell>
          <cell r="I495" t="str">
            <v>Light Vehicle Passenger</v>
          </cell>
          <cell r="J495" t="str">
            <v>2027/28</v>
          </cell>
        </row>
        <row r="496">
          <cell r="A496" t="str">
            <v>07 TARANAKI</v>
          </cell>
          <cell r="B496">
            <v>3</v>
          </cell>
          <cell r="C496">
            <v>2033</v>
          </cell>
          <cell r="D496">
            <v>446</v>
          </cell>
          <cell r="E496">
            <v>2212</v>
          </cell>
          <cell r="F496">
            <v>42.013913219000003</v>
          </cell>
          <cell r="G496">
            <v>600.51011625000001</v>
          </cell>
          <cell r="H496">
            <v>12.068543048</v>
          </cell>
          <cell r="I496" t="str">
            <v>Light Vehicle Passenger</v>
          </cell>
          <cell r="J496" t="str">
            <v>2032/33</v>
          </cell>
        </row>
        <row r="497">
          <cell r="A497" t="str">
            <v>07 TARANAKI</v>
          </cell>
          <cell r="B497">
            <v>3</v>
          </cell>
          <cell r="C497">
            <v>2038</v>
          </cell>
          <cell r="D497">
            <v>446</v>
          </cell>
          <cell r="E497">
            <v>2212</v>
          </cell>
          <cell r="F497">
            <v>40.992621790000001</v>
          </cell>
          <cell r="G497">
            <v>584.99400001000004</v>
          </cell>
          <cell r="H497">
            <v>11.772313054</v>
          </cell>
          <cell r="I497" t="str">
            <v>Light Vehicle Passenger</v>
          </cell>
          <cell r="J497" t="str">
            <v>2037/38</v>
          </cell>
        </row>
        <row r="498">
          <cell r="A498" t="str">
            <v>07 TARANAKI</v>
          </cell>
          <cell r="B498">
            <v>3</v>
          </cell>
          <cell r="C498">
            <v>2043</v>
          </cell>
          <cell r="D498">
            <v>446</v>
          </cell>
          <cell r="E498">
            <v>2212</v>
          </cell>
          <cell r="F498">
            <v>39.868114945000002</v>
          </cell>
          <cell r="G498">
            <v>568.52799573000004</v>
          </cell>
          <cell r="H498">
            <v>11.452158833</v>
          </cell>
          <cell r="I498" t="str">
            <v>Light Vehicle Passenger</v>
          </cell>
          <cell r="J498" t="str">
            <v>2042/43</v>
          </cell>
        </row>
        <row r="499">
          <cell r="A499" t="str">
            <v>07 TARANAKI</v>
          </cell>
          <cell r="B499">
            <v>4</v>
          </cell>
          <cell r="C499">
            <v>2013</v>
          </cell>
          <cell r="D499">
            <v>10</v>
          </cell>
          <cell r="E499">
            <v>18</v>
          </cell>
          <cell r="F499">
            <v>0.56194422089999996</v>
          </cell>
          <cell r="G499">
            <v>1.1335038904000001</v>
          </cell>
          <cell r="H499">
            <v>0.10005985589999999</v>
          </cell>
          <cell r="J499" t="str">
            <v>2012/13</v>
          </cell>
        </row>
        <row r="500">
          <cell r="A500" t="str">
            <v>07 TARANAKI</v>
          </cell>
          <cell r="B500">
            <v>4</v>
          </cell>
          <cell r="C500">
            <v>2018</v>
          </cell>
          <cell r="D500">
            <v>10</v>
          </cell>
          <cell r="E500">
            <v>18</v>
          </cell>
          <cell r="F500">
            <v>0.65963815029999995</v>
          </cell>
          <cell r="G500">
            <v>1.3356170152</v>
          </cell>
          <cell r="H500">
            <v>0.1183458758</v>
          </cell>
          <cell r="J500" t="str">
            <v>2017/18</v>
          </cell>
        </row>
        <row r="501">
          <cell r="A501" t="str">
            <v>07 TARANAKI</v>
          </cell>
          <cell r="B501">
            <v>4</v>
          </cell>
          <cell r="C501">
            <v>2023</v>
          </cell>
          <cell r="D501">
            <v>10</v>
          </cell>
          <cell r="E501">
            <v>18</v>
          </cell>
          <cell r="F501">
            <v>0.77940576070000001</v>
          </cell>
          <cell r="G501">
            <v>1.5818231103</v>
          </cell>
          <cell r="H501">
            <v>0.14008325460000001</v>
          </cell>
          <cell r="J501" t="str">
            <v>2022/23</v>
          </cell>
        </row>
        <row r="502">
          <cell r="A502" t="str">
            <v>07 TARANAKI</v>
          </cell>
          <cell r="B502">
            <v>4</v>
          </cell>
          <cell r="C502">
            <v>2028</v>
          </cell>
          <cell r="D502">
            <v>10</v>
          </cell>
          <cell r="E502">
            <v>18</v>
          </cell>
          <cell r="F502">
            <v>0.84687472850000001</v>
          </cell>
          <cell r="G502">
            <v>1.7330735669999999</v>
          </cell>
          <cell r="H502">
            <v>0.15281045569999999</v>
          </cell>
          <cell r="J502" t="str">
            <v>2027/28</v>
          </cell>
        </row>
        <row r="503">
          <cell r="A503" t="str">
            <v>07 TARANAKI</v>
          </cell>
          <cell r="B503">
            <v>4</v>
          </cell>
          <cell r="C503">
            <v>2033</v>
          </cell>
          <cell r="D503">
            <v>10</v>
          </cell>
          <cell r="E503">
            <v>18</v>
          </cell>
          <cell r="F503">
            <v>0.8650466912</v>
          </cell>
          <cell r="G503">
            <v>1.7837627894000001</v>
          </cell>
          <cell r="H503">
            <v>0.1568975125</v>
          </cell>
          <cell r="J503" t="str">
            <v>2032/33</v>
          </cell>
        </row>
        <row r="504">
          <cell r="A504" t="str">
            <v>07 TARANAKI</v>
          </cell>
          <cell r="B504">
            <v>4</v>
          </cell>
          <cell r="C504">
            <v>2038</v>
          </cell>
          <cell r="D504">
            <v>10</v>
          </cell>
          <cell r="E504">
            <v>18</v>
          </cell>
          <cell r="F504">
            <v>0.8743959751</v>
          </cell>
          <cell r="G504">
            <v>1.8219587241999999</v>
          </cell>
          <cell r="H504">
            <v>0.15863096339999999</v>
          </cell>
          <cell r="J504" t="str">
            <v>2037/38</v>
          </cell>
        </row>
        <row r="505">
          <cell r="A505" t="str">
            <v>07 TARANAKI</v>
          </cell>
          <cell r="B505">
            <v>4</v>
          </cell>
          <cell r="C505">
            <v>2043</v>
          </cell>
          <cell r="D505">
            <v>10</v>
          </cell>
          <cell r="E505">
            <v>18</v>
          </cell>
          <cell r="F505">
            <v>0.8712388741</v>
          </cell>
          <cell r="G505">
            <v>1.8348403943</v>
          </cell>
          <cell r="H505">
            <v>0.15809506030000001</v>
          </cell>
          <cell r="J505" t="str">
            <v>2042/43</v>
          </cell>
        </row>
        <row r="506">
          <cell r="A506" t="str">
            <v>07 TARANAKI</v>
          </cell>
          <cell r="B506">
            <v>5</v>
          </cell>
          <cell r="C506">
            <v>2013</v>
          </cell>
          <cell r="D506">
            <v>14</v>
          </cell>
          <cell r="E506">
            <v>51</v>
          </cell>
          <cell r="F506">
            <v>1.091812341</v>
          </cell>
          <cell r="G506">
            <v>7.0100687938000004</v>
          </cell>
          <cell r="H506">
            <v>0.25001806910000002</v>
          </cell>
          <cell r="I506" t="str">
            <v>Motorcyclist</v>
          </cell>
          <cell r="J506" t="str">
            <v>2012/13</v>
          </cell>
        </row>
        <row r="507">
          <cell r="A507" t="str">
            <v>07 TARANAKI</v>
          </cell>
          <cell r="B507">
            <v>5</v>
          </cell>
          <cell r="C507">
            <v>2018</v>
          </cell>
          <cell r="D507">
            <v>14</v>
          </cell>
          <cell r="E507">
            <v>51</v>
          </cell>
          <cell r="F507">
            <v>1.0657180475000001</v>
          </cell>
          <cell r="G507">
            <v>6.7265298340999999</v>
          </cell>
          <cell r="H507">
            <v>0.23823023409999999</v>
          </cell>
          <cell r="I507" t="str">
            <v>Motorcyclist</v>
          </cell>
          <cell r="J507" t="str">
            <v>2017/18</v>
          </cell>
        </row>
        <row r="508">
          <cell r="A508" t="str">
            <v>07 TARANAKI</v>
          </cell>
          <cell r="B508">
            <v>5</v>
          </cell>
          <cell r="C508">
            <v>2023</v>
          </cell>
          <cell r="D508">
            <v>14</v>
          </cell>
          <cell r="E508">
            <v>51</v>
          </cell>
          <cell r="F508">
            <v>1.0362364829999999</v>
          </cell>
          <cell r="G508">
            <v>6.8784173278000003</v>
          </cell>
          <cell r="H508">
            <v>0.2458029981</v>
          </cell>
          <cell r="I508" t="str">
            <v>Motorcyclist</v>
          </cell>
          <cell r="J508" t="str">
            <v>2022/23</v>
          </cell>
        </row>
        <row r="509">
          <cell r="A509" t="str">
            <v>07 TARANAKI</v>
          </cell>
          <cell r="B509">
            <v>5</v>
          </cell>
          <cell r="C509">
            <v>2028</v>
          </cell>
          <cell r="D509">
            <v>14</v>
          </cell>
          <cell r="E509">
            <v>51</v>
          </cell>
          <cell r="F509">
            <v>0.91454221999999996</v>
          </cell>
          <cell r="G509">
            <v>6.5711368293000003</v>
          </cell>
          <cell r="H509">
            <v>0.2334480203</v>
          </cell>
          <cell r="I509" t="str">
            <v>Motorcyclist</v>
          </cell>
          <cell r="J509" t="str">
            <v>2027/28</v>
          </cell>
        </row>
        <row r="510">
          <cell r="A510" t="str">
            <v>07 TARANAKI</v>
          </cell>
          <cell r="B510">
            <v>5</v>
          </cell>
          <cell r="C510">
            <v>2033</v>
          </cell>
          <cell r="D510">
            <v>14</v>
          </cell>
          <cell r="E510">
            <v>51</v>
          </cell>
          <cell r="F510">
            <v>0.81172604650000002</v>
          </cell>
          <cell r="G510">
            <v>6.0828833970999998</v>
          </cell>
          <cell r="H510">
            <v>0.2195899238</v>
          </cell>
          <cell r="I510" t="str">
            <v>Motorcyclist</v>
          </cell>
          <cell r="J510" t="str">
            <v>2032/33</v>
          </cell>
        </row>
        <row r="511">
          <cell r="A511" t="str">
            <v>07 TARANAKI</v>
          </cell>
          <cell r="B511">
            <v>5</v>
          </cell>
          <cell r="C511">
            <v>2038</v>
          </cell>
          <cell r="D511">
            <v>14</v>
          </cell>
          <cell r="E511">
            <v>51</v>
          </cell>
          <cell r="F511">
            <v>0.74469353559999996</v>
          </cell>
          <cell r="G511">
            <v>5.5846944226000002</v>
          </cell>
          <cell r="H511">
            <v>0.20747225020000001</v>
          </cell>
          <cell r="I511" t="str">
            <v>Motorcyclist</v>
          </cell>
          <cell r="J511" t="str">
            <v>2037/38</v>
          </cell>
        </row>
        <row r="512">
          <cell r="A512" t="str">
            <v>07 TARANAKI</v>
          </cell>
          <cell r="B512">
            <v>5</v>
          </cell>
          <cell r="C512">
            <v>2043</v>
          </cell>
          <cell r="D512">
            <v>14</v>
          </cell>
          <cell r="E512">
            <v>51</v>
          </cell>
          <cell r="F512">
            <v>0.68301997079999999</v>
          </cell>
          <cell r="G512">
            <v>5.1220485657000001</v>
          </cell>
          <cell r="H512">
            <v>0.19605607410000001</v>
          </cell>
          <cell r="I512" t="str">
            <v>Motorcyclist</v>
          </cell>
          <cell r="J512" t="str">
            <v>2042/43</v>
          </cell>
        </row>
        <row r="513">
          <cell r="A513" t="str">
            <v>07 TARANAKI</v>
          </cell>
          <cell r="B513">
            <v>6</v>
          </cell>
          <cell r="C513">
            <v>2013</v>
          </cell>
          <cell r="D513">
            <v>1</v>
          </cell>
          <cell r="E513">
            <v>2</v>
          </cell>
          <cell r="F513">
            <v>5.3266318100000001E-2</v>
          </cell>
          <cell r="G513">
            <v>0.36455468079999997</v>
          </cell>
          <cell r="H513">
            <v>8.8777196999999999E-3</v>
          </cell>
          <cell r="I513" t="str">
            <v>Local Train</v>
          </cell>
          <cell r="J513" t="str">
            <v>2012/13</v>
          </cell>
        </row>
        <row r="514">
          <cell r="A514" t="str">
            <v>07 TARANAKI</v>
          </cell>
          <cell r="B514">
            <v>6</v>
          </cell>
          <cell r="C514">
            <v>2018</v>
          </cell>
          <cell r="D514">
            <v>1</v>
          </cell>
          <cell r="E514">
            <v>2</v>
          </cell>
          <cell r="F514">
            <v>4.7478185399999998E-2</v>
          </cell>
          <cell r="G514">
            <v>0.32494070110000001</v>
          </cell>
          <cell r="H514">
            <v>7.9130308999999996E-3</v>
          </cell>
          <cell r="I514" t="str">
            <v>Local Train</v>
          </cell>
          <cell r="J514" t="str">
            <v>2017/18</v>
          </cell>
        </row>
        <row r="515">
          <cell r="A515" t="str">
            <v>07 TARANAKI</v>
          </cell>
          <cell r="B515">
            <v>6</v>
          </cell>
          <cell r="C515">
            <v>2023</v>
          </cell>
          <cell r="D515">
            <v>1</v>
          </cell>
          <cell r="E515">
            <v>2</v>
          </cell>
          <cell r="F515">
            <v>4.3247241499999999E-2</v>
          </cell>
          <cell r="G515">
            <v>0.29598412099999999</v>
          </cell>
          <cell r="H515">
            <v>7.2078736000000003E-3</v>
          </cell>
          <cell r="I515" t="str">
            <v>Local Train</v>
          </cell>
          <cell r="J515" t="str">
            <v>2022/23</v>
          </cell>
        </row>
        <row r="516">
          <cell r="A516" t="str">
            <v>07 TARANAKI</v>
          </cell>
          <cell r="B516">
            <v>6</v>
          </cell>
          <cell r="C516">
            <v>2028</v>
          </cell>
          <cell r="D516">
            <v>1</v>
          </cell>
          <cell r="E516">
            <v>2</v>
          </cell>
          <cell r="F516">
            <v>4.2021550499999998E-2</v>
          </cell>
          <cell r="G516">
            <v>0.28759549169999998</v>
          </cell>
          <cell r="H516">
            <v>7.0035918000000003E-3</v>
          </cell>
          <cell r="I516" t="str">
            <v>Local Train</v>
          </cell>
          <cell r="J516" t="str">
            <v>2027/28</v>
          </cell>
        </row>
        <row r="517">
          <cell r="A517" t="str">
            <v>07 TARANAKI</v>
          </cell>
          <cell r="B517">
            <v>6</v>
          </cell>
          <cell r="C517">
            <v>2033</v>
          </cell>
          <cell r="D517">
            <v>1</v>
          </cell>
          <cell r="E517">
            <v>2</v>
          </cell>
          <cell r="F517">
            <v>4.5695541800000003E-2</v>
          </cell>
          <cell r="G517">
            <v>0.3127402883</v>
          </cell>
          <cell r="H517">
            <v>7.6159236000000003E-3</v>
          </cell>
          <cell r="I517" t="str">
            <v>Local Train</v>
          </cell>
          <cell r="J517" t="str">
            <v>2032/33</v>
          </cell>
        </row>
        <row r="518">
          <cell r="A518" t="str">
            <v>07 TARANAKI</v>
          </cell>
          <cell r="B518">
            <v>6</v>
          </cell>
          <cell r="C518">
            <v>2038</v>
          </cell>
          <cell r="D518">
            <v>1</v>
          </cell>
          <cell r="E518">
            <v>2</v>
          </cell>
          <cell r="F518">
            <v>5.2861065999999998E-2</v>
          </cell>
          <cell r="G518">
            <v>0.361781136</v>
          </cell>
          <cell r="H518">
            <v>8.8101776999999996E-3</v>
          </cell>
          <cell r="I518" t="str">
            <v>Local Train</v>
          </cell>
          <cell r="J518" t="str">
            <v>2037/38</v>
          </cell>
        </row>
        <row r="519">
          <cell r="A519" t="str">
            <v>07 TARANAKI</v>
          </cell>
          <cell r="B519">
            <v>6</v>
          </cell>
          <cell r="C519">
            <v>2043</v>
          </cell>
          <cell r="D519">
            <v>1</v>
          </cell>
          <cell r="E519">
            <v>2</v>
          </cell>
          <cell r="F519">
            <v>5.9825714299999999E-2</v>
          </cell>
          <cell r="G519">
            <v>0.4094471884</v>
          </cell>
          <cell r="H519">
            <v>9.9709524000000001E-3</v>
          </cell>
          <cell r="I519" t="str">
            <v>Local Train</v>
          </cell>
          <cell r="J519" t="str">
            <v>2042/43</v>
          </cell>
        </row>
        <row r="520">
          <cell r="A520" t="str">
            <v>07 TARANAKI</v>
          </cell>
          <cell r="B520">
            <v>7</v>
          </cell>
          <cell r="C520">
            <v>2013</v>
          </cell>
          <cell r="D520">
            <v>22</v>
          </cell>
          <cell r="E520">
            <v>54</v>
          </cell>
          <cell r="F520">
            <v>1.2787514622</v>
          </cell>
          <cell r="G520">
            <v>14.084735078</v>
          </cell>
          <cell r="H520">
            <v>0.4632962336</v>
          </cell>
          <cell r="I520" t="str">
            <v>Local Bus</v>
          </cell>
          <cell r="J520" t="str">
            <v>2012/13</v>
          </cell>
        </row>
        <row r="521">
          <cell r="A521" t="str">
            <v>07 TARANAKI</v>
          </cell>
          <cell r="B521">
            <v>7</v>
          </cell>
          <cell r="C521">
            <v>2018</v>
          </cell>
          <cell r="D521">
            <v>22</v>
          </cell>
          <cell r="E521">
            <v>54</v>
          </cell>
          <cell r="F521">
            <v>1.2259846488999999</v>
          </cell>
          <cell r="G521">
            <v>14.233859721</v>
          </cell>
          <cell r="H521">
            <v>0.4401776268</v>
          </cell>
          <cell r="I521" t="str">
            <v>Local Bus</v>
          </cell>
          <cell r="J521" t="str">
            <v>2017/18</v>
          </cell>
        </row>
        <row r="522">
          <cell r="A522" t="str">
            <v>07 TARANAKI</v>
          </cell>
          <cell r="B522">
            <v>7</v>
          </cell>
          <cell r="C522">
            <v>2023</v>
          </cell>
          <cell r="D522">
            <v>22</v>
          </cell>
          <cell r="E522">
            <v>54</v>
          </cell>
          <cell r="F522">
            <v>1.2709805493999999</v>
          </cell>
          <cell r="G522">
            <v>15.706100074</v>
          </cell>
          <cell r="H522">
            <v>0.45922042800000001</v>
          </cell>
          <cell r="I522" t="str">
            <v>Local Bus</v>
          </cell>
          <cell r="J522" t="str">
            <v>2022/23</v>
          </cell>
        </row>
        <row r="523">
          <cell r="A523" t="str">
            <v>07 TARANAKI</v>
          </cell>
          <cell r="B523">
            <v>7</v>
          </cell>
          <cell r="C523">
            <v>2028</v>
          </cell>
          <cell r="D523">
            <v>22</v>
          </cell>
          <cell r="E523">
            <v>54</v>
          </cell>
          <cell r="F523">
            <v>1.2362657744000001</v>
          </cell>
          <cell r="G523">
            <v>15.793887137</v>
          </cell>
          <cell r="H523">
            <v>0.44999265170000002</v>
          </cell>
          <cell r="I523" t="str">
            <v>Local Bus</v>
          </cell>
          <cell r="J523" t="str">
            <v>2027/28</v>
          </cell>
        </row>
        <row r="524">
          <cell r="A524" t="str">
            <v>07 TARANAKI</v>
          </cell>
          <cell r="B524">
            <v>7</v>
          </cell>
          <cell r="C524">
            <v>2033</v>
          </cell>
          <cell r="D524">
            <v>22</v>
          </cell>
          <cell r="E524">
            <v>54</v>
          </cell>
          <cell r="F524">
            <v>1.1831858065</v>
          </cell>
          <cell r="G524">
            <v>15.563459943</v>
          </cell>
          <cell r="H524">
            <v>0.43446286099999998</v>
          </cell>
          <cell r="I524" t="str">
            <v>Local Bus</v>
          </cell>
          <cell r="J524" t="str">
            <v>2032/33</v>
          </cell>
        </row>
        <row r="525">
          <cell r="A525" t="str">
            <v>07 TARANAKI</v>
          </cell>
          <cell r="B525">
            <v>7</v>
          </cell>
          <cell r="C525">
            <v>2038</v>
          </cell>
          <cell r="D525">
            <v>22</v>
          </cell>
          <cell r="E525">
            <v>54</v>
          </cell>
          <cell r="F525">
            <v>1.1773097568999999</v>
          </cell>
          <cell r="G525">
            <v>16.310720518</v>
          </cell>
          <cell r="H525">
            <v>0.43955886779999997</v>
          </cell>
          <cell r="I525" t="str">
            <v>Local Bus</v>
          </cell>
          <cell r="J525" t="str">
            <v>2037/38</v>
          </cell>
        </row>
        <row r="526">
          <cell r="A526" t="str">
            <v>07 TARANAKI</v>
          </cell>
          <cell r="B526">
            <v>7</v>
          </cell>
          <cell r="C526">
            <v>2043</v>
          </cell>
          <cell r="D526">
            <v>22</v>
          </cell>
          <cell r="E526">
            <v>54</v>
          </cell>
          <cell r="F526">
            <v>1.1729988147999999</v>
          </cell>
          <cell r="G526">
            <v>17.010189947000001</v>
          </cell>
          <cell r="H526">
            <v>0.44480124669999999</v>
          </cell>
          <cell r="I526" t="str">
            <v>Local Bus</v>
          </cell>
          <cell r="J526" t="str">
            <v>2042/43</v>
          </cell>
        </row>
        <row r="527">
          <cell r="A527" t="str">
            <v>07 TARANAKI</v>
          </cell>
          <cell r="B527">
            <v>9</v>
          </cell>
          <cell r="C527">
            <v>2013</v>
          </cell>
          <cell r="D527">
            <v>4</v>
          </cell>
          <cell r="E527">
            <v>11</v>
          </cell>
          <cell r="F527">
            <v>0.17475937220000001</v>
          </cell>
          <cell r="G527">
            <v>0</v>
          </cell>
          <cell r="H527">
            <v>5.6354069499999999E-2</v>
          </cell>
          <cell r="I527" t="str">
            <v>Other Household Travel</v>
          </cell>
          <cell r="J527" t="str">
            <v>2012/13</v>
          </cell>
        </row>
        <row r="528">
          <cell r="A528" t="str">
            <v>07 TARANAKI</v>
          </cell>
          <cell r="B528">
            <v>9</v>
          </cell>
          <cell r="C528">
            <v>2018</v>
          </cell>
          <cell r="D528">
            <v>4</v>
          </cell>
          <cell r="E528">
            <v>11</v>
          </cell>
          <cell r="F528">
            <v>0.16870602740000001</v>
          </cell>
          <cell r="G528">
            <v>0</v>
          </cell>
          <cell r="H528">
            <v>5.2772287000000001E-2</v>
          </cell>
          <cell r="I528" t="str">
            <v>Other Household Travel</v>
          </cell>
          <cell r="J528" t="str">
            <v>2017/18</v>
          </cell>
        </row>
        <row r="529">
          <cell r="A529" t="str">
            <v>07 TARANAKI</v>
          </cell>
          <cell r="B529">
            <v>9</v>
          </cell>
          <cell r="C529">
            <v>2023</v>
          </cell>
          <cell r="D529">
            <v>4</v>
          </cell>
          <cell r="E529">
            <v>11</v>
          </cell>
          <cell r="F529">
            <v>0.17951274489999999</v>
          </cell>
          <cell r="G529">
            <v>0</v>
          </cell>
          <cell r="H529">
            <v>5.4526428299999999E-2</v>
          </cell>
          <cell r="I529" t="str">
            <v>Other Household Travel</v>
          </cell>
          <cell r="J529" t="str">
            <v>2022/23</v>
          </cell>
        </row>
        <row r="530">
          <cell r="A530" t="str">
            <v>07 TARANAKI</v>
          </cell>
          <cell r="B530">
            <v>9</v>
          </cell>
          <cell r="C530">
            <v>2028</v>
          </cell>
          <cell r="D530">
            <v>4</v>
          </cell>
          <cell r="E530">
            <v>11</v>
          </cell>
          <cell r="F530">
            <v>0.17209788100000001</v>
          </cell>
          <cell r="G530">
            <v>0</v>
          </cell>
          <cell r="H530">
            <v>5.3389718099999997E-2</v>
          </cell>
          <cell r="I530" t="str">
            <v>Other Household Travel</v>
          </cell>
          <cell r="J530" t="str">
            <v>2027/28</v>
          </cell>
        </row>
        <row r="531">
          <cell r="A531" t="str">
            <v>07 TARANAKI</v>
          </cell>
          <cell r="B531">
            <v>9</v>
          </cell>
          <cell r="C531">
            <v>2033</v>
          </cell>
          <cell r="D531">
            <v>4</v>
          </cell>
          <cell r="E531">
            <v>11</v>
          </cell>
          <cell r="F531">
            <v>0.17226914779999999</v>
          </cell>
          <cell r="G531">
            <v>0</v>
          </cell>
          <cell r="H531">
            <v>5.5335361100000001E-2</v>
          </cell>
          <cell r="I531" t="str">
            <v>Other Household Travel</v>
          </cell>
          <cell r="J531" t="str">
            <v>2032/33</v>
          </cell>
        </row>
        <row r="532">
          <cell r="A532" t="str">
            <v>07 TARANAKI</v>
          </cell>
          <cell r="B532">
            <v>9</v>
          </cell>
          <cell r="C532">
            <v>2038</v>
          </cell>
          <cell r="D532">
            <v>4</v>
          </cell>
          <cell r="E532">
            <v>11</v>
          </cell>
          <cell r="F532">
            <v>0.16556097589999999</v>
          </cell>
          <cell r="G532">
            <v>0</v>
          </cell>
          <cell r="H532">
            <v>5.3430628700000003E-2</v>
          </cell>
          <cell r="I532" t="str">
            <v>Other Household Travel</v>
          </cell>
          <cell r="J532" t="str">
            <v>2037/38</v>
          </cell>
        </row>
        <row r="533">
          <cell r="A533" t="str">
            <v>07 TARANAKI</v>
          </cell>
          <cell r="B533">
            <v>9</v>
          </cell>
          <cell r="C533">
            <v>2043</v>
          </cell>
          <cell r="D533">
            <v>4</v>
          </cell>
          <cell r="E533">
            <v>11</v>
          </cell>
          <cell r="F533">
            <v>0.15331027459999999</v>
          </cell>
          <cell r="G533">
            <v>0</v>
          </cell>
          <cell r="H533">
            <v>4.8526928499999997E-2</v>
          </cell>
          <cell r="I533" t="str">
            <v>Other Household Travel</v>
          </cell>
          <cell r="J533" t="str">
            <v>2042/43</v>
          </cell>
        </row>
        <row r="534">
          <cell r="A534" t="str">
            <v>07 TARANAKI</v>
          </cell>
          <cell r="B534">
            <v>10</v>
          </cell>
          <cell r="C534">
            <v>2013</v>
          </cell>
          <cell r="D534">
            <v>7</v>
          </cell>
          <cell r="E534">
            <v>9</v>
          </cell>
          <cell r="F534">
            <v>0.31946750800000001</v>
          </cell>
          <cell r="G534">
            <v>11.123016451</v>
          </cell>
          <cell r="H534">
            <v>0.97687121219999995</v>
          </cell>
          <cell r="I534" t="str">
            <v>Air/Non-Local PT</v>
          </cell>
          <cell r="J534" t="str">
            <v>2012/13</v>
          </cell>
        </row>
        <row r="535">
          <cell r="A535" t="str">
            <v>07 TARANAKI</v>
          </cell>
          <cell r="B535">
            <v>10</v>
          </cell>
          <cell r="C535">
            <v>2018</v>
          </cell>
          <cell r="D535">
            <v>7</v>
          </cell>
          <cell r="E535">
            <v>9</v>
          </cell>
          <cell r="F535">
            <v>0.2473080456</v>
          </cell>
          <cell r="G535">
            <v>11.702998783</v>
          </cell>
          <cell r="H535">
            <v>0.75859046740000002</v>
          </cell>
          <cell r="I535" t="str">
            <v>Air/Non-Local PT</v>
          </cell>
          <cell r="J535" t="str">
            <v>2017/18</v>
          </cell>
        </row>
        <row r="536">
          <cell r="A536" t="str">
            <v>07 TARANAKI</v>
          </cell>
          <cell r="B536">
            <v>10</v>
          </cell>
          <cell r="C536">
            <v>2023</v>
          </cell>
          <cell r="D536">
            <v>7</v>
          </cell>
          <cell r="E536">
            <v>9</v>
          </cell>
          <cell r="F536">
            <v>0.2090709469</v>
          </cell>
          <cell r="G536">
            <v>13.02078377</v>
          </cell>
          <cell r="H536">
            <v>0.64681839870000002</v>
          </cell>
          <cell r="I536" t="str">
            <v>Air/Non-Local PT</v>
          </cell>
          <cell r="J536" t="str">
            <v>2022/23</v>
          </cell>
        </row>
        <row r="537">
          <cell r="A537" t="str">
            <v>07 TARANAKI</v>
          </cell>
          <cell r="B537">
            <v>10</v>
          </cell>
          <cell r="C537">
            <v>2028</v>
          </cell>
          <cell r="D537">
            <v>7</v>
          </cell>
          <cell r="E537">
            <v>9</v>
          </cell>
          <cell r="F537">
            <v>0.19412385130000001</v>
          </cell>
          <cell r="G537">
            <v>15.41775346</v>
          </cell>
          <cell r="H537">
            <v>0.60699533039999998</v>
          </cell>
          <cell r="I537" t="str">
            <v>Air/Non-Local PT</v>
          </cell>
          <cell r="J537" t="str">
            <v>2027/28</v>
          </cell>
        </row>
        <row r="538">
          <cell r="A538" t="str">
            <v>07 TARANAKI</v>
          </cell>
          <cell r="B538">
            <v>10</v>
          </cell>
          <cell r="C538">
            <v>2033</v>
          </cell>
          <cell r="D538">
            <v>7</v>
          </cell>
          <cell r="E538">
            <v>9</v>
          </cell>
          <cell r="F538">
            <v>0.1842468639</v>
          </cell>
          <cell r="G538">
            <v>17.097496394</v>
          </cell>
          <cell r="H538">
            <v>0.57496019639999996</v>
          </cell>
          <cell r="I538" t="str">
            <v>Air/Non-Local PT</v>
          </cell>
          <cell r="J538" t="str">
            <v>2032/33</v>
          </cell>
        </row>
        <row r="539">
          <cell r="A539" t="str">
            <v>07 TARANAKI</v>
          </cell>
          <cell r="B539">
            <v>10</v>
          </cell>
          <cell r="C539">
            <v>2038</v>
          </cell>
          <cell r="D539">
            <v>7</v>
          </cell>
          <cell r="E539">
            <v>9</v>
          </cell>
          <cell r="F539">
            <v>0.17689159800000001</v>
          </cell>
          <cell r="G539">
            <v>18.847315310999999</v>
          </cell>
          <cell r="H539">
            <v>0.54727158460000003</v>
          </cell>
          <cell r="I539" t="str">
            <v>Air/Non-Local PT</v>
          </cell>
          <cell r="J539" t="str">
            <v>2037/38</v>
          </cell>
        </row>
        <row r="540">
          <cell r="A540" t="str">
            <v>07 TARANAKI</v>
          </cell>
          <cell r="B540">
            <v>10</v>
          </cell>
          <cell r="C540">
            <v>2043</v>
          </cell>
          <cell r="D540">
            <v>7</v>
          </cell>
          <cell r="E540">
            <v>9</v>
          </cell>
          <cell r="F540">
            <v>0.1705068683</v>
          </cell>
          <cell r="G540">
            <v>20.427132807</v>
          </cell>
          <cell r="H540">
            <v>0.5240259089</v>
          </cell>
          <cell r="I540" t="str">
            <v>Air/Non-Local PT</v>
          </cell>
          <cell r="J540" t="str">
            <v>2042/43</v>
          </cell>
        </row>
        <row r="541">
          <cell r="A541" t="str">
            <v>07 TARANAKI</v>
          </cell>
          <cell r="B541">
            <v>11</v>
          </cell>
          <cell r="C541">
            <v>2013</v>
          </cell>
          <cell r="D541">
            <v>28</v>
          </cell>
          <cell r="E541">
            <v>118</v>
          </cell>
          <cell r="F541">
            <v>3.0516698092999999</v>
          </cell>
          <cell r="G541">
            <v>51.301529111999997</v>
          </cell>
          <cell r="H541">
            <v>1.1153896443</v>
          </cell>
          <cell r="I541" t="str">
            <v>Non-Household Travel</v>
          </cell>
          <cell r="J541" t="str">
            <v>2012/13</v>
          </cell>
        </row>
        <row r="542">
          <cell r="A542" t="str">
            <v>07 TARANAKI</v>
          </cell>
          <cell r="B542">
            <v>11</v>
          </cell>
          <cell r="C542">
            <v>2018</v>
          </cell>
          <cell r="D542">
            <v>28</v>
          </cell>
          <cell r="E542">
            <v>118</v>
          </cell>
          <cell r="F542">
            <v>3.2074461582999998</v>
          </cell>
          <cell r="G542">
            <v>53.262663197000002</v>
          </cell>
          <cell r="H542">
            <v>1.1842164422999999</v>
          </cell>
          <cell r="I542" t="str">
            <v>Non-Household Travel</v>
          </cell>
          <cell r="J542" t="str">
            <v>2017/18</v>
          </cell>
        </row>
        <row r="543">
          <cell r="A543" t="str">
            <v>07 TARANAKI</v>
          </cell>
          <cell r="B543">
            <v>11</v>
          </cell>
          <cell r="C543">
            <v>2023</v>
          </cell>
          <cell r="D543">
            <v>28</v>
          </cell>
          <cell r="E543">
            <v>118</v>
          </cell>
          <cell r="F543">
            <v>3.7179862480999999</v>
          </cell>
          <cell r="G543">
            <v>61.224273134000001</v>
          </cell>
          <cell r="H543">
            <v>1.3852389569000001</v>
          </cell>
          <cell r="I543" t="str">
            <v>Non-Household Travel</v>
          </cell>
          <cell r="J543" t="str">
            <v>2022/23</v>
          </cell>
        </row>
        <row r="544">
          <cell r="A544" t="str">
            <v>07 TARANAKI</v>
          </cell>
          <cell r="B544">
            <v>11</v>
          </cell>
          <cell r="C544">
            <v>2028</v>
          </cell>
          <cell r="D544">
            <v>28</v>
          </cell>
          <cell r="E544">
            <v>118</v>
          </cell>
          <cell r="F544">
            <v>3.8899789636</v>
          </cell>
          <cell r="G544">
            <v>62.284290564000003</v>
          </cell>
          <cell r="H544">
            <v>1.4385685981</v>
          </cell>
          <cell r="I544" t="str">
            <v>Non-Household Travel</v>
          </cell>
          <cell r="J544" t="str">
            <v>2027/28</v>
          </cell>
        </row>
        <row r="545">
          <cell r="A545" t="str">
            <v>07 TARANAKI</v>
          </cell>
          <cell r="B545">
            <v>11</v>
          </cell>
          <cell r="C545">
            <v>2033</v>
          </cell>
          <cell r="D545">
            <v>28</v>
          </cell>
          <cell r="E545">
            <v>118</v>
          </cell>
          <cell r="F545">
            <v>3.9763565735999999</v>
          </cell>
          <cell r="G545">
            <v>62.223754522999997</v>
          </cell>
          <cell r="H545">
            <v>1.4517396520000001</v>
          </cell>
          <cell r="I545" t="str">
            <v>Non-Household Travel</v>
          </cell>
          <cell r="J545" t="str">
            <v>2032/33</v>
          </cell>
        </row>
        <row r="546">
          <cell r="A546" t="str">
            <v>07 TARANAKI</v>
          </cell>
          <cell r="B546">
            <v>11</v>
          </cell>
          <cell r="C546">
            <v>2038</v>
          </cell>
          <cell r="D546">
            <v>28</v>
          </cell>
          <cell r="E546">
            <v>118</v>
          </cell>
          <cell r="F546">
            <v>4.0237509960000004</v>
          </cell>
          <cell r="G546">
            <v>61.618075013000002</v>
          </cell>
          <cell r="H546">
            <v>1.4400626811999999</v>
          </cell>
          <cell r="I546" t="str">
            <v>Non-Household Travel</v>
          </cell>
          <cell r="J546" t="str">
            <v>2037/38</v>
          </cell>
        </row>
        <row r="547">
          <cell r="A547" t="str">
            <v>07 TARANAKI</v>
          </cell>
          <cell r="B547">
            <v>11</v>
          </cell>
          <cell r="C547">
            <v>2043</v>
          </cell>
          <cell r="D547">
            <v>28</v>
          </cell>
          <cell r="E547">
            <v>118</v>
          </cell>
          <cell r="F547">
            <v>4.0536572766000001</v>
          </cell>
          <cell r="G547">
            <v>60.568247806999999</v>
          </cell>
          <cell r="H547">
            <v>1.4183159008999999</v>
          </cell>
          <cell r="I547" t="str">
            <v>Non-Household Travel</v>
          </cell>
          <cell r="J547" t="str">
            <v>2042/43</v>
          </cell>
        </row>
        <row r="548">
          <cell r="A548" t="str">
            <v>08 MANAWATU-WANGANUI</v>
          </cell>
          <cell r="B548">
            <v>0</v>
          </cell>
          <cell r="C548">
            <v>2013</v>
          </cell>
          <cell r="D548">
            <v>214</v>
          </cell>
          <cell r="E548">
            <v>797</v>
          </cell>
          <cell r="F548">
            <v>39.544031846000003</v>
          </cell>
          <cell r="G548">
            <v>32.265609755</v>
          </cell>
          <cell r="H548">
            <v>8.3408449691000008</v>
          </cell>
          <cell r="I548" t="str">
            <v>Pedestrian</v>
          </cell>
          <cell r="J548" t="str">
            <v>2012/13</v>
          </cell>
        </row>
        <row r="549">
          <cell r="A549" t="str">
            <v>08 MANAWATU-WANGANUI</v>
          </cell>
          <cell r="B549">
            <v>0</v>
          </cell>
          <cell r="C549">
            <v>2018</v>
          </cell>
          <cell r="D549">
            <v>214</v>
          </cell>
          <cell r="E549">
            <v>797</v>
          </cell>
          <cell r="F549">
            <v>35.281600984999997</v>
          </cell>
          <cell r="G549">
            <v>29.466502982000002</v>
          </cell>
          <cell r="H549">
            <v>7.4580995677999997</v>
          </cell>
          <cell r="I549" t="str">
            <v>Pedestrian</v>
          </cell>
          <cell r="J549" t="str">
            <v>2017/18</v>
          </cell>
        </row>
        <row r="550">
          <cell r="A550" t="str">
            <v>08 MANAWATU-WANGANUI</v>
          </cell>
          <cell r="B550">
            <v>0</v>
          </cell>
          <cell r="C550">
            <v>2023</v>
          </cell>
          <cell r="D550">
            <v>214</v>
          </cell>
          <cell r="E550">
            <v>797</v>
          </cell>
          <cell r="F550">
            <v>34.243383145000003</v>
          </cell>
          <cell r="G550">
            <v>29.060687991999998</v>
          </cell>
          <cell r="H550">
            <v>7.1746694297999998</v>
          </cell>
          <cell r="I550" t="str">
            <v>Pedestrian</v>
          </cell>
          <cell r="J550" t="str">
            <v>2022/23</v>
          </cell>
        </row>
        <row r="551">
          <cell r="A551" t="str">
            <v>08 MANAWATU-WANGANUI</v>
          </cell>
          <cell r="B551">
            <v>0</v>
          </cell>
          <cell r="C551">
            <v>2028</v>
          </cell>
          <cell r="D551">
            <v>214</v>
          </cell>
          <cell r="E551">
            <v>797</v>
          </cell>
          <cell r="F551">
            <v>30.658774294000001</v>
          </cell>
          <cell r="G551">
            <v>26.171112049000001</v>
          </cell>
          <cell r="H551">
            <v>6.3446401915999999</v>
          </cell>
          <cell r="I551" t="str">
            <v>Pedestrian</v>
          </cell>
          <cell r="J551" t="str">
            <v>2027/28</v>
          </cell>
        </row>
        <row r="552">
          <cell r="A552" t="str">
            <v>08 MANAWATU-WANGANUI</v>
          </cell>
          <cell r="B552">
            <v>0</v>
          </cell>
          <cell r="C552">
            <v>2033</v>
          </cell>
          <cell r="D552">
            <v>214</v>
          </cell>
          <cell r="E552">
            <v>797</v>
          </cell>
          <cell r="F552">
            <v>27.922635207999999</v>
          </cell>
          <cell r="G552">
            <v>23.859221262999998</v>
          </cell>
          <cell r="H552">
            <v>5.6664411479999997</v>
          </cell>
          <cell r="I552" t="str">
            <v>Pedestrian</v>
          </cell>
          <cell r="J552" t="str">
            <v>2032/33</v>
          </cell>
        </row>
        <row r="553">
          <cell r="A553" t="str">
            <v>08 MANAWATU-WANGANUI</v>
          </cell>
          <cell r="B553">
            <v>0</v>
          </cell>
          <cell r="C553">
            <v>2038</v>
          </cell>
          <cell r="D553">
            <v>214</v>
          </cell>
          <cell r="E553">
            <v>797</v>
          </cell>
          <cell r="F553">
            <v>25.797808886999999</v>
          </cell>
          <cell r="G553">
            <v>22.061413252000001</v>
          </cell>
          <cell r="H553">
            <v>5.1034251426999999</v>
          </cell>
          <cell r="I553" t="str">
            <v>Pedestrian</v>
          </cell>
          <cell r="J553" t="str">
            <v>2037/38</v>
          </cell>
        </row>
        <row r="554">
          <cell r="A554" t="str">
            <v>08 MANAWATU-WANGANUI</v>
          </cell>
          <cell r="B554">
            <v>0</v>
          </cell>
          <cell r="C554">
            <v>2043</v>
          </cell>
          <cell r="D554">
            <v>214</v>
          </cell>
          <cell r="E554">
            <v>797</v>
          </cell>
          <cell r="F554">
            <v>24.045328018999999</v>
          </cell>
          <cell r="G554">
            <v>20.637633812000001</v>
          </cell>
          <cell r="H554">
            <v>4.6480732138</v>
          </cell>
          <cell r="I554" t="str">
            <v>Pedestrian</v>
          </cell>
          <cell r="J554" t="str">
            <v>2042/43</v>
          </cell>
        </row>
        <row r="555">
          <cell r="A555" t="str">
            <v>08 MANAWATU-WANGANUI</v>
          </cell>
          <cell r="B555">
            <v>1</v>
          </cell>
          <cell r="C555">
            <v>2013</v>
          </cell>
          <cell r="D555">
            <v>33</v>
          </cell>
          <cell r="E555">
            <v>96</v>
          </cell>
          <cell r="F555">
            <v>4.6745036201000003</v>
          </cell>
          <cell r="G555">
            <v>20.722330986999999</v>
          </cell>
          <cell r="H555">
            <v>1.7566260256999999</v>
          </cell>
          <cell r="I555" t="str">
            <v>Cyclist</v>
          </cell>
          <cell r="J555" t="str">
            <v>2012/13</v>
          </cell>
        </row>
        <row r="556">
          <cell r="A556" t="str">
            <v>08 MANAWATU-WANGANUI</v>
          </cell>
          <cell r="B556">
            <v>1</v>
          </cell>
          <cell r="C556">
            <v>2018</v>
          </cell>
          <cell r="D556">
            <v>33</v>
          </cell>
          <cell r="E556">
            <v>96</v>
          </cell>
          <cell r="F556">
            <v>4.6079092990000001</v>
          </cell>
          <cell r="G556">
            <v>21.746357148000001</v>
          </cell>
          <cell r="H556">
            <v>1.8048560574000001</v>
          </cell>
          <cell r="I556" t="str">
            <v>Cyclist</v>
          </cell>
          <cell r="J556" t="str">
            <v>2017/18</v>
          </cell>
        </row>
        <row r="557">
          <cell r="A557" t="str">
            <v>08 MANAWATU-WANGANUI</v>
          </cell>
          <cell r="B557">
            <v>1</v>
          </cell>
          <cell r="C557">
            <v>2023</v>
          </cell>
          <cell r="D557">
            <v>33</v>
          </cell>
          <cell r="E557">
            <v>96</v>
          </cell>
          <cell r="F557">
            <v>4.9822008565000004</v>
          </cell>
          <cell r="G557">
            <v>24.594026543999998</v>
          </cell>
          <cell r="H557">
            <v>2.0185444753000001</v>
          </cell>
          <cell r="I557" t="str">
            <v>Cyclist</v>
          </cell>
          <cell r="J557" t="str">
            <v>2022/23</v>
          </cell>
        </row>
        <row r="558">
          <cell r="A558" t="str">
            <v>08 MANAWATU-WANGANUI</v>
          </cell>
          <cell r="B558">
            <v>1</v>
          </cell>
          <cell r="C558">
            <v>2028</v>
          </cell>
          <cell r="D558">
            <v>33</v>
          </cell>
          <cell r="E558">
            <v>96</v>
          </cell>
          <cell r="F558">
            <v>5.1462659110000004</v>
          </cell>
          <cell r="G558">
            <v>25.002217221999999</v>
          </cell>
          <cell r="H558">
            <v>2.0807619965000002</v>
          </cell>
          <cell r="I558" t="str">
            <v>Cyclist</v>
          </cell>
          <cell r="J558" t="str">
            <v>2027/28</v>
          </cell>
        </row>
        <row r="559">
          <cell r="A559" t="str">
            <v>08 MANAWATU-WANGANUI</v>
          </cell>
          <cell r="B559">
            <v>1</v>
          </cell>
          <cell r="C559">
            <v>2033</v>
          </cell>
          <cell r="D559">
            <v>33</v>
          </cell>
          <cell r="E559">
            <v>96</v>
          </cell>
          <cell r="F559">
            <v>5.3332584908999996</v>
          </cell>
          <cell r="G559">
            <v>25.166609346000001</v>
          </cell>
          <cell r="H559">
            <v>2.1177243558000001</v>
          </cell>
          <cell r="I559" t="str">
            <v>Cyclist</v>
          </cell>
          <cell r="J559" t="str">
            <v>2032/33</v>
          </cell>
        </row>
        <row r="560">
          <cell r="A560" t="str">
            <v>08 MANAWATU-WANGANUI</v>
          </cell>
          <cell r="B560">
            <v>1</v>
          </cell>
          <cell r="C560">
            <v>2038</v>
          </cell>
          <cell r="D560">
            <v>33</v>
          </cell>
          <cell r="E560">
            <v>96</v>
          </cell>
          <cell r="F560">
            <v>5.2482667657000004</v>
          </cell>
          <cell r="G560">
            <v>25.141745562000001</v>
          </cell>
          <cell r="H560">
            <v>2.0881002178000001</v>
          </cell>
          <cell r="I560" t="str">
            <v>Cyclist</v>
          </cell>
          <cell r="J560" t="str">
            <v>2037/38</v>
          </cell>
        </row>
        <row r="561">
          <cell r="A561" t="str">
            <v>08 MANAWATU-WANGANUI</v>
          </cell>
          <cell r="B561">
            <v>1</v>
          </cell>
          <cell r="C561">
            <v>2043</v>
          </cell>
          <cell r="D561">
            <v>33</v>
          </cell>
          <cell r="E561">
            <v>96</v>
          </cell>
          <cell r="F561">
            <v>5.1379314098000002</v>
          </cell>
          <cell r="G561">
            <v>24.912906242999998</v>
          </cell>
          <cell r="H561">
            <v>2.0394340386000001</v>
          </cell>
          <cell r="I561" t="str">
            <v>Cyclist</v>
          </cell>
          <cell r="J561" t="str">
            <v>2042/43</v>
          </cell>
        </row>
        <row r="562">
          <cell r="A562" t="str">
            <v>08 MANAWATU-WANGANUI</v>
          </cell>
          <cell r="B562">
            <v>2</v>
          </cell>
          <cell r="C562">
            <v>2013</v>
          </cell>
          <cell r="D562">
            <v>588</v>
          </cell>
          <cell r="E562">
            <v>4259</v>
          </cell>
          <cell r="F562">
            <v>178.69640117</v>
          </cell>
          <cell r="G562">
            <v>1782.4745101999999</v>
          </cell>
          <cell r="H562">
            <v>42.09204356</v>
          </cell>
          <cell r="I562" t="str">
            <v>Light Vehicle Driver</v>
          </cell>
          <cell r="J562" t="str">
            <v>2012/13</v>
          </cell>
        </row>
        <row r="563">
          <cell r="A563" t="str">
            <v>08 MANAWATU-WANGANUI</v>
          </cell>
          <cell r="B563">
            <v>2</v>
          </cell>
          <cell r="C563">
            <v>2018</v>
          </cell>
          <cell r="D563">
            <v>588</v>
          </cell>
          <cell r="E563">
            <v>4259</v>
          </cell>
          <cell r="F563">
            <v>176.34949293</v>
          </cell>
          <cell r="G563">
            <v>1784.8302051999999</v>
          </cell>
          <cell r="H563">
            <v>42.024484913999999</v>
          </cell>
          <cell r="I563" t="str">
            <v>Light Vehicle Driver</v>
          </cell>
          <cell r="J563" t="str">
            <v>2017/18</v>
          </cell>
        </row>
        <row r="564">
          <cell r="A564" t="str">
            <v>08 MANAWATU-WANGANUI</v>
          </cell>
          <cell r="B564">
            <v>2</v>
          </cell>
          <cell r="C564">
            <v>2023</v>
          </cell>
          <cell r="D564">
            <v>588</v>
          </cell>
          <cell r="E564">
            <v>4259</v>
          </cell>
          <cell r="F564">
            <v>185.6082236</v>
          </cell>
          <cell r="G564">
            <v>1915.0687966999999</v>
          </cell>
          <cell r="H564">
            <v>44.774279857000003</v>
          </cell>
          <cell r="I564" t="str">
            <v>Light Vehicle Driver</v>
          </cell>
          <cell r="J564" t="str">
            <v>2022/23</v>
          </cell>
        </row>
        <row r="565">
          <cell r="A565" t="str">
            <v>08 MANAWATU-WANGANUI</v>
          </cell>
          <cell r="B565">
            <v>2</v>
          </cell>
          <cell r="C565">
            <v>2028</v>
          </cell>
          <cell r="D565">
            <v>588</v>
          </cell>
          <cell r="E565">
            <v>4259</v>
          </cell>
          <cell r="F565">
            <v>183.51670859999999</v>
          </cell>
          <cell r="G565">
            <v>1934.6960892</v>
          </cell>
          <cell r="H565">
            <v>44.740142065999997</v>
          </cell>
          <cell r="I565" t="str">
            <v>Light Vehicle Driver</v>
          </cell>
          <cell r="J565" t="str">
            <v>2027/28</v>
          </cell>
        </row>
        <row r="566">
          <cell r="A566" t="str">
            <v>08 MANAWATU-WANGANUI</v>
          </cell>
          <cell r="B566">
            <v>2</v>
          </cell>
          <cell r="C566">
            <v>2033</v>
          </cell>
          <cell r="D566">
            <v>588</v>
          </cell>
          <cell r="E566">
            <v>4259</v>
          </cell>
          <cell r="F566">
            <v>181.43916185</v>
          </cell>
          <cell r="G566">
            <v>1932.9971674000001</v>
          </cell>
          <cell r="H566">
            <v>44.418519559000003</v>
          </cell>
          <cell r="I566" t="str">
            <v>Light Vehicle Driver</v>
          </cell>
          <cell r="J566" t="str">
            <v>2032/33</v>
          </cell>
        </row>
        <row r="567">
          <cell r="A567" t="str">
            <v>08 MANAWATU-WANGANUI</v>
          </cell>
          <cell r="B567">
            <v>2</v>
          </cell>
          <cell r="C567">
            <v>2038</v>
          </cell>
          <cell r="D567">
            <v>588</v>
          </cell>
          <cell r="E567">
            <v>4259</v>
          </cell>
          <cell r="F567">
            <v>176.1530214</v>
          </cell>
          <cell r="G567">
            <v>1894.8841007000001</v>
          </cell>
          <cell r="H567">
            <v>43.248420537000001</v>
          </cell>
          <cell r="I567" t="str">
            <v>Light Vehicle Driver</v>
          </cell>
          <cell r="J567" t="str">
            <v>2037/38</v>
          </cell>
        </row>
        <row r="568">
          <cell r="A568" t="str">
            <v>08 MANAWATU-WANGANUI</v>
          </cell>
          <cell r="B568">
            <v>2</v>
          </cell>
          <cell r="C568">
            <v>2043</v>
          </cell>
          <cell r="D568">
            <v>588</v>
          </cell>
          <cell r="E568">
            <v>4259</v>
          </cell>
          <cell r="F568">
            <v>169.94093574999999</v>
          </cell>
          <cell r="G568">
            <v>1844.1645357</v>
          </cell>
          <cell r="H568">
            <v>41.809515456</v>
          </cell>
          <cell r="I568" t="str">
            <v>Light Vehicle Driver</v>
          </cell>
          <cell r="J568" t="str">
            <v>2042/43</v>
          </cell>
        </row>
        <row r="569">
          <cell r="A569" t="str">
            <v>08 MANAWATU-WANGANUI</v>
          </cell>
          <cell r="B569">
            <v>3</v>
          </cell>
          <cell r="C569">
            <v>2013</v>
          </cell>
          <cell r="D569">
            <v>425</v>
          </cell>
          <cell r="E569">
            <v>2071</v>
          </cell>
          <cell r="F569">
            <v>84.046137802999993</v>
          </cell>
          <cell r="G569">
            <v>885.65568203999999</v>
          </cell>
          <cell r="H569">
            <v>20.286542670999999</v>
          </cell>
          <cell r="I569" t="str">
            <v>Light Vehicle Passenger</v>
          </cell>
          <cell r="J569" t="str">
            <v>2012/13</v>
          </cell>
        </row>
        <row r="570">
          <cell r="A570" t="str">
            <v>08 MANAWATU-WANGANUI</v>
          </cell>
          <cell r="B570">
            <v>3</v>
          </cell>
          <cell r="C570">
            <v>2018</v>
          </cell>
          <cell r="D570">
            <v>425</v>
          </cell>
          <cell r="E570">
            <v>2071</v>
          </cell>
          <cell r="F570">
            <v>77.122670146999994</v>
          </cell>
          <cell r="G570">
            <v>838.49369779000006</v>
          </cell>
          <cell r="H570">
            <v>18.999576490999999</v>
          </cell>
          <cell r="I570" t="str">
            <v>Light Vehicle Passenger</v>
          </cell>
          <cell r="J570" t="str">
            <v>2017/18</v>
          </cell>
        </row>
        <row r="571">
          <cell r="A571" t="str">
            <v>08 MANAWATU-WANGANUI</v>
          </cell>
          <cell r="B571">
            <v>3</v>
          </cell>
          <cell r="C571">
            <v>2023</v>
          </cell>
          <cell r="D571">
            <v>425</v>
          </cell>
          <cell r="E571">
            <v>2071</v>
          </cell>
          <cell r="F571">
            <v>78.337310259999995</v>
          </cell>
          <cell r="G571">
            <v>874.44551280999997</v>
          </cell>
          <cell r="H571">
            <v>19.645238118999998</v>
          </cell>
          <cell r="I571" t="str">
            <v>Light Vehicle Passenger</v>
          </cell>
          <cell r="J571" t="str">
            <v>2022/23</v>
          </cell>
        </row>
        <row r="572">
          <cell r="A572" t="str">
            <v>08 MANAWATU-WANGANUI</v>
          </cell>
          <cell r="B572">
            <v>3</v>
          </cell>
          <cell r="C572">
            <v>2028</v>
          </cell>
          <cell r="D572">
            <v>425</v>
          </cell>
          <cell r="E572">
            <v>2071</v>
          </cell>
          <cell r="F572">
            <v>75.259827618000003</v>
          </cell>
          <cell r="G572">
            <v>865.97740577000002</v>
          </cell>
          <cell r="H572">
            <v>19.208221040000002</v>
          </cell>
          <cell r="I572" t="str">
            <v>Light Vehicle Passenger</v>
          </cell>
          <cell r="J572" t="str">
            <v>2027/28</v>
          </cell>
        </row>
        <row r="573">
          <cell r="A573" t="str">
            <v>08 MANAWATU-WANGANUI</v>
          </cell>
          <cell r="B573">
            <v>3</v>
          </cell>
          <cell r="C573">
            <v>2033</v>
          </cell>
          <cell r="D573">
            <v>425</v>
          </cell>
          <cell r="E573">
            <v>2071</v>
          </cell>
          <cell r="F573">
            <v>72.912658338</v>
          </cell>
          <cell r="G573">
            <v>866.16679366000005</v>
          </cell>
          <cell r="H573">
            <v>18.983563776</v>
          </cell>
          <cell r="I573" t="str">
            <v>Light Vehicle Passenger</v>
          </cell>
          <cell r="J573" t="str">
            <v>2032/33</v>
          </cell>
        </row>
        <row r="574">
          <cell r="A574" t="str">
            <v>08 MANAWATU-WANGANUI</v>
          </cell>
          <cell r="B574">
            <v>3</v>
          </cell>
          <cell r="C574">
            <v>2038</v>
          </cell>
          <cell r="D574">
            <v>425</v>
          </cell>
          <cell r="E574">
            <v>2071</v>
          </cell>
          <cell r="F574">
            <v>69.736168839000001</v>
          </cell>
          <cell r="G574">
            <v>858.15119822999998</v>
          </cell>
          <cell r="H574">
            <v>18.596022389000002</v>
          </cell>
          <cell r="I574" t="str">
            <v>Light Vehicle Passenger</v>
          </cell>
          <cell r="J574" t="str">
            <v>2037/38</v>
          </cell>
        </row>
        <row r="575">
          <cell r="A575" t="str">
            <v>08 MANAWATU-WANGANUI</v>
          </cell>
          <cell r="B575">
            <v>3</v>
          </cell>
          <cell r="C575">
            <v>2043</v>
          </cell>
          <cell r="D575">
            <v>425</v>
          </cell>
          <cell r="E575">
            <v>2071</v>
          </cell>
          <cell r="F575">
            <v>66.569127332999997</v>
          </cell>
          <cell r="G575">
            <v>847.51422621999995</v>
          </cell>
          <cell r="H575">
            <v>18.163996990000001</v>
          </cell>
          <cell r="I575" t="str">
            <v>Light Vehicle Passenger</v>
          </cell>
          <cell r="J575" t="str">
            <v>2042/43</v>
          </cell>
        </row>
        <row r="576">
          <cell r="A576" t="str">
            <v>08 MANAWATU-WANGANUI</v>
          </cell>
          <cell r="B576">
            <v>4</v>
          </cell>
          <cell r="C576">
            <v>2013</v>
          </cell>
          <cell r="D576">
            <v>16</v>
          </cell>
          <cell r="E576">
            <v>32</v>
          </cell>
          <cell r="F576">
            <v>0.99874441920000001</v>
          </cell>
          <cell r="G576">
            <v>5.6344181790999999</v>
          </cell>
          <cell r="H576">
            <v>0.26821620219999998</v>
          </cell>
          <cell r="J576" t="str">
            <v>2012/13</v>
          </cell>
        </row>
        <row r="577">
          <cell r="A577" t="str">
            <v>08 MANAWATU-WANGANUI</v>
          </cell>
          <cell r="B577">
            <v>4</v>
          </cell>
          <cell r="C577">
            <v>2018</v>
          </cell>
          <cell r="D577">
            <v>16</v>
          </cell>
          <cell r="E577">
            <v>32</v>
          </cell>
          <cell r="F577">
            <v>1.0348514642</v>
          </cell>
          <cell r="G577">
            <v>6.4853087409999999</v>
          </cell>
          <cell r="H577">
            <v>0.30292483749999999</v>
          </cell>
          <cell r="J577" t="str">
            <v>2017/18</v>
          </cell>
        </row>
        <row r="578">
          <cell r="A578" t="str">
            <v>08 MANAWATU-WANGANUI</v>
          </cell>
          <cell r="B578">
            <v>4</v>
          </cell>
          <cell r="C578">
            <v>2023</v>
          </cell>
          <cell r="D578">
            <v>16</v>
          </cell>
          <cell r="E578">
            <v>32</v>
          </cell>
          <cell r="F578">
            <v>1.1040573650000001</v>
          </cell>
          <cell r="G578">
            <v>7.7098291944000001</v>
          </cell>
          <cell r="H578">
            <v>0.35164711650000002</v>
          </cell>
          <cell r="J578" t="str">
            <v>2022/23</v>
          </cell>
        </row>
        <row r="579">
          <cell r="A579" t="str">
            <v>08 MANAWATU-WANGANUI</v>
          </cell>
          <cell r="B579">
            <v>4</v>
          </cell>
          <cell r="C579">
            <v>2028</v>
          </cell>
          <cell r="D579">
            <v>16</v>
          </cell>
          <cell r="E579">
            <v>32</v>
          </cell>
          <cell r="F579">
            <v>1.0458680064999999</v>
          </cell>
          <cell r="G579">
            <v>7.9096511380000001</v>
          </cell>
          <cell r="H579">
            <v>0.35395700829999999</v>
          </cell>
          <cell r="J579" t="str">
            <v>2027/28</v>
          </cell>
        </row>
        <row r="580">
          <cell r="A580" t="str">
            <v>08 MANAWATU-WANGANUI</v>
          </cell>
          <cell r="B580">
            <v>4</v>
          </cell>
          <cell r="C580">
            <v>2033</v>
          </cell>
          <cell r="D580">
            <v>16</v>
          </cell>
          <cell r="E580">
            <v>32</v>
          </cell>
          <cell r="F580">
            <v>0.98423749299999996</v>
          </cell>
          <cell r="G580">
            <v>8.0022172043000008</v>
          </cell>
          <cell r="H580">
            <v>0.35285140850000002</v>
          </cell>
          <cell r="J580" t="str">
            <v>2032/33</v>
          </cell>
        </row>
        <row r="581">
          <cell r="A581" t="str">
            <v>08 MANAWATU-WANGANUI</v>
          </cell>
          <cell r="B581">
            <v>4</v>
          </cell>
          <cell r="C581">
            <v>2038</v>
          </cell>
          <cell r="D581">
            <v>16</v>
          </cell>
          <cell r="E581">
            <v>32</v>
          </cell>
          <cell r="F581">
            <v>0.98584700530000002</v>
          </cell>
          <cell r="G581">
            <v>8.5590025595999997</v>
          </cell>
          <cell r="H581">
            <v>0.37259602530000002</v>
          </cell>
          <cell r="J581" t="str">
            <v>2037/38</v>
          </cell>
        </row>
        <row r="582">
          <cell r="A582" t="str">
            <v>08 MANAWATU-WANGANUI</v>
          </cell>
          <cell r="B582">
            <v>4</v>
          </cell>
          <cell r="C582">
            <v>2043</v>
          </cell>
          <cell r="D582">
            <v>16</v>
          </cell>
          <cell r="E582">
            <v>32</v>
          </cell>
          <cell r="F582">
            <v>0.99307189650000005</v>
          </cell>
          <cell r="G582">
            <v>9.0861207010000005</v>
          </cell>
          <cell r="H582">
            <v>0.39167442229999999</v>
          </cell>
          <cell r="J582" t="str">
            <v>2042/43</v>
          </cell>
        </row>
        <row r="583">
          <cell r="A583" t="str">
            <v>08 MANAWATU-WANGANUI</v>
          </cell>
          <cell r="B583">
            <v>5</v>
          </cell>
          <cell r="C583">
            <v>2013</v>
          </cell>
          <cell r="D583">
            <v>5</v>
          </cell>
          <cell r="E583">
            <v>19</v>
          </cell>
          <cell r="F583">
            <v>0.79000583589999995</v>
          </cell>
          <cell r="G583">
            <v>3.8744282972000001</v>
          </cell>
          <cell r="H583">
            <v>0.1643149203</v>
          </cell>
          <cell r="I583" t="str">
            <v>Motorcyclist</v>
          </cell>
          <cell r="J583" t="str">
            <v>2012/13</v>
          </cell>
        </row>
        <row r="584">
          <cell r="A584" t="str">
            <v>08 MANAWATU-WANGANUI</v>
          </cell>
          <cell r="B584">
            <v>5</v>
          </cell>
          <cell r="C584">
            <v>2018</v>
          </cell>
          <cell r="D584">
            <v>5</v>
          </cell>
          <cell r="E584">
            <v>19</v>
          </cell>
          <cell r="F584">
            <v>0.64176532379999995</v>
          </cell>
          <cell r="G584">
            <v>3.8648928841000001</v>
          </cell>
          <cell r="H584">
            <v>0.14078471270000001</v>
          </cell>
          <cell r="I584" t="str">
            <v>Motorcyclist</v>
          </cell>
          <cell r="J584" t="str">
            <v>2017/18</v>
          </cell>
        </row>
        <row r="585">
          <cell r="A585" t="str">
            <v>08 MANAWATU-WANGANUI</v>
          </cell>
          <cell r="B585">
            <v>5</v>
          </cell>
          <cell r="C585">
            <v>2023</v>
          </cell>
          <cell r="D585">
            <v>5</v>
          </cell>
          <cell r="E585">
            <v>19</v>
          </cell>
          <cell r="F585">
            <v>0.56650435450000003</v>
          </cell>
          <cell r="G585">
            <v>4.1787028065999996</v>
          </cell>
          <cell r="H585">
            <v>0.13214385449999999</v>
          </cell>
          <cell r="I585" t="str">
            <v>Motorcyclist</v>
          </cell>
          <cell r="J585" t="str">
            <v>2022/23</v>
          </cell>
        </row>
        <row r="586">
          <cell r="A586" t="str">
            <v>08 MANAWATU-WANGANUI</v>
          </cell>
          <cell r="B586">
            <v>5</v>
          </cell>
          <cell r="C586">
            <v>2028</v>
          </cell>
          <cell r="D586">
            <v>5</v>
          </cell>
          <cell r="E586">
            <v>19</v>
          </cell>
          <cell r="F586">
            <v>0.45233803490000002</v>
          </cell>
          <cell r="G586">
            <v>3.9622549995999998</v>
          </cell>
          <cell r="H586">
            <v>0.1119809568</v>
          </cell>
          <cell r="I586" t="str">
            <v>Motorcyclist</v>
          </cell>
          <cell r="J586" t="str">
            <v>2027/28</v>
          </cell>
        </row>
        <row r="587">
          <cell r="A587" t="str">
            <v>08 MANAWATU-WANGANUI</v>
          </cell>
          <cell r="B587">
            <v>5</v>
          </cell>
          <cell r="C587">
            <v>2033</v>
          </cell>
          <cell r="D587">
            <v>5</v>
          </cell>
          <cell r="E587">
            <v>19</v>
          </cell>
          <cell r="F587">
            <v>0.3805913038</v>
          </cell>
          <cell r="G587">
            <v>3.7119609078</v>
          </cell>
          <cell r="H587">
            <v>9.8321050500000007E-2</v>
          </cell>
          <cell r="I587" t="str">
            <v>Motorcyclist</v>
          </cell>
          <cell r="J587" t="str">
            <v>2032/33</v>
          </cell>
        </row>
        <row r="588">
          <cell r="A588" t="str">
            <v>08 MANAWATU-WANGANUI</v>
          </cell>
          <cell r="B588">
            <v>5</v>
          </cell>
          <cell r="C588">
            <v>2038</v>
          </cell>
          <cell r="D588">
            <v>5</v>
          </cell>
          <cell r="E588">
            <v>19</v>
          </cell>
          <cell r="F588">
            <v>0.33518286990000001</v>
          </cell>
          <cell r="G588">
            <v>3.5263935580000001</v>
          </cell>
          <cell r="H588">
            <v>8.9537956200000005E-2</v>
          </cell>
          <cell r="I588" t="str">
            <v>Motorcyclist</v>
          </cell>
          <cell r="J588" t="str">
            <v>2037/38</v>
          </cell>
        </row>
        <row r="589">
          <cell r="A589" t="str">
            <v>08 MANAWATU-WANGANUI</v>
          </cell>
          <cell r="B589">
            <v>5</v>
          </cell>
          <cell r="C589">
            <v>2043</v>
          </cell>
          <cell r="D589">
            <v>5</v>
          </cell>
          <cell r="E589">
            <v>19</v>
          </cell>
          <cell r="F589">
            <v>0.29123330730000002</v>
          </cell>
          <cell r="G589">
            <v>3.3161715956000002</v>
          </cell>
          <cell r="H589">
            <v>8.0655949800000001E-2</v>
          </cell>
          <cell r="I589" t="str">
            <v>Motorcyclist</v>
          </cell>
          <cell r="J589" t="str">
            <v>2042/43</v>
          </cell>
        </row>
        <row r="590">
          <cell r="A590" t="str">
            <v>08 MANAWATU-WANGANUI</v>
          </cell>
          <cell r="B590">
            <v>7</v>
          </cell>
          <cell r="C590">
            <v>2013</v>
          </cell>
          <cell r="D590">
            <v>41</v>
          </cell>
          <cell r="E590">
            <v>90</v>
          </cell>
          <cell r="F590">
            <v>5.2110099151</v>
          </cell>
          <cell r="G590">
            <v>39.768452936000003</v>
          </cell>
          <cell r="H590">
            <v>1.7349616699999999</v>
          </cell>
          <cell r="I590" t="str">
            <v>Local Bus</v>
          </cell>
          <cell r="J590" t="str">
            <v>2012/13</v>
          </cell>
        </row>
        <row r="591">
          <cell r="A591" t="str">
            <v>08 MANAWATU-WANGANUI</v>
          </cell>
          <cell r="B591">
            <v>7</v>
          </cell>
          <cell r="C591">
            <v>2018</v>
          </cell>
          <cell r="D591">
            <v>41</v>
          </cell>
          <cell r="E591">
            <v>90</v>
          </cell>
          <cell r="F591">
            <v>4.3126166013000002</v>
          </cell>
          <cell r="G591">
            <v>31.694402836999998</v>
          </cell>
          <cell r="H591">
            <v>1.4311430845999999</v>
          </cell>
          <cell r="I591" t="str">
            <v>Local Bus</v>
          </cell>
          <cell r="J591" t="str">
            <v>2017/18</v>
          </cell>
        </row>
        <row r="592">
          <cell r="A592" t="str">
            <v>08 MANAWATU-WANGANUI</v>
          </cell>
          <cell r="B592">
            <v>7</v>
          </cell>
          <cell r="C592">
            <v>2023</v>
          </cell>
          <cell r="D592">
            <v>41</v>
          </cell>
          <cell r="E592">
            <v>90</v>
          </cell>
          <cell r="F592">
            <v>3.8923595990000002</v>
          </cell>
          <cell r="G592">
            <v>27.914601403999999</v>
          </cell>
          <cell r="H592">
            <v>1.2815809909</v>
          </cell>
          <cell r="I592" t="str">
            <v>Local Bus</v>
          </cell>
          <cell r="J592" t="str">
            <v>2022/23</v>
          </cell>
        </row>
        <row r="593">
          <cell r="A593" t="str">
            <v>08 MANAWATU-WANGANUI</v>
          </cell>
          <cell r="B593">
            <v>7</v>
          </cell>
          <cell r="C593">
            <v>2028</v>
          </cell>
          <cell r="D593">
            <v>41</v>
          </cell>
          <cell r="E593">
            <v>90</v>
          </cell>
          <cell r="F593">
            <v>3.4443131826000002</v>
          </cell>
          <cell r="G593">
            <v>24.353701634</v>
          </cell>
          <cell r="H593">
            <v>1.1177029573999999</v>
          </cell>
          <cell r="I593" t="str">
            <v>Local Bus</v>
          </cell>
          <cell r="J593" t="str">
            <v>2027/28</v>
          </cell>
        </row>
        <row r="594">
          <cell r="A594" t="str">
            <v>08 MANAWATU-WANGANUI</v>
          </cell>
          <cell r="B594">
            <v>7</v>
          </cell>
          <cell r="C594">
            <v>2033</v>
          </cell>
          <cell r="D594">
            <v>41</v>
          </cell>
          <cell r="E594">
            <v>90</v>
          </cell>
          <cell r="F594">
            <v>3.0860643437999999</v>
          </cell>
          <cell r="G594">
            <v>21.535918241000001</v>
          </cell>
          <cell r="H594">
            <v>0.99348433169999995</v>
          </cell>
          <cell r="I594" t="str">
            <v>Local Bus</v>
          </cell>
          <cell r="J594" t="str">
            <v>2032/33</v>
          </cell>
        </row>
        <row r="595">
          <cell r="A595" t="str">
            <v>08 MANAWATU-WANGANUI</v>
          </cell>
          <cell r="B595">
            <v>7</v>
          </cell>
          <cell r="C595">
            <v>2038</v>
          </cell>
          <cell r="D595">
            <v>41</v>
          </cell>
          <cell r="E595">
            <v>90</v>
          </cell>
          <cell r="F595">
            <v>2.7663440989999999</v>
          </cell>
          <cell r="G595">
            <v>19.159372230999999</v>
          </cell>
          <cell r="H595">
            <v>0.8744608532</v>
          </cell>
          <cell r="I595" t="str">
            <v>Local Bus</v>
          </cell>
          <cell r="J595" t="str">
            <v>2037/38</v>
          </cell>
        </row>
        <row r="596">
          <cell r="A596" t="str">
            <v>08 MANAWATU-WANGANUI</v>
          </cell>
          <cell r="B596">
            <v>7</v>
          </cell>
          <cell r="C596">
            <v>2043</v>
          </cell>
          <cell r="D596">
            <v>41</v>
          </cell>
          <cell r="E596">
            <v>90</v>
          </cell>
          <cell r="F596">
            <v>2.4487108268000002</v>
          </cell>
          <cell r="G596">
            <v>17.011265295000001</v>
          </cell>
          <cell r="H596">
            <v>0.76216989420000003</v>
          </cell>
          <cell r="I596" t="str">
            <v>Local Bus</v>
          </cell>
          <cell r="J596" t="str">
            <v>2042/43</v>
          </cell>
        </row>
        <row r="597">
          <cell r="A597" t="str">
            <v>08 MANAWATU-WANGANUI</v>
          </cell>
          <cell r="B597">
            <v>8</v>
          </cell>
          <cell r="C597">
            <v>2013</v>
          </cell>
          <cell r="D597">
            <v>2</v>
          </cell>
          <cell r="E597">
            <v>4</v>
          </cell>
          <cell r="F597">
            <v>0.1068619116</v>
          </cell>
          <cell r="G597">
            <v>0</v>
          </cell>
          <cell r="H597">
            <v>1.3357739E-2</v>
          </cell>
          <cell r="I597" t="str">
            <v>Local Ferry</v>
          </cell>
          <cell r="J597" t="str">
            <v>2012/13</v>
          </cell>
        </row>
        <row r="598">
          <cell r="A598" t="str">
            <v>08 MANAWATU-WANGANUI</v>
          </cell>
          <cell r="B598">
            <v>8</v>
          </cell>
          <cell r="C598">
            <v>2018</v>
          </cell>
          <cell r="D598">
            <v>2</v>
          </cell>
          <cell r="E598">
            <v>4</v>
          </cell>
          <cell r="F598">
            <v>0.1060596151</v>
          </cell>
          <cell r="G598">
            <v>0</v>
          </cell>
          <cell r="H598">
            <v>1.32574519E-2</v>
          </cell>
          <cell r="I598" t="str">
            <v>Local Ferry</v>
          </cell>
          <cell r="J598" t="str">
            <v>2017/18</v>
          </cell>
        </row>
        <row r="599">
          <cell r="A599" t="str">
            <v>08 MANAWATU-WANGANUI</v>
          </cell>
          <cell r="B599">
            <v>8</v>
          </cell>
          <cell r="C599">
            <v>2023</v>
          </cell>
          <cell r="D599">
            <v>2</v>
          </cell>
          <cell r="E599">
            <v>4</v>
          </cell>
          <cell r="F599">
            <v>0.1141237985</v>
          </cell>
          <cell r="G599">
            <v>0</v>
          </cell>
          <cell r="H599">
            <v>1.42654748E-2</v>
          </cell>
          <cell r="I599" t="str">
            <v>Local Ferry</v>
          </cell>
          <cell r="J599" t="str">
            <v>2022/23</v>
          </cell>
        </row>
        <row r="600">
          <cell r="A600" t="str">
            <v>08 MANAWATU-WANGANUI</v>
          </cell>
          <cell r="B600">
            <v>8</v>
          </cell>
          <cell r="C600">
            <v>2028</v>
          </cell>
          <cell r="D600">
            <v>2</v>
          </cell>
          <cell r="E600">
            <v>4</v>
          </cell>
          <cell r="F600">
            <v>0.1197609025</v>
          </cell>
          <cell r="G600">
            <v>0</v>
          </cell>
          <cell r="H600">
            <v>1.4970112799999999E-2</v>
          </cell>
          <cell r="I600" t="str">
            <v>Local Ferry</v>
          </cell>
          <cell r="J600" t="str">
            <v>2027/28</v>
          </cell>
        </row>
        <row r="601">
          <cell r="A601" t="str">
            <v>08 MANAWATU-WANGANUI</v>
          </cell>
          <cell r="B601">
            <v>8</v>
          </cell>
          <cell r="C601">
            <v>2033</v>
          </cell>
          <cell r="D601">
            <v>2</v>
          </cell>
          <cell r="E601">
            <v>4</v>
          </cell>
          <cell r="F601">
            <v>0.11512448760000001</v>
          </cell>
          <cell r="G601">
            <v>0</v>
          </cell>
          <cell r="H601">
            <v>1.4390561E-2</v>
          </cell>
          <cell r="I601" t="str">
            <v>Local Ferry</v>
          </cell>
          <cell r="J601" t="str">
            <v>2032/33</v>
          </cell>
        </row>
        <row r="602">
          <cell r="A602" t="str">
            <v>08 MANAWATU-WANGANUI</v>
          </cell>
          <cell r="B602">
            <v>8</v>
          </cell>
          <cell r="C602">
            <v>2038</v>
          </cell>
          <cell r="D602">
            <v>2</v>
          </cell>
          <cell r="E602">
            <v>4</v>
          </cell>
          <cell r="F602">
            <v>0.104391755</v>
          </cell>
          <cell r="G602">
            <v>0</v>
          </cell>
          <cell r="H602">
            <v>1.3048969400000001E-2</v>
          </cell>
          <cell r="I602" t="str">
            <v>Local Ferry</v>
          </cell>
          <cell r="J602" t="str">
            <v>2037/38</v>
          </cell>
        </row>
        <row r="603">
          <cell r="A603" t="str">
            <v>08 MANAWATU-WANGANUI</v>
          </cell>
          <cell r="B603">
            <v>8</v>
          </cell>
          <cell r="C603">
            <v>2043</v>
          </cell>
          <cell r="D603">
            <v>2</v>
          </cell>
          <cell r="E603">
            <v>4</v>
          </cell>
          <cell r="F603">
            <v>9.2469770399999998E-2</v>
          </cell>
          <cell r="G603">
            <v>0</v>
          </cell>
          <cell r="H603">
            <v>1.15587213E-2</v>
          </cell>
          <cell r="I603" t="str">
            <v>Local Ferry</v>
          </cell>
          <cell r="J603" t="str">
            <v>2042/43</v>
          </cell>
        </row>
        <row r="604">
          <cell r="A604" t="str">
            <v>08 MANAWATU-WANGANUI</v>
          </cell>
          <cell r="B604">
            <v>9</v>
          </cell>
          <cell r="C604">
            <v>2013</v>
          </cell>
          <cell r="D604">
            <v>2</v>
          </cell>
          <cell r="E604">
            <v>5</v>
          </cell>
          <cell r="F604">
            <v>0.24513607779999999</v>
          </cell>
          <cell r="G604">
            <v>0</v>
          </cell>
          <cell r="H604">
            <v>3.9735238899999997E-2</v>
          </cell>
          <cell r="I604" t="str">
            <v>Other Household Travel</v>
          </cell>
          <cell r="J604" t="str">
            <v>2012/13</v>
          </cell>
        </row>
        <row r="605">
          <cell r="A605" t="str">
            <v>08 MANAWATU-WANGANUI</v>
          </cell>
          <cell r="B605">
            <v>9</v>
          </cell>
          <cell r="C605">
            <v>2018</v>
          </cell>
          <cell r="D605">
            <v>2</v>
          </cell>
          <cell r="E605">
            <v>5</v>
          </cell>
          <cell r="F605">
            <v>0.2046765639</v>
          </cell>
          <cell r="G605">
            <v>0</v>
          </cell>
          <cell r="H605">
            <v>3.3104125999999998E-2</v>
          </cell>
          <cell r="I605" t="str">
            <v>Other Household Travel</v>
          </cell>
          <cell r="J605" t="str">
            <v>2017/18</v>
          </cell>
        </row>
        <row r="606">
          <cell r="A606" t="str">
            <v>08 MANAWATU-WANGANUI</v>
          </cell>
          <cell r="B606">
            <v>9</v>
          </cell>
          <cell r="C606">
            <v>2023</v>
          </cell>
          <cell r="D606">
            <v>2</v>
          </cell>
          <cell r="E606">
            <v>5</v>
          </cell>
          <cell r="F606">
            <v>0.1765352798</v>
          </cell>
          <cell r="G606">
            <v>0</v>
          </cell>
          <cell r="H606">
            <v>2.7887338399999999E-2</v>
          </cell>
          <cell r="I606" t="str">
            <v>Other Household Travel</v>
          </cell>
          <cell r="J606" t="str">
            <v>2022/23</v>
          </cell>
        </row>
        <row r="607">
          <cell r="A607" t="str">
            <v>08 MANAWATU-WANGANUI</v>
          </cell>
          <cell r="B607">
            <v>9</v>
          </cell>
          <cell r="C607">
            <v>2028</v>
          </cell>
          <cell r="D607">
            <v>2</v>
          </cell>
          <cell r="E607">
            <v>5</v>
          </cell>
          <cell r="F607">
            <v>0.13955092429999999</v>
          </cell>
          <cell r="G607">
            <v>0</v>
          </cell>
          <cell r="H607">
            <v>2.2200393799999999E-2</v>
          </cell>
          <cell r="I607" t="str">
            <v>Other Household Travel</v>
          </cell>
          <cell r="J607" t="str">
            <v>2027/28</v>
          </cell>
        </row>
        <row r="608">
          <cell r="A608" t="str">
            <v>08 MANAWATU-WANGANUI</v>
          </cell>
          <cell r="B608">
            <v>9</v>
          </cell>
          <cell r="C608">
            <v>2033</v>
          </cell>
          <cell r="D608">
            <v>2</v>
          </cell>
          <cell r="E608">
            <v>5</v>
          </cell>
          <cell r="F608">
            <v>0.1121803626</v>
          </cell>
          <cell r="G608">
            <v>0</v>
          </cell>
          <cell r="H608">
            <v>1.8029578099999999E-2</v>
          </cell>
          <cell r="I608" t="str">
            <v>Other Household Travel</v>
          </cell>
          <cell r="J608" t="str">
            <v>2032/33</v>
          </cell>
        </row>
        <row r="609">
          <cell r="A609" t="str">
            <v>08 MANAWATU-WANGANUI</v>
          </cell>
          <cell r="B609">
            <v>9</v>
          </cell>
          <cell r="C609">
            <v>2038</v>
          </cell>
          <cell r="D609">
            <v>2</v>
          </cell>
          <cell r="E609">
            <v>5</v>
          </cell>
          <cell r="F609">
            <v>8.7030184100000005E-2</v>
          </cell>
          <cell r="G609">
            <v>0</v>
          </cell>
          <cell r="H609">
            <v>1.43730627E-2</v>
          </cell>
          <cell r="I609" t="str">
            <v>Other Household Travel</v>
          </cell>
          <cell r="J609" t="str">
            <v>2037/38</v>
          </cell>
        </row>
        <row r="610">
          <cell r="A610" t="str">
            <v>08 MANAWATU-WANGANUI</v>
          </cell>
          <cell r="B610">
            <v>9</v>
          </cell>
          <cell r="C610">
            <v>2043</v>
          </cell>
          <cell r="D610">
            <v>2</v>
          </cell>
          <cell r="E610">
            <v>5</v>
          </cell>
          <cell r="F610">
            <v>6.5350691799999999E-2</v>
          </cell>
          <cell r="G610">
            <v>0</v>
          </cell>
          <cell r="H610">
            <v>1.1172613600000001E-2</v>
          </cell>
          <cell r="I610" t="str">
            <v>Other Household Travel</v>
          </cell>
          <cell r="J610" t="str">
            <v>2042/43</v>
          </cell>
        </row>
        <row r="611">
          <cell r="A611" t="str">
            <v>08 MANAWATU-WANGANUI</v>
          </cell>
          <cell r="B611">
            <v>10</v>
          </cell>
          <cell r="C611">
            <v>2013</v>
          </cell>
          <cell r="D611">
            <v>7</v>
          </cell>
          <cell r="E611">
            <v>9</v>
          </cell>
          <cell r="F611">
            <v>0.39226351739999998</v>
          </cell>
          <cell r="G611">
            <v>21.972430028000002</v>
          </cell>
          <cell r="H611">
            <v>0.73590853769999998</v>
          </cell>
          <cell r="I611" t="str">
            <v>Air/Non-Local PT</v>
          </cell>
          <cell r="J611" t="str">
            <v>2012/13</v>
          </cell>
        </row>
        <row r="612">
          <cell r="A612" t="str">
            <v>08 MANAWATU-WANGANUI</v>
          </cell>
          <cell r="B612">
            <v>10</v>
          </cell>
          <cell r="C612">
            <v>2018</v>
          </cell>
          <cell r="D612">
            <v>7</v>
          </cell>
          <cell r="E612">
            <v>9</v>
          </cell>
          <cell r="F612">
            <v>0.45930285300000001</v>
          </cell>
          <cell r="G612">
            <v>23.050249677</v>
          </cell>
          <cell r="H612">
            <v>0.82246605510000004</v>
          </cell>
          <cell r="I612" t="str">
            <v>Air/Non-Local PT</v>
          </cell>
          <cell r="J612" t="str">
            <v>2017/18</v>
          </cell>
        </row>
        <row r="613">
          <cell r="A613" t="str">
            <v>08 MANAWATU-WANGANUI</v>
          </cell>
          <cell r="B613">
            <v>10</v>
          </cell>
          <cell r="C613">
            <v>2023</v>
          </cell>
          <cell r="D613">
            <v>7</v>
          </cell>
          <cell r="E613">
            <v>9</v>
          </cell>
          <cell r="F613">
            <v>0.57419239730000005</v>
          </cell>
          <cell r="G613">
            <v>25.860268151</v>
          </cell>
          <cell r="H613">
            <v>1.0002201359</v>
          </cell>
          <cell r="I613" t="str">
            <v>Air/Non-Local PT</v>
          </cell>
          <cell r="J613" t="str">
            <v>2022/23</v>
          </cell>
        </row>
        <row r="614">
          <cell r="A614" t="str">
            <v>08 MANAWATU-WANGANUI</v>
          </cell>
          <cell r="B614">
            <v>10</v>
          </cell>
          <cell r="C614">
            <v>2028</v>
          </cell>
          <cell r="D614">
            <v>7</v>
          </cell>
          <cell r="E614">
            <v>9</v>
          </cell>
          <cell r="F614">
            <v>0.65480474580000003</v>
          </cell>
          <cell r="G614">
            <v>28.364491792999999</v>
          </cell>
          <cell r="H614">
            <v>1.1513599754999999</v>
          </cell>
          <cell r="I614" t="str">
            <v>Air/Non-Local PT</v>
          </cell>
          <cell r="J614" t="str">
            <v>2027/28</v>
          </cell>
        </row>
        <row r="615">
          <cell r="A615" t="str">
            <v>08 MANAWATU-WANGANUI</v>
          </cell>
          <cell r="B615">
            <v>10</v>
          </cell>
          <cell r="C615">
            <v>2033</v>
          </cell>
          <cell r="D615">
            <v>7</v>
          </cell>
          <cell r="E615">
            <v>9</v>
          </cell>
          <cell r="F615">
            <v>0.71538816910000003</v>
          </cell>
          <cell r="G615">
            <v>28.506266888999999</v>
          </cell>
          <cell r="H615">
            <v>1.2536040751999999</v>
          </cell>
          <cell r="I615" t="str">
            <v>Air/Non-Local PT</v>
          </cell>
          <cell r="J615" t="str">
            <v>2032/33</v>
          </cell>
        </row>
        <row r="616">
          <cell r="A616" t="str">
            <v>08 MANAWATU-WANGANUI</v>
          </cell>
          <cell r="B616">
            <v>10</v>
          </cell>
          <cell r="C616">
            <v>2038</v>
          </cell>
          <cell r="D616">
            <v>7</v>
          </cell>
          <cell r="E616">
            <v>9</v>
          </cell>
          <cell r="F616">
            <v>0.75203562950000002</v>
          </cell>
          <cell r="G616">
            <v>25.578171831999999</v>
          </cell>
          <cell r="H616">
            <v>1.2697856492999999</v>
          </cell>
          <cell r="I616" t="str">
            <v>Air/Non-Local PT</v>
          </cell>
          <cell r="J616" t="str">
            <v>2037/38</v>
          </cell>
        </row>
        <row r="617">
          <cell r="A617" t="str">
            <v>08 MANAWATU-WANGANUI</v>
          </cell>
          <cell r="B617">
            <v>10</v>
          </cell>
          <cell r="C617">
            <v>2043</v>
          </cell>
          <cell r="D617">
            <v>7</v>
          </cell>
          <cell r="E617">
            <v>9</v>
          </cell>
          <cell r="F617">
            <v>0.78458561709999997</v>
          </cell>
          <cell r="G617">
            <v>22.36289966</v>
          </cell>
          <cell r="H617">
            <v>1.2758726060000001</v>
          </cell>
          <cell r="I617" t="str">
            <v>Air/Non-Local PT</v>
          </cell>
          <cell r="J617" t="str">
            <v>2042/43</v>
          </cell>
        </row>
        <row r="618">
          <cell r="A618" t="str">
            <v>08 MANAWATU-WANGANUI</v>
          </cell>
          <cell r="B618">
            <v>11</v>
          </cell>
          <cell r="C618">
            <v>2013</v>
          </cell>
          <cell r="D618">
            <v>12</v>
          </cell>
          <cell r="E618">
            <v>37</v>
          </cell>
          <cell r="F618">
            <v>1.6982787315000001</v>
          </cell>
          <cell r="G618">
            <v>38.826541556000002</v>
          </cell>
          <cell r="H618">
            <v>0.76899050189999996</v>
          </cell>
          <cell r="I618" t="str">
            <v>Non-Household Travel</v>
          </cell>
          <cell r="J618" t="str">
            <v>2012/13</v>
          </cell>
        </row>
        <row r="619">
          <cell r="A619" t="str">
            <v>08 MANAWATU-WANGANUI</v>
          </cell>
          <cell r="B619">
            <v>11</v>
          </cell>
          <cell r="C619">
            <v>2018</v>
          </cell>
          <cell r="D619">
            <v>12</v>
          </cell>
          <cell r="E619">
            <v>37</v>
          </cell>
          <cell r="F619">
            <v>1.578165504</v>
          </cell>
          <cell r="G619">
            <v>35.824974361000002</v>
          </cell>
          <cell r="H619">
            <v>0.7224841353</v>
          </cell>
          <cell r="I619" t="str">
            <v>Non-Household Travel</v>
          </cell>
          <cell r="J619" t="str">
            <v>2017/18</v>
          </cell>
        </row>
        <row r="620">
          <cell r="A620" t="str">
            <v>08 MANAWATU-WANGANUI</v>
          </cell>
          <cell r="B620">
            <v>11</v>
          </cell>
          <cell r="C620">
            <v>2023</v>
          </cell>
          <cell r="D620">
            <v>12</v>
          </cell>
          <cell r="E620">
            <v>37</v>
          </cell>
          <cell r="F620">
            <v>1.6514728424</v>
          </cell>
          <cell r="G620">
            <v>37.824670009000002</v>
          </cell>
          <cell r="H620">
            <v>0.77048099889999999</v>
          </cell>
          <cell r="I620" t="str">
            <v>Non-Household Travel</v>
          </cell>
          <cell r="J620" t="str">
            <v>2022/23</v>
          </cell>
        </row>
        <row r="621">
          <cell r="A621" t="str">
            <v>08 MANAWATU-WANGANUI</v>
          </cell>
          <cell r="B621">
            <v>11</v>
          </cell>
          <cell r="C621">
            <v>2028</v>
          </cell>
          <cell r="D621">
            <v>12</v>
          </cell>
          <cell r="E621">
            <v>37</v>
          </cell>
          <cell r="F621">
            <v>1.6762303526</v>
          </cell>
          <cell r="G621">
            <v>39.342611968</v>
          </cell>
          <cell r="H621">
            <v>0.79717298510000001</v>
          </cell>
          <cell r="I621" t="str">
            <v>Non-Household Travel</v>
          </cell>
          <cell r="J621" t="str">
            <v>2027/28</v>
          </cell>
        </row>
        <row r="622">
          <cell r="A622" t="str">
            <v>08 MANAWATU-WANGANUI</v>
          </cell>
          <cell r="B622">
            <v>11</v>
          </cell>
          <cell r="C622">
            <v>2033</v>
          </cell>
          <cell r="D622">
            <v>12</v>
          </cell>
          <cell r="E622">
            <v>37</v>
          </cell>
          <cell r="F622">
            <v>1.6433430725</v>
          </cell>
          <cell r="G622">
            <v>40.62039309</v>
          </cell>
          <cell r="H622">
            <v>0.80991094850000001</v>
          </cell>
          <cell r="I622" t="str">
            <v>Non-Household Travel</v>
          </cell>
          <cell r="J622" t="str">
            <v>2032/33</v>
          </cell>
        </row>
        <row r="623">
          <cell r="A623" t="str">
            <v>08 MANAWATU-WANGANUI</v>
          </cell>
          <cell r="B623">
            <v>11</v>
          </cell>
          <cell r="C623">
            <v>2038</v>
          </cell>
          <cell r="D623">
            <v>12</v>
          </cell>
          <cell r="E623">
            <v>37</v>
          </cell>
          <cell r="F623">
            <v>1.5718071697</v>
          </cell>
          <cell r="G623">
            <v>40.124336606</v>
          </cell>
          <cell r="H623">
            <v>0.79220111289999995</v>
          </cell>
          <cell r="I623" t="str">
            <v>Non-Household Travel</v>
          </cell>
          <cell r="J623" t="str">
            <v>2037/38</v>
          </cell>
        </row>
        <row r="624">
          <cell r="A624" t="str">
            <v>08 MANAWATU-WANGANUI</v>
          </cell>
          <cell r="B624">
            <v>11</v>
          </cell>
          <cell r="C624">
            <v>2043</v>
          </cell>
          <cell r="D624">
            <v>12</v>
          </cell>
          <cell r="E624">
            <v>37</v>
          </cell>
          <cell r="F624">
            <v>1.4882751776000001</v>
          </cell>
          <cell r="G624">
            <v>39.389277620999998</v>
          </cell>
          <cell r="H624">
            <v>0.76940907960000005</v>
          </cell>
          <cell r="I624" t="str">
            <v>Non-Household Travel</v>
          </cell>
          <cell r="J624" t="str">
            <v>2042/43</v>
          </cell>
        </row>
        <row r="625">
          <cell r="A625" t="str">
            <v>09 WELLINGTON</v>
          </cell>
          <cell r="B625">
            <v>0</v>
          </cell>
          <cell r="C625">
            <v>2013</v>
          </cell>
          <cell r="D625">
            <v>941</v>
          </cell>
          <cell r="E625">
            <v>4221</v>
          </cell>
          <cell r="F625">
            <v>182.29561206</v>
          </cell>
          <cell r="G625">
            <v>126.13499251</v>
          </cell>
          <cell r="H625">
            <v>32.985647405999998</v>
          </cell>
          <cell r="I625" t="str">
            <v>Pedestrian</v>
          </cell>
          <cell r="J625" t="str">
            <v>2012/13</v>
          </cell>
        </row>
        <row r="626">
          <cell r="A626" t="str">
            <v>09 WELLINGTON</v>
          </cell>
          <cell r="B626">
            <v>0</v>
          </cell>
          <cell r="C626">
            <v>2018</v>
          </cell>
          <cell r="D626">
            <v>941</v>
          </cell>
          <cell r="E626">
            <v>4221</v>
          </cell>
          <cell r="F626">
            <v>177.88913851000001</v>
          </cell>
          <cell r="G626">
            <v>123.96942556</v>
          </cell>
          <cell r="H626">
            <v>32.378853972000002</v>
          </cell>
          <cell r="I626" t="str">
            <v>Pedestrian</v>
          </cell>
          <cell r="J626" t="str">
            <v>2017/18</v>
          </cell>
        </row>
        <row r="627">
          <cell r="A627" t="str">
            <v>09 WELLINGTON</v>
          </cell>
          <cell r="B627">
            <v>0</v>
          </cell>
          <cell r="C627">
            <v>2023</v>
          </cell>
          <cell r="D627">
            <v>941</v>
          </cell>
          <cell r="E627">
            <v>4221</v>
          </cell>
          <cell r="F627">
            <v>185.20194710999999</v>
          </cell>
          <cell r="G627">
            <v>129.98584789</v>
          </cell>
          <cell r="H627">
            <v>33.830685123000002</v>
          </cell>
          <cell r="I627" t="str">
            <v>Pedestrian</v>
          </cell>
          <cell r="J627" t="str">
            <v>2022/23</v>
          </cell>
        </row>
        <row r="628">
          <cell r="A628" t="str">
            <v>09 WELLINGTON</v>
          </cell>
          <cell r="B628">
            <v>0</v>
          </cell>
          <cell r="C628">
            <v>2028</v>
          </cell>
          <cell r="D628">
            <v>941</v>
          </cell>
          <cell r="E628">
            <v>4221</v>
          </cell>
          <cell r="F628">
            <v>184.1776749</v>
          </cell>
          <cell r="G628">
            <v>130.26183119999999</v>
          </cell>
          <cell r="H628">
            <v>33.993501332000001</v>
          </cell>
          <cell r="I628" t="str">
            <v>Pedestrian</v>
          </cell>
          <cell r="J628" t="str">
            <v>2027/28</v>
          </cell>
        </row>
        <row r="629">
          <cell r="A629" t="str">
            <v>09 WELLINGTON</v>
          </cell>
          <cell r="B629">
            <v>0</v>
          </cell>
          <cell r="C629">
            <v>2033</v>
          </cell>
          <cell r="D629">
            <v>941</v>
          </cell>
          <cell r="E629">
            <v>4221</v>
          </cell>
          <cell r="F629">
            <v>182.662373</v>
          </cell>
          <cell r="G629">
            <v>130.43973721</v>
          </cell>
          <cell r="H629">
            <v>34.066717838000002</v>
          </cell>
          <cell r="I629" t="str">
            <v>Pedestrian</v>
          </cell>
          <cell r="J629" t="str">
            <v>2032/33</v>
          </cell>
        </row>
        <row r="630">
          <cell r="A630" t="str">
            <v>09 WELLINGTON</v>
          </cell>
          <cell r="B630">
            <v>0</v>
          </cell>
          <cell r="C630">
            <v>2038</v>
          </cell>
          <cell r="D630">
            <v>941</v>
          </cell>
          <cell r="E630">
            <v>4221</v>
          </cell>
          <cell r="F630">
            <v>181.01789328999999</v>
          </cell>
          <cell r="G630">
            <v>130.84280457</v>
          </cell>
          <cell r="H630">
            <v>34.085450879</v>
          </cell>
          <cell r="I630" t="str">
            <v>Pedestrian</v>
          </cell>
          <cell r="J630" t="str">
            <v>2037/38</v>
          </cell>
        </row>
        <row r="631">
          <cell r="A631" t="str">
            <v>09 WELLINGTON</v>
          </cell>
          <cell r="B631">
            <v>0</v>
          </cell>
          <cell r="C631">
            <v>2043</v>
          </cell>
          <cell r="D631">
            <v>941</v>
          </cell>
          <cell r="E631">
            <v>4221</v>
          </cell>
          <cell r="F631">
            <v>178.95579347</v>
          </cell>
          <cell r="G631">
            <v>130.93685808999999</v>
          </cell>
          <cell r="H631">
            <v>34.033042403000003</v>
          </cell>
          <cell r="I631" t="str">
            <v>Pedestrian</v>
          </cell>
          <cell r="J631" t="str">
            <v>2042/43</v>
          </cell>
        </row>
        <row r="632">
          <cell r="A632" t="str">
            <v>09 WELLINGTON</v>
          </cell>
          <cell r="B632">
            <v>1</v>
          </cell>
          <cell r="C632">
            <v>2013</v>
          </cell>
          <cell r="D632">
            <v>54</v>
          </cell>
          <cell r="E632">
            <v>164</v>
          </cell>
          <cell r="F632">
            <v>8.1327913301999999</v>
          </cell>
          <cell r="G632">
            <v>52.092312808000003</v>
          </cell>
          <cell r="H632">
            <v>3.6978261002999999</v>
          </cell>
          <cell r="I632" t="str">
            <v>Cyclist</v>
          </cell>
          <cell r="J632" t="str">
            <v>2012/13</v>
          </cell>
        </row>
        <row r="633">
          <cell r="A633" t="str">
            <v>09 WELLINGTON</v>
          </cell>
          <cell r="B633">
            <v>1</v>
          </cell>
          <cell r="C633">
            <v>2018</v>
          </cell>
          <cell r="D633">
            <v>54</v>
          </cell>
          <cell r="E633">
            <v>164</v>
          </cell>
          <cell r="F633">
            <v>7.5884396090999999</v>
          </cell>
          <cell r="G633">
            <v>51.455130435000001</v>
          </cell>
          <cell r="H633">
            <v>3.6392283412999999</v>
          </cell>
          <cell r="I633" t="str">
            <v>Cyclist</v>
          </cell>
          <cell r="J633" t="str">
            <v>2017/18</v>
          </cell>
        </row>
        <row r="634">
          <cell r="A634" t="str">
            <v>09 WELLINGTON</v>
          </cell>
          <cell r="B634">
            <v>1</v>
          </cell>
          <cell r="C634">
            <v>2023</v>
          </cell>
          <cell r="D634">
            <v>54</v>
          </cell>
          <cell r="E634">
            <v>164</v>
          </cell>
          <cell r="F634">
            <v>7.7282094037000002</v>
          </cell>
          <cell r="G634">
            <v>55.006635909000003</v>
          </cell>
          <cell r="H634">
            <v>3.8731623105000001</v>
          </cell>
          <cell r="I634" t="str">
            <v>Cyclist</v>
          </cell>
          <cell r="J634" t="str">
            <v>2022/23</v>
          </cell>
        </row>
        <row r="635">
          <cell r="A635" t="str">
            <v>09 WELLINGTON</v>
          </cell>
          <cell r="B635">
            <v>1</v>
          </cell>
          <cell r="C635">
            <v>2028</v>
          </cell>
          <cell r="D635">
            <v>54</v>
          </cell>
          <cell r="E635">
            <v>164</v>
          </cell>
          <cell r="F635">
            <v>7.2226084952000003</v>
          </cell>
          <cell r="G635">
            <v>56.273331108999997</v>
          </cell>
          <cell r="H635">
            <v>3.9160114251000002</v>
          </cell>
          <cell r="I635" t="str">
            <v>Cyclist</v>
          </cell>
          <cell r="J635" t="str">
            <v>2027/28</v>
          </cell>
        </row>
        <row r="636">
          <cell r="A636" t="str">
            <v>09 WELLINGTON</v>
          </cell>
          <cell r="B636">
            <v>1</v>
          </cell>
          <cell r="C636">
            <v>2033</v>
          </cell>
          <cell r="D636">
            <v>54</v>
          </cell>
          <cell r="E636">
            <v>164</v>
          </cell>
          <cell r="F636">
            <v>6.8972345065000003</v>
          </cell>
          <cell r="G636">
            <v>59.975755483999997</v>
          </cell>
          <cell r="H636">
            <v>4.1103149610000003</v>
          </cell>
          <cell r="I636" t="str">
            <v>Cyclist</v>
          </cell>
          <cell r="J636" t="str">
            <v>2032/33</v>
          </cell>
        </row>
        <row r="637">
          <cell r="A637" t="str">
            <v>09 WELLINGTON</v>
          </cell>
          <cell r="B637">
            <v>1</v>
          </cell>
          <cell r="C637">
            <v>2038</v>
          </cell>
          <cell r="D637">
            <v>54</v>
          </cell>
          <cell r="E637">
            <v>164</v>
          </cell>
          <cell r="F637">
            <v>6.7079273287000003</v>
          </cell>
          <cell r="G637">
            <v>65.351235028999994</v>
          </cell>
          <cell r="H637">
            <v>4.4142268666</v>
          </cell>
          <cell r="I637" t="str">
            <v>Cyclist</v>
          </cell>
          <cell r="J637" t="str">
            <v>2037/38</v>
          </cell>
        </row>
        <row r="638">
          <cell r="A638" t="str">
            <v>09 WELLINGTON</v>
          </cell>
          <cell r="B638">
            <v>1</v>
          </cell>
          <cell r="C638">
            <v>2043</v>
          </cell>
          <cell r="D638">
            <v>54</v>
          </cell>
          <cell r="E638">
            <v>164</v>
          </cell>
          <cell r="F638">
            <v>6.5500462530999997</v>
          </cell>
          <cell r="G638">
            <v>70.795868893000005</v>
          </cell>
          <cell r="H638">
            <v>4.7215930316000003</v>
          </cell>
          <cell r="I638" t="str">
            <v>Cyclist</v>
          </cell>
          <cell r="J638" t="str">
            <v>2042/43</v>
          </cell>
        </row>
        <row r="639">
          <cell r="A639" t="str">
            <v>09 WELLINGTON</v>
          </cell>
          <cell r="B639">
            <v>2</v>
          </cell>
          <cell r="C639">
            <v>2013</v>
          </cell>
          <cell r="D639">
            <v>1130</v>
          </cell>
          <cell r="E639">
            <v>8488</v>
          </cell>
          <cell r="F639">
            <v>377.93589692</v>
          </cell>
          <cell r="G639">
            <v>3481.4296611999998</v>
          </cell>
          <cell r="H639">
            <v>92.129697210000003</v>
          </cell>
          <cell r="I639" t="str">
            <v>Light Vehicle Driver</v>
          </cell>
          <cell r="J639" t="str">
            <v>2012/13</v>
          </cell>
        </row>
        <row r="640">
          <cell r="A640" t="str">
            <v>09 WELLINGTON</v>
          </cell>
          <cell r="B640">
            <v>2</v>
          </cell>
          <cell r="C640">
            <v>2018</v>
          </cell>
          <cell r="D640">
            <v>1130</v>
          </cell>
          <cell r="E640">
            <v>8488</v>
          </cell>
          <cell r="F640">
            <v>365.40659854</v>
          </cell>
          <cell r="G640">
            <v>3389.5387887000002</v>
          </cell>
          <cell r="H640">
            <v>89.660255981000006</v>
          </cell>
          <cell r="I640" t="str">
            <v>Light Vehicle Driver</v>
          </cell>
          <cell r="J640" t="str">
            <v>2017/18</v>
          </cell>
        </row>
        <row r="641">
          <cell r="A641" t="str">
            <v>09 WELLINGTON</v>
          </cell>
          <cell r="B641">
            <v>2</v>
          </cell>
          <cell r="C641">
            <v>2023</v>
          </cell>
          <cell r="D641">
            <v>1130</v>
          </cell>
          <cell r="E641">
            <v>8488</v>
          </cell>
          <cell r="F641">
            <v>383.07034952999999</v>
          </cell>
          <cell r="G641">
            <v>3580.9944003999999</v>
          </cell>
          <cell r="H641">
            <v>94.639987130999998</v>
          </cell>
          <cell r="I641" t="str">
            <v>Light Vehicle Driver</v>
          </cell>
          <cell r="J641" t="str">
            <v>2022/23</v>
          </cell>
        </row>
        <row r="642">
          <cell r="A642" t="str">
            <v>09 WELLINGTON</v>
          </cell>
          <cell r="B642">
            <v>2</v>
          </cell>
          <cell r="C642">
            <v>2028</v>
          </cell>
          <cell r="D642">
            <v>1130</v>
          </cell>
          <cell r="E642">
            <v>8488</v>
          </cell>
          <cell r="F642">
            <v>390.70102287999998</v>
          </cell>
          <cell r="G642">
            <v>3686.3797288000001</v>
          </cell>
          <cell r="H642">
            <v>97.052113758999994</v>
          </cell>
          <cell r="I642" t="str">
            <v>Light Vehicle Driver</v>
          </cell>
          <cell r="J642" t="str">
            <v>2027/28</v>
          </cell>
        </row>
        <row r="643">
          <cell r="A643" t="str">
            <v>09 WELLINGTON</v>
          </cell>
          <cell r="B643">
            <v>2</v>
          </cell>
          <cell r="C643">
            <v>2033</v>
          </cell>
          <cell r="D643">
            <v>1130</v>
          </cell>
          <cell r="E643">
            <v>8488</v>
          </cell>
          <cell r="F643">
            <v>395.69365536999999</v>
          </cell>
          <cell r="G643">
            <v>3774.6531451000001</v>
          </cell>
          <cell r="H643">
            <v>98.860474457999999</v>
          </cell>
          <cell r="I643" t="str">
            <v>Light Vehicle Driver</v>
          </cell>
          <cell r="J643" t="str">
            <v>2032/33</v>
          </cell>
        </row>
        <row r="644">
          <cell r="A644" t="str">
            <v>09 WELLINGTON</v>
          </cell>
          <cell r="B644">
            <v>2</v>
          </cell>
          <cell r="C644">
            <v>2038</v>
          </cell>
          <cell r="D644">
            <v>1130</v>
          </cell>
          <cell r="E644">
            <v>8488</v>
          </cell>
          <cell r="F644">
            <v>396.39454992999998</v>
          </cell>
          <cell r="G644">
            <v>3815.8583039</v>
          </cell>
          <cell r="H644">
            <v>99.596492377999994</v>
          </cell>
          <cell r="I644" t="str">
            <v>Light Vehicle Driver</v>
          </cell>
          <cell r="J644" t="str">
            <v>2037/38</v>
          </cell>
        </row>
        <row r="645">
          <cell r="A645" t="str">
            <v>09 WELLINGTON</v>
          </cell>
          <cell r="B645">
            <v>2</v>
          </cell>
          <cell r="C645">
            <v>2043</v>
          </cell>
          <cell r="D645">
            <v>1130</v>
          </cell>
          <cell r="E645">
            <v>8488</v>
          </cell>
          <cell r="F645">
            <v>395.55123354</v>
          </cell>
          <cell r="G645">
            <v>3836.1299755</v>
          </cell>
          <cell r="H645">
            <v>99.877484260000003</v>
          </cell>
          <cell r="I645" t="str">
            <v>Light Vehicle Driver</v>
          </cell>
          <cell r="J645" t="str">
            <v>2042/43</v>
          </cell>
        </row>
        <row r="646">
          <cell r="A646" t="str">
            <v>09 WELLINGTON</v>
          </cell>
          <cell r="B646">
            <v>3</v>
          </cell>
          <cell r="C646">
            <v>2013</v>
          </cell>
          <cell r="D646">
            <v>936</v>
          </cell>
          <cell r="E646">
            <v>4461</v>
          </cell>
          <cell r="F646">
            <v>183.55442563</v>
          </cell>
          <cell r="G646">
            <v>2005.8850408000001</v>
          </cell>
          <cell r="H646">
            <v>48.966354531</v>
          </cell>
          <cell r="I646" t="str">
            <v>Light Vehicle Passenger</v>
          </cell>
          <cell r="J646" t="str">
            <v>2012/13</v>
          </cell>
        </row>
        <row r="647">
          <cell r="A647" t="str">
            <v>09 WELLINGTON</v>
          </cell>
          <cell r="B647">
            <v>3</v>
          </cell>
          <cell r="C647">
            <v>2018</v>
          </cell>
          <cell r="D647">
            <v>936</v>
          </cell>
          <cell r="E647">
            <v>4461</v>
          </cell>
          <cell r="F647">
            <v>172.51208758000001</v>
          </cell>
          <cell r="G647">
            <v>1855.0981509999999</v>
          </cell>
          <cell r="H647">
            <v>45.688922679000001</v>
          </cell>
          <cell r="I647" t="str">
            <v>Light Vehicle Passenger</v>
          </cell>
          <cell r="J647" t="str">
            <v>2017/18</v>
          </cell>
        </row>
        <row r="648">
          <cell r="A648" t="str">
            <v>09 WELLINGTON</v>
          </cell>
          <cell r="B648">
            <v>3</v>
          </cell>
          <cell r="C648">
            <v>2023</v>
          </cell>
          <cell r="D648">
            <v>936</v>
          </cell>
          <cell r="E648">
            <v>4461</v>
          </cell>
          <cell r="F648">
            <v>178.04549179</v>
          </cell>
          <cell r="G648">
            <v>1882.7146579</v>
          </cell>
          <cell r="H648">
            <v>46.728240538999998</v>
          </cell>
          <cell r="I648" t="str">
            <v>Light Vehicle Passenger</v>
          </cell>
          <cell r="J648" t="str">
            <v>2022/23</v>
          </cell>
        </row>
        <row r="649">
          <cell r="A649" t="str">
            <v>09 WELLINGTON</v>
          </cell>
          <cell r="B649">
            <v>3</v>
          </cell>
          <cell r="C649">
            <v>2028</v>
          </cell>
          <cell r="D649">
            <v>936</v>
          </cell>
          <cell r="E649">
            <v>4461</v>
          </cell>
          <cell r="F649">
            <v>176.16609156999999</v>
          </cell>
          <cell r="G649">
            <v>1862.0886949000001</v>
          </cell>
          <cell r="H649">
            <v>46.207601717000003</v>
          </cell>
          <cell r="I649" t="str">
            <v>Light Vehicle Passenger</v>
          </cell>
          <cell r="J649" t="str">
            <v>2027/28</v>
          </cell>
        </row>
        <row r="650">
          <cell r="A650" t="str">
            <v>09 WELLINGTON</v>
          </cell>
          <cell r="B650">
            <v>3</v>
          </cell>
          <cell r="C650">
            <v>2033</v>
          </cell>
          <cell r="D650">
            <v>936</v>
          </cell>
          <cell r="E650">
            <v>4461</v>
          </cell>
          <cell r="F650">
            <v>174.79865082000001</v>
          </cell>
          <cell r="G650">
            <v>1848.1684035000001</v>
          </cell>
          <cell r="H650">
            <v>45.856724487000001</v>
          </cell>
          <cell r="I650" t="str">
            <v>Light Vehicle Passenger</v>
          </cell>
          <cell r="J650" t="str">
            <v>2032/33</v>
          </cell>
        </row>
        <row r="651">
          <cell r="A651" t="str">
            <v>09 WELLINGTON</v>
          </cell>
          <cell r="B651">
            <v>3</v>
          </cell>
          <cell r="C651">
            <v>2038</v>
          </cell>
          <cell r="D651">
            <v>936</v>
          </cell>
          <cell r="E651">
            <v>4461</v>
          </cell>
          <cell r="F651">
            <v>172.59254505000001</v>
          </cell>
          <cell r="G651">
            <v>1823.1036879000001</v>
          </cell>
          <cell r="H651">
            <v>45.248670437000001</v>
          </cell>
          <cell r="I651" t="str">
            <v>Light Vehicle Passenger</v>
          </cell>
          <cell r="J651" t="str">
            <v>2037/38</v>
          </cell>
        </row>
        <row r="652">
          <cell r="A652" t="str">
            <v>09 WELLINGTON</v>
          </cell>
          <cell r="B652">
            <v>3</v>
          </cell>
          <cell r="C652">
            <v>2043</v>
          </cell>
          <cell r="D652">
            <v>936</v>
          </cell>
          <cell r="E652">
            <v>4461</v>
          </cell>
          <cell r="F652">
            <v>169.91660947</v>
          </cell>
          <cell r="G652">
            <v>1795.2926726000001</v>
          </cell>
          <cell r="H652">
            <v>44.573655440000003</v>
          </cell>
          <cell r="I652" t="str">
            <v>Light Vehicle Passenger</v>
          </cell>
          <cell r="J652" t="str">
            <v>2042/43</v>
          </cell>
        </row>
        <row r="653">
          <cell r="A653" t="str">
            <v>09 WELLINGTON</v>
          </cell>
          <cell r="B653">
            <v>4</v>
          </cell>
          <cell r="C653">
            <v>2013</v>
          </cell>
          <cell r="D653">
            <v>31</v>
          </cell>
          <cell r="E653">
            <v>51</v>
          </cell>
          <cell r="F653">
            <v>2.3579512121000001</v>
          </cell>
          <cell r="G653">
            <v>19.359252680000001</v>
          </cell>
          <cell r="H653">
            <v>0.76229285280000003</v>
          </cell>
          <cell r="J653" t="str">
            <v>2012/13</v>
          </cell>
        </row>
        <row r="654">
          <cell r="A654" t="str">
            <v>09 WELLINGTON</v>
          </cell>
          <cell r="B654">
            <v>4</v>
          </cell>
          <cell r="C654">
            <v>2018</v>
          </cell>
          <cell r="D654">
            <v>31</v>
          </cell>
          <cell r="E654">
            <v>51</v>
          </cell>
          <cell r="F654">
            <v>2.4168221678999999</v>
          </cell>
          <cell r="G654">
            <v>19.232101614000001</v>
          </cell>
          <cell r="H654">
            <v>0.76412563649999998</v>
          </cell>
          <cell r="J654" t="str">
            <v>2017/18</v>
          </cell>
        </row>
        <row r="655">
          <cell r="A655" t="str">
            <v>09 WELLINGTON</v>
          </cell>
          <cell r="B655">
            <v>4</v>
          </cell>
          <cell r="C655">
            <v>2023</v>
          </cell>
          <cell r="D655">
            <v>31</v>
          </cell>
          <cell r="E655">
            <v>51</v>
          </cell>
          <cell r="F655">
            <v>2.5978669863000001</v>
          </cell>
          <cell r="G655">
            <v>20.761453255999999</v>
          </cell>
          <cell r="H655">
            <v>0.82882970730000005</v>
          </cell>
          <cell r="J655" t="str">
            <v>2022/23</v>
          </cell>
        </row>
        <row r="656">
          <cell r="A656" t="str">
            <v>09 WELLINGTON</v>
          </cell>
          <cell r="B656">
            <v>4</v>
          </cell>
          <cell r="C656">
            <v>2028</v>
          </cell>
          <cell r="D656">
            <v>31</v>
          </cell>
          <cell r="E656">
            <v>51</v>
          </cell>
          <cell r="F656">
            <v>2.6792763157000001</v>
          </cell>
          <cell r="G656">
            <v>22.193646449999999</v>
          </cell>
          <cell r="H656">
            <v>0.88177437449999996</v>
          </cell>
          <cell r="J656" t="str">
            <v>2027/28</v>
          </cell>
        </row>
        <row r="657">
          <cell r="A657" t="str">
            <v>09 WELLINGTON</v>
          </cell>
          <cell r="B657">
            <v>4</v>
          </cell>
          <cell r="C657">
            <v>2033</v>
          </cell>
          <cell r="D657">
            <v>31</v>
          </cell>
          <cell r="E657">
            <v>51</v>
          </cell>
          <cell r="F657">
            <v>2.7275156650999999</v>
          </cell>
          <cell r="G657">
            <v>23.359180929000001</v>
          </cell>
          <cell r="H657">
            <v>0.91880890299999995</v>
          </cell>
          <cell r="J657" t="str">
            <v>2032/33</v>
          </cell>
        </row>
        <row r="658">
          <cell r="A658" t="str">
            <v>09 WELLINGTON</v>
          </cell>
          <cell r="B658">
            <v>4</v>
          </cell>
          <cell r="C658">
            <v>2038</v>
          </cell>
          <cell r="D658">
            <v>31</v>
          </cell>
          <cell r="E658">
            <v>51</v>
          </cell>
          <cell r="F658">
            <v>2.7373725566</v>
          </cell>
          <cell r="G658">
            <v>23.777106331999999</v>
          </cell>
          <cell r="H658">
            <v>0.92690842139999996</v>
          </cell>
          <cell r="J658" t="str">
            <v>2037/38</v>
          </cell>
        </row>
        <row r="659">
          <cell r="A659" t="str">
            <v>09 WELLINGTON</v>
          </cell>
          <cell r="B659">
            <v>4</v>
          </cell>
          <cell r="C659">
            <v>2043</v>
          </cell>
          <cell r="D659">
            <v>31</v>
          </cell>
          <cell r="E659">
            <v>51</v>
          </cell>
          <cell r="F659">
            <v>2.7187060926000002</v>
          </cell>
          <cell r="G659">
            <v>23.879346567999999</v>
          </cell>
          <cell r="H659">
            <v>0.92660349500000005</v>
          </cell>
          <cell r="J659" t="str">
            <v>2042/43</v>
          </cell>
        </row>
        <row r="660">
          <cell r="A660" t="str">
            <v>09 WELLINGTON</v>
          </cell>
          <cell r="B660">
            <v>5</v>
          </cell>
          <cell r="C660">
            <v>2013</v>
          </cell>
          <cell r="D660">
            <v>16</v>
          </cell>
          <cell r="E660">
            <v>64</v>
          </cell>
          <cell r="F660">
            <v>2.4968267649999998</v>
          </cell>
          <cell r="G660">
            <v>24.444631151999999</v>
          </cell>
          <cell r="H660">
            <v>0.71073078609999996</v>
          </cell>
          <cell r="I660" t="str">
            <v>Motorcyclist</v>
          </cell>
          <cell r="J660" t="str">
            <v>2012/13</v>
          </cell>
        </row>
        <row r="661">
          <cell r="A661" t="str">
            <v>09 WELLINGTON</v>
          </cell>
          <cell r="B661">
            <v>5</v>
          </cell>
          <cell r="C661">
            <v>2018</v>
          </cell>
          <cell r="D661">
            <v>16</v>
          </cell>
          <cell r="E661">
            <v>64</v>
          </cell>
          <cell r="F661">
            <v>2.4736570579000001</v>
          </cell>
          <cell r="G661">
            <v>22.907917955999999</v>
          </cell>
          <cell r="H661">
            <v>0.68385273589999995</v>
          </cell>
          <cell r="I661" t="str">
            <v>Motorcyclist</v>
          </cell>
          <cell r="J661" t="str">
            <v>2017/18</v>
          </cell>
        </row>
        <row r="662">
          <cell r="A662" t="str">
            <v>09 WELLINGTON</v>
          </cell>
          <cell r="B662">
            <v>5</v>
          </cell>
          <cell r="C662">
            <v>2023</v>
          </cell>
          <cell r="D662">
            <v>16</v>
          </cell>
          <cell r="E662">
            <v>64</v>
          </cell>
          <cell r="F662">
            <v>2.5316279951</v>
          </cell>
          <cell r="G662">
            <v>22.712486507000001</v>
          </cell>
          <cell r="H662">
            <v>0.68081713330000004</v>
          </cell>
          <cell r="I662" t="str">
            <v>Motorcyclist</v>
          </cell>
          <cell r="J662" t="str">
            <v>2022/23</v>
          </cell>
        </row>
        <row r="663">
          <cell r="A663" t="str">
            <v>09 WELLINGTON</v>
          </cell>
          <cell r="B663">
            <v>5</v>
          </cell>
          <cell r="C663">
            <v>2028</v>
          </cell>
          <cell r="D663">
            <v>16</v>
          </cell>
          <cell r="E663">
            <v>64</v>
          </cell>
          <cell r="F663">
            <v>2.5050514668999999</v>
          </cell>
          <cell r="G663">
            <v>22.602515806</v>
          </cell>
          <cell r="H663">
            <v>0.66818940760000001</v>
          </cell>
          <cell r="I663" t="str">
            <v>Motorcyclist</v>
          </cell>
          <cell r="J663" t="str">
            <v>2027/28</v>
          </cell>
        </row>
        <row r="664">
          <cell r="A664" t="str">
            <v>09 WELLINGTON</v>
          </cell>
          <cell r="B664">
            <v>5</v>
          </cell>
          <cell r="C664">
            <v>2033</v>
          </cell>
          <cell r="D664">
            <v>16</v>
          </cell>
          <cell r="E664">
            <v>64</v>
          </cell>
          <cell r="F664">
            <v>2.4764686352999998</v>
          </cell>
          <cell r="G664">
            <v>22.950346429</v>
          </cell>
          <cell r="H664">
            <v>0.66796934350000003</v>
          </cell>
          <cell r="I664" t="str">
            <v>Motorcyclist</v>
          </cell>
          <cell r="J664" t="str">
            <v>2032/33</v>
          </cell>
        </row>
        <row r="665">
          <cell r="A665" t="str">
            <v>09 WELLINGTON</v>
          </cell>
          <cell r="B665">
            <v>5</v>
          </cell>
          <cell r="C665">
            <v>2038</v>
          </cell>
          <cell r="D665">
            <v>16</v>
          </cell>
          <cell r="E665">
            <v>64</v>
          </cell>
          <cell r="F665">
            <v>2.3926534435</v>
          </cell>
          <cell r="G665">
            <v>22.714475229000001</v>
          </cell>
          <cell r="H665">
            <v>0.65411944529999999</v>
          </cell>
          <cell r="I665" t="str">
            <v>Motorcyclist</v>
          </cell>
          <cell r="J665" t="str">
            <v>2037/38</v>
          </cell>
        </row>
        <row r="666">
          <cell r="A666" t="str">
            <v>09 WELLINGTON</v>
          </cell>
          <cell r="B666">
            <v>5</v>
          </cell>
          <cell r="C666">
            <v>2043</v>
          </cell>
          <cell r="D666">
            <v>16</v>
          </cell>
          <cell r="E666">
            <v>64</v>
          </cell>
          <cell r="F666">
            <v>2.2854672223999999</v>
          </cell>
          <cell r="G666">
            <v>22.185977841</v>
          </cell>
          <cell r="H666">
            <v>0.63178818690000005</v>
          </cell>
          <cell r="I666" t="str">
            <v>Motorcyclist</v>
          </cell>
          <cell r="J666" t="str">
            <v>2042/43</v>
          </cell>
        </row>
        <row r="667">
          <cell r="A667" t="str">
            <v>09 WELLINGTON</v>
          </cell>
          <cell r="B667">
            <v>6</v>
          </cell>
          <cell r="C667">
            <v>2013</v>
          </cell>
          <cell r="D667">
            <v>94</v>
          </cell>
          <cell r="E667">
            <v>228</v>
          </cell>
          <cell r="F667">
            <v>10.165258230999999</v>
          </cell>
          <cell r="G667">
            <v>251.12727889999999</v>
          </cell>
          <cell r="H667">
            <v>5.5268751299999996</v>
          </cell>
          <cell r="I667" t="str">
            <v>Local Train</v>
          </cell>
          <cell r="J667" t="str">
            <v>2012/13</v>
          </cell>
        </row>
        <row r="668">
          <cell r="A668" t="str">
            <v>09 WELLINGTON</v>
          </cell>
          <cell r="B668">
            <v>6</v>
          </cell>
          <cell r="C668">
            <v>2018</v>
          </cell>
          <cell r="D668">
            <v>94</v>
          </cell>
          <cell r="E668">
            <v>228</v>
          </cell>
          <cell r="F668">
            <v>10.128875609</v>
          </cell>
          <cell r="G668">
            <v>248.44248303000001</v>
          </cell>
          <cell r="H668">
            <v>5.4457496082999999</v>
          </cell>
          <cell r="I668" t="str">
            <v>Local Train</v>
          </cell>
          <cell r="J668" t="str">
            <v>2017/18</v>
          </cell>
        </row>
        <row r="669">
          <cell r="A669" t="str">
            <v>09 WELLINGTON</v>
          </cell>
          <cell r="B669">
            <v>6</v>
          </cell>
          <cell r="C669">
            <v>2023</v>
          </cell>
          <cell r="D669">
            <v>94</v>
          </cell>
          <cell r="E669">
            <v>228</v>
          </cell>
          <cell r="F669">
            <v>10.859865211000001</v>
          </cell>
          <cell r="G669">
            <v>265.06830047</v>
          </cell>
          <cell r="H669">
            <v>5.7970040563999996</v>
          </cell>
          <cell r="I669" t="str">
            <v>Local Train</v>
          </cell>
          <cell r="J669" t="str">
            <v>2022/23</v>
          </cell>
        </row>
        <row r="670">
          <cell r="A670" t="str">
            <v>09 WELLINGTON</v>
          </cell>
          <cell r="B670">
            <v>6</v>
          </cell>
          <cell r="C670">
            <v>2028</v>
          </cell>
          <cell r="D670">
            <v>94</v>
          </cell>
          <cell r="E670">
            <v>228</v>
          </cell>
          <cell r="F670">
            <v>10.683263460999999</v>
          </cell>
          <cell r="G670">
            <v>263.58451653999998</v>
          </cell>
          <cell r="H670">
            <v>5.7580250529999999</v>
          </cell>
          <cell r="I670" t="str">
            <v>Local Train</v>
          </cell>
          <cell r="J670" t="str">
            <v>2027/28</v>
          </cell>
        </row>
        <row r="671">
          <cell r="A671" t="str">
            <v>09 WELLINGTON</v>
          </cell>
          <cell r="B671">
            <v>6</v>
          </cell>
          <cell r="C671">
            <v>2033</v>
          </cell>
          <cell r="D671">
            <v>94</v>
          </cell>
          <cell r="E671">
            <v>228</v>
          </cell>
          <cell r="F671">
            <v>10.385782411999999</v>
          </cell>
          <cell r="G671">
            <v>256.17808224999999</v>
          </cell>
          <cell r="H671">
            <v>5.6142858811999998</v>
          </cell>
          <cell r="I671" t="str">
            <v>Local Train</v>
          </cell>
          <cell r="J671" t="str">
            <v>2032/33</v>
          </cell>
        </row>
        <row r="672">
          <cell r="A672" t="str">
            <v>09 WELLINGTON</v>
          </cell>
          <cell r="B672">
            <v>6</v>
          </cell>
          <cell r="C672">
            <v>2038</v>
          </cell>
          <cell r="D672">
            <v>94</v>
          </cell>
          <cell r="E672">
            <v>228</v>
          </cell>
          <cell r="F672">
            <v>10.128598181999999</v>
          </cell>
          <cell r="G672">
            <v>248.81406132000001</v>
          </cell>
          <cell r="H672">
            <v>5.4689339025999999</v>
          </cell>
          <cell r="I672" t="str">
            <v>Local Train</v>
          </cell>
          <cell r="J672" t="str">
            <v>2037/38</v>
          </cell>
        </row>
        <row r="673">
          <cell r="A673" t="str">
            <v>09 WELLINGTON</v>
          </cell>
          <cell r="B673">
            <v>6</v>
          </cell>
          <cell r="C673">
            <v>2043</v>
          </cell>
          <cell r="D673">
            <v>94</v>
          </cell>
          <cell r="E673">
            <v>228</v>
          </cell>
          <cell r="F673">
            <v>9.8277317289999999</v>
          </cell>
          <cell r="G673">
            <v>240.12026714999999</v>
          </cell>
          <cell r="H673">
            <v>5.2999744542</v>
          </cell>
          <cell r="I673" t="str">
            <v>Local Train</v>
          </cell>
          <cell r="J673" t="str">
            <v>2042/43</v>
          </cell>
        </row>
        <row r="674">
          <cell r="A674" t="str">
            <v>09 WELLINGTON</v>
          </cell>
          <cell r="B674">
            <v>7</v>
          </cell>
          <cell r="C674">
            <v>2013</v>
          </cell>
          <cell r="D674">
            <v>211</v>
          </cell>
          <cell r="E674">
            <v>552</v>
          </cell>
          <cell r="F674">
            <v>24.821335829999999</v>
          </cell>
          <cell r="G674">
            <v>187.412398</v>
          </cell>
          <cell r="H674">
            <v>9.3956469076999998</v>
          </cell>
          <cell r="I674" t="str">
            <v>Local Bus</v>
          </cell>
          <cell r="J674" t="str">
            <v>2012/13</v>
          </cell>
        </row>
        <row r="675">
          <cell r="A675" t="str">
            <v>09 WELLINGTON</v>
          </cell>
          <cell r="B675">
            <v>7</v>
          </cell>
          <cell r="C675">
            <v>2018</v>
          </cell>
          <cell r="D675">
            <v>211</v>
          </cell>
          <cell r="E675">
            <v>552</v>
          </cell>
          <cell r="F675">
            <v>23.850128953999999</v>
          </cell>
          <cell r="G675">
            <v>181.7900128</v>
          </cell>
          <cell r="H675">
            <v>9.0797274296000001</v>
          </cell>
          <cell r="I675" t="str">
            <v>Local Bus</v>
          </cell>
          <cell r="J675" t="str">
            <v>2017/18</v>
          </cell>
        </row>
        <row r="676">
          <cell r="A676" t="str">
            <v>09 WELLINGTON</v>
          </cell>
          <cell r="B676">
            <v>7</v>
          </cell>
          <cell r="C676">
            <v>2023</v>
          </cell>
          <cell r="D676">
            <v>211</v>
          </cell>
          <cell r="E676">
            <v>552</v>
          </cell>
          <cell r="F676">
            <v>24.259543268000002</v>
          </cell>
          <cell r="G676">
            <v>187.11115660999999</v>
          </cell>
          <cell r="H676">
            <v>9.3040085975999993</v>
          </cell>
          <cell r="I676" t="str">
            <v>Local Bus</v>
          </cell>
          <cell r="J676" t="str">
            <v>2022/23</v>
          </cell>
        </row>
        <row r="677">
          <cell r="A677" t="str">
            <v>09 WELLINGTON</v>
          </cell>
          <cell r="B677">
            <v>7</v>
          </cell>
          <cell r="C677">
            <v>2028</v>
          </cell>
          <cell r="D677">
            <v>211</v>
          </cell>
          <cell r="E677">
            <v>552</v>
          </cell>
          <cell r="F677">
            <v>23.003972069</v>
          </cell>
          <cell r="G677">
            <v>182.32258335</v>
          </cell>
          <cell r="H677">
            <v>8.8628852868999992</v>
          </cell>
          <cell r="I677" t="str">
            <v>Local Bus</v>
          </cell>
          <cell r="J677" t="str">
            <v>2027/28</v>
          </cell>
        </row>
        <row r="678">
          <cell r="A678" t="str">
            <v>09 WELLINGTON</v>
          </cell>
          <cell r="B678">
            <v>7</v>
          </cell>
          <cell r="C678">
            <v>2033</v>
          </cell>
          <cell r="D678">
            <v>211</v>
          </cell>
          <cell r="E678">
            <v>552</v>
          </cell>
          <cell r="F678">
            <v>21.607857992</v>
          </cell>
          <cell r="G678">
            <v>177.10118631</v>
          </cell>
          <cell r="H678">
            <v>8.3726417217000009</v>
          </cell>
          <cell r="I678" t="str">
            <v>Local Bus</v>
          </cell>
          <cell r="J678" t="str">
            <v>2032/33</v>
          </cell>
        </row>
        <row r="679">
          <cell r="A679" t="str">
            <v>09 WELLINGTON</v>
          </cell>
          <cell r="B679">
            <v>7</v>
          </cell>
          <cell r="C679">
            <v>2038</v>
          </cell>
          <cell r="D679">
            <v>211</v>
          </cell>
          <cell r="E679">
            <v>552</v>
          </cell>
          <cell r="F679">
            <v>20.261840903</v>
          </cell>
          <cell r="G679">
            <v>171.97027491</v>
          </cell>
          <cell r="H679">
            <v>7.8966896970000002</v>
          </cell>
          <cell r="I679" t="str">
            <v>Local Bus</v>
          </cell>
          <cell r="J679" t="str">
            <v>2037/38</v>
          </cell>
        </row>
        <row r="680">
          <cell r="A680" t="str">
            <v>09 WELLINGTON</v>
          </cell>
          <cell r="B680">
            <v>7</v>
          </cell>
          <cell r="C680">
            <v>2043</v>
          </cell>
          <cell r="D680">
            <v>211</v>
          </cell>
          <cell r="E680">
            <v>552</v>
          </cell>
          <cell r="F680">
            <v>18.955095878000002</v>
          </cell>
          <cell r="G680">
            <v>166.55157001000001</v>
          </cell>
          <cell r="H680">
            <v>7.4243218439999996</v>
          </cell>
          <cell r="I680" t="str">
            <v>Local Bus</v>
          </cell>
          <cell r="J680" t="str">
            <v>2042/43</v>
          </cell>
        </row>
        <row r="681">
          <cell r="A681" t="str">
            <v>09 WELLINGTON</v>
          </cell>
          <cell r="B681">
            <v>8</v>
          </cell>
          <cell r="C681">
            <v>2013</v>
          </cell>
          <cell r="D681">
            <v>2</v>
          </cell>
          <cell r="E681">
            <v>4</v>
          </cell>
          <cell r="F681">
            <v>0.22615005399999999</v>
          </cell>
          <cell r="G681">
            <v>0</v>
          </cell>
          <cell r="H681">
            <v>5.6537513499999997E-2</v>
          </cell>
          <cell r="I681" t="str">
            <v>Local Ferry</v>
          </cell>
          <cell r="J681" t="str">
            <v>2012/13</v>
          </cell>
        </row>
        <row r="682">
          <cell r="A682" t="str">
            <v>09 WELLINGTON</v>
          </cell>
          <cell r="B682">
            <v>8</v>
          </cell>
          <cell r="C682">
            <v>2018</v>
          </cell>
          <cell r="D682">
            <v>2</v>
          </cell>
          <cell r="E682">
            <v>4</v>
          </cell>
          <cell r="F682">
            <v>0.25161437549999999</v>
          </cell>
          <cell r="G682">
            <v>0</v>
          </cell>
          <cell r="H682">
            <v>6.2903593899999999E-2</v>
          </cell>
          <cell r="I682" t="str">
            <v>Local Ferry</v>
          </cell>
          <cell r="J682" t="str">
            <v>2017/18</v>
          </cell>
        </row>
        <row r="683">
          <cell r="A683" t="str">
            <v>09 WELLINGTON</v>
          </cell>
          <cell r="B683">
            <v>8</v>
          </cell>
          <cell r="C683">
            <v>2023</v>
          </cell>
          <cell r="D683">
            <v>2</v>
          </cell>
          <cell r="E683">
            <v>4</v>
          </cell>
          <cell r="F683">
            <v>0.29867249950000002</v>
          </cell>
          <cell r="G683">
            <v>0</v>
          </cell>
          <cell r="H683">
            <v>7.4668124899999994E-2</v>
          </cell>
          <cell r="I683" t="str">
            <v>Local Ferry</v>
          </cell>
          <cell r="J683" t="str">
            <v>2022/23</v>
          </cell>
        </row>
        <row r="684">
          <cell r="A684" t="str">
            <v>09 WELLINGTON</v>
          </cell>
          <cell r="B684">
            <v>8</v>
          </cell>
          <cell r="C684">
            <v>2028</v>
          </cell>
          <cell r="D684">
            <v>2</v>
          </cell>
          <cell r="E684">
            <v>4</v>
          </cell>
          <cell r="F684">
            <v>0.33806518390000001</v>
          </cell>
          <cell r="G684">
            <v>0</v>
          </cell>
          <cell r="H684">
            <v>8.4516296000000005E-2</v>
          </cell>
          <cell r="I684" t="str">
            <v>Local Ferry</v>
          </cell>
          <cell r="J684" t="str">
            <v>2027/28</v>
          </cell>
        </row>
        <row r="685">
          <cell r="A685" t="str">
            <v>09 WELLINGTON</v>
          </cell>
          <cell r="B685">
            <v>8</v>
          </cell>
          <cell r="C685">
            <v>2033</v>
          </cell>
          <cell r="D685">
            <v>2</v>
          </cell>
          <cell r="E685">
            <v>4</v>
          </cell>
          <cell r="F685">
            <v>0.37676095970000001</v>
          </cell>
          <cell r="G685">
            <v>0</v>
          </cell>
          <cell r="H685">
            <v>9.41902399E-2</v>
          </cell>
          <cell r="I685" t="str">
            <v>Local Ferry</v>
          </cell>
          <cell r="J685" t="str">
            <v>2032/33</v>
          </cell>
        </row>
        <row r="686">
          <cell r="A686" t="str">
            <v>09 WELLINGTON</v>
          </cell>
          <cell r="B686">
            <v>8</v>
          </cell>
          <cell r="C686">
            <v>2038</v>
          </cell>
          <cell r="D686">
            <v>2</v>
          </cell>
          <cell r="E686">
            <v>4</v>
          </cell>
          <cell r="F686">
            <v>0.42251739859999998</v>
          </cell>
          <cell r="G686">
            <v>0</v>
          </cell>
          <cell r="H686">
            <v>0.1056293497</v>
          </cell>
          <cell r="I686" t="str">
            <v>Local Ferry</v>
          </cell>
          <cell r="J686" t="str">
            <v>2037/38</v>
          </cell>
        </row>
        <row r="687">
          <cell r="A687" t="str">
            <v>09 WELLINGTON</v>
          </cell>
          <cell r="B687">
            <v>8</v>
          </cell>
          <cell r="C687">
            <v>2043</v>
          </cell>
          <cell r="D687">
            <v>2</v>
          </cell>
          <cell r="E687">
            <v>4</v>
          </cell>
          <cell r="F687">
            <v>0.46676014850000003</v>
          </cell>
          <cell r="G687">
            <v>0</v>
          </cell>
          <cell r="H687">
            <v>0.1166900371</v>
          </cell>
          <cell r="I687" t="str">
            <v>Local Ferry</v>
          </cell>
          <cell r="J687" t="str">
            <v>2042/43</v>
          </cell>
        </row>
        <row r="688">
          <cell r="A688" t="str">
            <v>09 WELLINGTON</v>
          </cell>
          <cell r="B688">
            <v>9</v>
          </cell>
          <cell r="C688">
            <v>2013</v>
          </cell>
          <cell r="D688">
            <v>7</v>
          </cell>
          <cell r="E688">
            <v>10</v>
          </cell>
          <cell r="F688">
            <v>0.33422365529999998</v>
          </cell>
          <cell r="G688">
            <v>0</v>
          </cell>
          <cell r="H688">
            <v>0.36538599710000003</v>
          </cell>
          <cell r="I688" t="str">
            <v>Other Household Travel</v>
          </cell>
          <cell r="J688" t="str">
            <v>2012/13</v>
          </cell>
        </row>
        <row r="689">
          <cell r="A689" t="str">
            <v>09 WELLINGTON</v>
          </cell>
          <cell r="B689">
            <v>9</v>
          </cell>
          <cell r="C689">
            <v>2018</v>
          </cell>
          <cell r="D689">
            <v>7</v>
          </cell>
          <cell r="E689">
            <v>10</v>
          </cell>
          <cell r="F689">
            <v>0.31002510319999999</v>
          </cell>
          <cell r="G689">
            <v>0</v>
          </cell>
          <cell r="H689">
            <v>0.32689731360000002</v>
          </cell>
          <cell r="I689" t="str">
            <v>Other Household Travel</v>
          </cell>
          <cell r="J689" t="str">
            <v>2017/18</v>
          </cell>
        </row>
        <row r="690">
          <cell r="A690" t="str">
            <v>09 WELLINGTON</v>
          </cell>
          <cell r="B690">
            <v>9</v>
          </cell>
          <cell r="C690">
            <v>2023</v>
          </cell>
          <cell r="D690">
            <v>7</v>
          </cell>
          <cell r="E690">
            <v>10</v>
          </cell>
          <cell r="F690">
            <v>0.32476526610000001</v>
          </cell>
          <cell r="G690">
            <v>0</v>
          </cell>
          <cell r="H690">
            <v>0.33525093989999999</v>
          </cell>
          <cell r="I690" t="str">
            <v>Other Household Travel</v>
          </cell>
          <cell r="J690" t="str">
            <v>2022/23</v>
          </cell>
        </row>
        <row r="691">
          <cell r="A691" t="str">
            <v>09 WELLINGTON</v>
          </cell>
          <cell r="B691">
            <v>9</v>
          </cell>
          <cell r="C691">
            <v>2028</v>
          </cell>
          <cell r="D691">
            <v>7</v>
          </cell>
          <cell r="E691">
            <v>10</v>
          </cell>
          <cell r="F691">
            <v>0.3165565246</v>
          </cell>
          <cell r="G691">
            <v>0</v>
          </cell>
          <cell r="H691">
            <v>0.37054193460000001</v>
          </cell>
          <cell r="I691" t="str">
            <v>Other Household Travel</v>
          </cell>
          <cell r="J691" t="str">
            <v>2027/28</v>
          </cell>
        </row>
        <row r="692">
          <cell r="A692" t="str">
            <v>09 WELLINGTON</v>
          </cell>
          <cell r="B692">
            <v>9</v>
          </cell>
          <cell r="C692">
            <v>2033</v>
          </cell>
          <cell r="D692">
            <v>7</v>
          </cell>
          <cell r="E692">
            <v>10</v>
          </cell>
          <cell r="F692">
            <v>0.3005884607</v>
          </cell>
          <cell r="G692">
            <v>0</v>
          </cell>
          <cell r="H692">
            <v>0.38282474119999998</v>
          </cell>
          <cell r="I692" t="str">
            <v>Other Household Travel</v>
          </cell>
          <cell r="J692" t="str">
            <v>2032/33</v>
          </cell>
        </row>
        <row r="693">
          <cell r="A693" t="str">
            <v>09 WELLINGTON</v>
          </cell>
          <cell r="B693">
            <v>9</v>
          </cell>
          <cell r="C693">
            <v>2038</v>
          </cell>
          <cell r="D693">
            <v>7</v>
          </cell>
          <cell r="E693">
            <v>10</v>
          </cell>
          <cell r="F693">
            <v>0.28488795750000001</v>
          </cell>
          <cell r="G693">
            <v>0</v>
          </cell>
          <cell r="H693">
            <v>0.35636601680000002</v>
          </cell>
          <cell r="I693" t="str">
            <v>Other Household Travel</v>
          </cell>
          <cell r="J693" t="str">
            <v>2037/38</v>
          </cell>
        </row>
        <row r="694">
          <cell r="A694" t="str">
            <v>09 WELLINGTON</v>
          </cell>
          <cell r="B694">
            <v>9</v>
          </cell>
          <cell r="C694">
            <v>2043</v>
          </cell>
          <cell r="D694">
            <v>7</v>
          </cell>
          <cell r="E694">
            <v>10</v>
          </cell>
          <cell r="F694">
            <v>0.26677333040000001</v>
          </cell>
          <cell r="G694">
            <v>0</v>
          </cell>
          <cell r="H694">
            <v>0.32363022759999999</v>
          </cell>
          <cell r="I694" t="str">
            <v>Other Household Travel</v>
          </cell>
          <cell r="J694" t="str">
            <v>2042/43</v>
          </cell>
        </row>
        <row r="695">
          <cell r="A695" t="str">
            <v>09 WELLINGTON</v>
          </cell>
          <cell r="B695">
            <v>10</v>
          </cell>
          <cell r="C695">
            <v>2013</v>
          </cell>
          <cell r="D695">
            <v>44</v>
          </cell>
          <cell r="E695">
            <v>59</v>
          </cell>
          <cell r="F695">
            <v>2.6590020702000001</v>
          </cell>
          <cell r="G695">
            <v>67.715118274999995</v>
          </cell>
          <cell r="H695">
            <v>5.4178011538000002</v>
          </cell>
          <cell r="I695" t="str">
            <v>Air/Non-Local PT</v>
          </cell>
          <cell r="J695" t="str">
            <v>2012/13</v>
          </cell>
        </row>
        <row r="696">
          <cell r="A696" t="str">
            <v>09 WELLINGTON</v>
          </cell>
          <cell r="B696">
            <v>10</v>
          </cell>
          <cell r="C696">
            <v>2018</v>
          </cell>
          <cell r="D696">
            <v>44</v>
          </cell>
          <cell r="E696">
            <v>59</v>
          </cell>
          <cell r="F696">
            <v>2.7602023181000002</v>
          </cell>
          <cell r="G696">
            <v>77.617112509999998</v>
          </cell>
          <cell r="H696">
            <v>5.7225328060000002</v>
          </cell>
          <cell r="I696" t="str">
            <v>Air/Non-Local PT</v>
          </cell>
          <cell r="J696" t="str">
            <v>2017/18</v>
          </cell>
        </row>
        <row r="697">
          <cell r="A697" t="str">
            <v>09 WELLINGTON</v>
          </cell>
          <cell r="B697">
            <v>10</v>
          </cell>
          <cell r="C697">
            <v>2023</v>
          </cell>
          <cell r="D697">
            <v>44</v>
          </cell>
          <cell r="E697">
            <v>59</v>
          </cell>
          <cell r="F697">
            <v>3.1215030637000001</v>
          </cell>
          <cell r="G697">
            <v>90.359648090999997</v>
          </cell>
          <cell r="H697">
            <v>6.6538859965999997</v>
          </cell>
          <cell r="I697" t="str">
            <v>Air/Non-Local PT</v>
          </cell>
          <cell r="J697" t="str">
            <v>2022/23</v>
          </cell>
        </row>
        <row r="698">
          <cell r="A698" t="str">
            <v>09 WELLINGTON</v>
          </cell>
          <cell r="B698">
            <v>10</v>
          </cell>
          <cell r="C698">
            <v>2028</v>
          </cell>
          <cell r="D698">
            <v>44</v>
          </cell>
          <cell r="E698">
            <v>59</v>
          </cell>
          <cell r="F698">
            <v>3.3824796897999998</v>
          </cell>
          <cell r="G698">
            <v>91.474079821000004</v>
          </cell>
          <cell r="H698">
            <v>7.3705023537000001</v>
          </cell>
          <cell r="I698" t="str">
            <v>Air/Non-Local PT</v>
          </cell>
          <cell r="J698" t="str">
            <v>2027/28</v>
          </cell>
        </row>
        <row r="699">
          <cell r="A699" t="str">
            <v>09 WELLINGTON</v>
          </cell>
          <cell r="B699">
            <v>10</v>
          </cell>
          <cell r="C699">
            <v>2033</v>
          </cell>
          <cell r="D699">
            <v>44</v>
          </cell>
          <cell r="E699">
            <v>59</v>
          </cell>
          <cell r="F699">
            <v>3.5653346963999999</v>
          </cell>
          <cell r="G699">
            <v>88.996563203999997</v>
          </cell>
          <cell r="H699">
            <v>7.8651554653</v>
          </cell>
          <cell r="I699" t="str">
            <v>Air/Non-Local PT</v>
          </cell>
          <cell r="J699" t="str">
            <v>2032/33</v>
          </cell>
        </row>
        <row r="700">
          <cell r="A700" t="str">
            <v>09 WELLINGTON</v>
          </cell>
          <cell r="B700">
            <v>10</v>
          </cell>
          <cell r="C700">
            <v>2038</v>
          </cell>
          <cell r="D700">
            <v>44</v>
          </cell>
          <cell r="E700">
            <v>59</v>
          </cell>
          <cell r="F700">
            <v>3.6301513671999999</v>
          </cell>
          <cell r="G700">
            <v>82.861127292000006</v>
          </cell>
          <cell r="H700">
            <v>8.0001868505000004</v>
          </cell>
          <cell r="I700" t="str">
            <v>Air/Non-Local PT</v>
          </cell>
          <cell r="J700" t="str">
            <v>2037/38</v>
          </cell>
        </row>
        <row r="701">
          <cell r="A701" t="str">
            <v>09 WELLINGTON</v>
          </cell>
          <cell r="B701">
            <v>10</v>
          </cell>
          <cell r="C701">
            <v>2043</v>
          </cell>
          <cell r="D701">
            <v>44</v>
          </cell>
          <cell r="E701">
            <v>59</v>
          </cell>
          <cell r="F701">
            <v>3.6722487881000001</v>
          </cell>
          <cell r="G701">
            <v>75.319982816999996</v>
          </cell>
          <cell r="H701">
            <v>8.0686788486999994</v>
          </cell>
          <cell r="I701" t="str">
            <v>Air/Non-Local PT</v>
          </cell>
          <cell r="J701" t="str">
            <v>2042/43</v>
          </cell>
        </row>
        <row r="702">
          <cell r="A702" t="str">
            <v>09 WELLINGTON</v>
          </cell>
          <cell r="B702">
            <v>11</v>
          </cell>
          <cell r="C702">
            <v>2013</v>
          </cell>
          <cell r="D702">
            <v>22</v>
          </cell>
          <cell r="E702">
            <v>115</v>
          </cell>
          <cell r="F702">
            <v>5.4599503292999998</v>
          </cell>
          <cell r="G702">
            <v>100.96436647</v>
          </cell>
          <cell r="H702">
            <v>1.9758448391000001</v>
          </cell>
          <cell r="I702" t="str">
            <v>Non-Household Travel</v>
          </cell>
          <cell r="J702" t="str">
            <v>2012/13</v>
          </cell>
        </row>
        <row r="703">
          <cell r="A703" t="str">
            <v>09 WELLINGTON</v>
          </cell>
          <cell r="B703">
            <v>11</v>
          </cell>
          <cell r="C703">
            <v>2018</v>
          </cell>
          <cell r="D703">
            <v>22</v>
          </cell>
          <cell r="E703">
            <v>115</v>
          </cell>
          <cell r="F703">
            <v>5.2767067031000003</v>
          </cell>
          <cell r="G703">
            <v>107.01605850999999</v>
          </cell>
          <cell r="H703">
            <v>2.0474502582</v>
          </cell>
          <cell r="I703" t="str">
            <v>Non-Household Travel</v>
          </cell>
          <cell r="J703" t="str">
            <v>2017/18</v>
          </cell>
        </row>
        <row r="704">
          <cell r="A704" t="str">
            <v>09 WELLINGTON</v>
          </cell>
          <cell r="B704">
            <v>11</v>
          </cell>
          <cell r="C704">
            <v>2023</v>
          </cell>
          <cell r="D704">
            <v>22</v>
          </cell>
          <cell r="E704">
            <v>115</v>
          </cell>
          <cell r="F704">
            <v>5.5251865805999998</v>
          </cell>
          <cell r="G704">
            <v>120.52777138</v>
          </cell>
          <cell r="H704">
            <v>2.2750190606</v>
          </cell>
          <cell r="I704" t="str">
            <v>Non-Household Travel</v>
          </cell>
          <cell r="J704" t="str">
            <v>2022/23</v>
          </cell>
        </row>
        <row r="705">
          <cell r="A705" t="str">
            <v>09 WELLINGTON</v>
          </cell>
          <cell r="B705">
            <v>11</v>
          </cell>
          <cell r="C705">
            <v>2028</v>
          </cell>
          <cell r="D705">
            <v>22</v>
          </cell>
          <cell r="E705">
            <v>115</v>
          </cell>
          <cell r="F705">
            <v>5.5716149715999999</v>
          </cell>
          <cell r="G705">
            <v>120.4680424</v>
          </cell>
          <cell r="H705">
            <v>2.2794584656999999</v>
          </cell>
          <cell r="I705" t="str">
            <v>Non-Household Travel</v>
          </cell>
          <cell r="J705" t="str">
            <v>2027/28</v>
          </cell>
        </row>
        <row r="706">
          <cell r="A706" t="str">
            <v>09 WELLINGTON</v>
          </cell>
          <cell r="B706">
            <v>11</v>
          </cell>
          <cell r="C706">
            <v>2033</v>
          </cell>
          <cell r="D706">
            <v>22</v>
          </cell>
          <cell r="E706">
            <v>115</v>
          </cell>
          <cell r="F706">
            <v>5.7201179481000004</v>
          </cell>
          <cell r="G706">
            <v>118.61677822</v>
          </cell>
          <cell r="H706">
            <v>2.2816876825999999</v>
          </cell>
          <cell r="I706" t="str">
            <v>Non-Household Travel</v>
          </cell>
          <cell r="J706" t="str">
            <v>2032/33</v>
          </cell>
        </row>
        <row r="707">
          <cell r="A707" t="str">
            <v>09 WELLINGTON</v>
          </cell>
          <cell r="B707">
            <v>11</v>
          </cell>
          <cell r="C707">
            <v>2038</v>
          </cell>
          <cell r="D707">
            <v>22</v>
          </cell>
          <cell r="E707">
            <v>115</v>
          </cell>
          <cell r="F707">
            <v>5.9902704911000004</v>
          </cell>
          <cell r="G707">
            <v>118.59427329</v>
          </cell>
          <cell r="H707">
            <v>2.3344334086999998</v>
          </cell>
          <cell r="I707" t="str">
            <v>Non-Household Travel</v>
          </cell>
          <cell r="J707" t="str">
            <v>2037/38</v>
          </cell>
        </row>
        <row r="708">
          <cell r="A708" t="str">
            <v>09 WELLINGTON</v>
          </cell>
          <cell r="B708">
            <v>11</v>
          </cell>
          <cell r="C708">
            <v>2043</v>
          </cell>
          <cell r="D708">
            <v>22</v>
          </cell>
          <cell r="E708">
            <v>115</v>
          </cell>
          <cell r="F708">
            <v>6.2837643367</v>
          </cell>
          <cell r="G708">
            <v>118.32150256</v>
          </cell>
          <cell r="H708">
            <v>2.3853803291000002</v>
          </cell>
          <cell r="I708" t="str">
            <v>Non-Household Travel</v>
          </cell>
          <cell r="J708" t="str">
            <v>2042/43</v>
          </cell>
        </row>
        <row r="709">
          <cell r="A709" t="str">
            <v>10 NELS-MARLB-TAS</v>
          </cell>
          <cell r="B709">
            <v>0</v>
          </cell>
          <cell r="C709">
            <v>2013</v>
          </cell>
          <cell r="D709">
            <v>333</v>
          </cell>
          <cell r="E709">
            <v>1184</v>
          </cell>
          <cell r="F709">
            <v>34.609993433</v>
          </cell>
          <cell r="G709">
            <v>28.582749250999999</v>
          </cell>
          <cell r="H709">
            <v>7.2640217022</v>
          </cell>
          <cell r="I709" t="str">
            <v>Pedestrian</v>
          </cell>
          <cell r="J709" t="str">
            <v>2012/13</v>
          </cell>
        </row>
        <row r="710">
          <cell r="A710" t="str">
            <v>10 NELS-MARLB-TAS</v>
          </cell>
          <cell r="B710">
            <v>0</v>
          </cell>
          <cell r="C710">
            <v>2018</v>
          </cell>
          <cell r="D710">
            <v>333</v>
          </cell>
          <cell r="E710">
            <v>1184</v>
          </cell>
          <cell r="F710">
            <v>32.992558275999997</v>
          </cell>
          <cell r="G710">
            <v>27.267364876999999</v>
          </cell>
          <cell r="H710">
            <v>6.9012564692999998</v>
          </cell>
          <cell r="I710" t="str">
            <v>Pedestrian</v>
          </cell>
          <cell r="J710" t="str">
            <v>2017/18</v>
          </cell>
        </row>
        <row r="711">
          <cell r="A711" t="str">
            <v>10 NELS-MARLB-TAS</v>
          </cell>
          <cell r="B711">
            <v>0</v>
          </cell>
          <cell r="C711">
            <v>2023</v>
          </cell>
          <cell r="D711">
            <v>333</v>
          </cell>
          <cell r="E711">
            <v>1184</v>
          </cell>
          <cell r="F711">
            <v>34.554545754999999</v>
          </cell>
          <cell r="G711">
            <v>28.824585110000001</v>
          </cell>
          <cell r="H711">
            <v>7.2513576973999996</v>
          </cell>
          <cell r="I711" t="str">
            <v>Pedestrian</v>
          </cell>
          <cell r="J711" t="str">
            <v>2022/23</v>
          </cell>
        </row>
        <row r="712">
          <cell r="A712" t="str">
            <v>10 NELS-MARLB-TAS</v>
          </cell>
          <cell r="B712">
            <v>0</v>
          </cell>
          <cell r="C712">
            <v>2028</v>
          </cell>
          <cell r="D712">
            <v>333</v>
          </cell>
          <cell r="E712">
            <v>1184</v>
          </cell>
          <cell r="F712">
            <v>34.477018751999999</v>
          </cell>
          <cell r="G712">
            <v>28.939395995999998</v>
          </cell>
          <cell r="H712">
            <v>7.3093114993999997</v>
          </cell>
          <cell r="I712" t="str">
            <v>Pedestrian</v>
          </cell>
          <cell r="J712" t="str">
            <v>2027/28</v>
          </cell>
        </row>
        <row r="713">
          <cell r="A713" t="str">
            <v>10 NELS-MARLB-TAS</v>
          </cell>
          <cell r="B713">
            <v>0</v>
          </cell>
          <cell r="C713">
            <v>2033</v>
          </cell>
          <cell r="D713">
            <v>333</v>
          </cell>
          <cell r="E713">
            <v>1184</v>
          </cell>
          <cell r="F713">
            <v>33.591976072999998</v>
          </cell>
          <cell r="G713">
            <v>28.389989558</v>
          </cell>
          <cell r="H713">
            <v>7.1925722921000004</v>
          </cell>
          <cell r="I713" t="str">
            <v>Pedestrian</v>
          </cell>
          <cell r="J713" t="str">
            <v>2032/33</v>
          </cell>
        </row>
        <row r="714">
          <cell r="A714" t="str">
            <v>10 NELS-MARLB-TAS</v>
          </cell>
          <cell r="B714">
            <v>0</v>
          </cell>
          <cell r="C714">
            <v>2038</v>
          </cell>
          <cell r="D714">
            <v>333</v>
          </cell>
          <cell r="E714">
            <v>1184</v>
          </cell>
          <cell r="F714">
            <v>32.353178698000001</v>
          </cell>
          <cell r="G714">
            <v>27.225143998</v>
          </cell>
          <cell r="H714">
            <v>6.9288820534999997</v>
          </cell>
          <cell r="I714" t="str">
            <v>Pedestrian</v>
          </cell>
          <cell r="J714" t="str">
            <v>2037/38</v>
          </cell>
        </row>
        <row r="715">
          <cell r="A715" t="str">
            <v>10 NELS-MARLB-TAS</v>
          </cell>
          <cell r="B715">
            <v>0</v>
          </cell>
          <cell r="C715">
            <v>2043</v>
          </cell>
          <cell r="D715">
            <v>333</v>
          </cell>
          <cell r="E715">
            <v>1184</v>
          </cell>
          <cell r="F715">
            <v>30.996355791999999</v>
          </cell>
          <cell r="G715">
            <v>25.899596658</v>
          </cell>
          <cell r="H715">
            <v>6.6244057433999997</v>
          </cell>
          <cell r="I715" t="str">
            <v>Pedestrian</v>
          </cell>
          <cell r="J715" t="str">
            <v>2042/43</v>
          </cell>
        </row>
        <row r="716">
          <cell r="A716" t="str">
            <v>10 NELS-MARLB-TAS</v>
          </cell>
          <cell r="B716">
            <v>1</v>
          </cell>
          <cell r="C716">
            <v>2013</v>
          </cell>
          <cell r="D716">
            <v>42</v>
          </cell>
          <cell r="E716">
            <v>121</v>
          </cell>
          <cell r="F716">
            <v>2.9519642961999999</v>
          </cell>
          <cell r="G716">
            <v>10.809874027999999</v>
          </cell>
          <cell r="H716">
            <v>1.0417220854</v>
          </cell>
          <cell r="I716" t="str">
            <v>Cyclist</v>
          </cell>
          <cell r="J716" t="str">
            <v>2012/13</v>
          </cell>
        </row>
        <row r="717">
          <cell r="A717" t="str">
            <v>10 NELS-MARLB-TAS</v>
          </cell>
          <cell r="B717">
            <v>1</v>
          </cell>
          <cell r="C717">
            <v>2018</v>
          </cell>
          <cell r="D717">
            <v>42</v>
          </cell>
          <cell r="E717">
            <v>121</v>
          </cell>
          <cell r="F717">
            <v>2.6798533753</v>
          </cell>
          <cell r="G717">
            <v>10.201374881</v>
          </cell>
          <cell r="H717">
            <v>0.96655646019999997</v>
          </cell>
          <cell r="I717" t="str">
            <v>Cyclist</v>
          </cell>
          <cell r="J717" t="str">
            <v>2017/18</v>
          </cell>
        </row>
        <row r="718">
          <cell r="A718" t="str">
            <v>10 NELS-MARLB-TAS</v>
          </cell>
          <cell r="B718">
            <v>1</v>
          </cell>
          <cell r="C718">
            <v>2023</v>
          </cell>
          <cell r="D718">
            <v>42</v>
          </cell>
          <cell r="E718">
            <v>121</v>
          </cell>
          <cell r="F718">
            <v>2.7426144341000001</v>
          </cell>
          <cell r="G718">
            <v>10.752784910999999</v>
          </cell>
          <cell r="H718">
            <v>1.0085271163</v>
          </cell>
          <cell r="I718" t="str">
            <v>Cyclist</v>
          </cell>
          <cell r="J718" t="str">
            <v>2022/23</v>
          </cell>
        </row>
        <row r="719">
          <cell r="A719" t="str">
            <v>10 NELS-MARLB-TAS</v>
          </cell>
          <cell r="B719">
            <v>1</v>
          </cell>
          <cell r="C719">
            <v>2028</v>
          </cell>
          <cell r="D719">
            <v>42</v>
          </cell>
          <cell r="E719">
            <v>121</v>
          </cell>
          <cell r="F719">
            <v>2.7425096603000001</v>
          </cell>
          <cell r="G719">
            <v>10.807355940000001</v>
          </cell>
          <cell r="H719">
            <v>1.0257056428</v>
          </cell>
          <cell r="I719" t="str">
            <v>Cyclist</v>
          </cell>
          <cell r="J719" t="str">
            <v>2027/28</v>
          </cell>
        </row>
        <row r="720">
          <cell r="A720" t="str">
            <v>10 NELS-MARLB-TAS</v>
          </cell>
          <cell r="B720">
            <v>1</v>
          </cell>
          <cell r="C720">
            <v>2033</v>
          </cell>
          <cell r="D720">
            <v>42</v>
          </cell>
          <cell r="E720">
            <v>121</v>
          </cell>
          <cell r="F720">
            <v>2.7261223426000001</v>
          </cell>
          <cell r="G720">
            <v>11.013018261999999</v>
          </cell>
          <cell r="H720">
            <v>1.0378578899999999</v>
          </cell>
          <cell r="I720" t="str">
            <v>Cyclist</v>
          </cell>
          <cell r="J720" t="str">
            <v>2032/33</v>
          </cell>
        </row>
        <row r="721">
          <cell r="A721" t="str">
            <v>10 NELS-MARLB-TAS</v>
          </cell>
          <cell r="B721">
            <v>1</v>
          </cell>
          <cell r="C721">
            <v>2038</v>
          </cell>
          <cell r="D721">
            <v>42</v>
          </cell>
          <cell r="E721">
            <v>121</v>
          </cell>
          <cell r="F721">
            <v>2.7029097755999998</v>
          </cell>
          <cell r="G721">
            <v>11.471214287</v>
          </cell>
          <cell r="H721">
            <v>1.0592459163000001</v>
          </cell>
          <cell r="I721" t="str">
            <v>Cyclist</v>
          </cell>
          <cell r="J721" t="str">
            <v>2037/38</v>
          </cell>
        </row>
        <row r="722">
          <cell r="A722" t="str">
            <v>10 NELS-MARLB-TAS</v>
          </cell>
          <cell r="B722">
            <v>1</v>
          </cell>
          <cell r="C722">
            <v>2043</v>
          </cell>
          <cell r="D722">
            <v>42</v>
          </cell>
          <cell r="E722">
            <v>121</v>
          </cell>
          <cell r="F722">
            <v>2.666393952</v>
          </cell>
          <cell r="G722">
            <v>11.945241836999999</v>
          </cell>
          <cell r="H722">
            <v>1.0812804993</v>
          </cell>
          <cell r="I722" t="str">
            <v>Cyclist</v>
          </cell>
          <cell r="J722" t="str">
            <v>2042/43</v>
          </cell>
        </row>
        <row r="723">
          <cell r="A723" t="str">
            <v>10 NELS-MARLB-TAS</v>
          </cell>
          <cell r="B723">
            <v>2</v>
          </cell>
          <cell r="C723">
            <v>2013</v>
          </cell>
          <cell r="D723">
            <v>480</v>
          </cell>
          <cell r="E723">
            <v>3377</v>
          </cell>
          <cell r="F723">
            <v>98.206986838999995</v>
          </cell>
          <cell r="G723">
            <v>1012.1329009999999</v>
          </cell>
          <cell r="H723">
            <v>23.635435057999999</v>
          </cell>
          <cell r="I723" t="str">
            <v>Light Vehicle Driver</v>
          </cell>
          <cell r="J723" t="str">
            <v>2012/13</v>
          </cell>
        </row>
        <row r="724">
          <cell r="A724" t="str">
            <v>10 NELS-MARLB-TAS</v>
          </cell>
          <cell r="B724">
            <v>2</v>
          </cell>
          <cell r="C724">
            <v>2018</v>
          </cell>
          <cell r="D724">
            <v>480</v>
          </cell>
          <cell r="E724">
            <v>3377</v>
          </cell>
          <cell r="F724">
            <v>93.320697823000003</v>
          </cell>
          <cell r="G724">
            <v>943.80929891999995</v>
          </cell>
          <cell r="H724">
            <v>22.286896652999999</v>
          </cell>
          <cell r="I724" t="str">
            <v>Light Vehicle Driver</v>
          </cell>
          <cell r="J724" t="str">
            <v>2017/18</v>
          </cell>
        </row>
        <row r="725">
          <cell r="A725" t="str">
            <v>10 NELS-MARLB-TAS</v>
          </cell>
          <cell r="B725">
            <v>2</v>
          </cell>
          <cell r="C725">
            <v>2023</v>
          </cell>
          <cell r="D725">
            <v>480</v>
          </cell>
          <cell r="E725">
            <v>3377</v>
          </cell>
          <cell r="F725">
            <v>95.633854182999997</v>
          </cell>
          <cell r="G725">
            <v>949.45673813999997</v>
          </cell>
          <cell r="H725">
            <v>22.645788286999998</v>
          </cell>
          <cell r="I725" t="str">
            <v>Light Vehicle Driver</v>
          </cell>
          <cell r="J725" t="str">
            <v>2022/23</v>
          </cell>
        </row>
        <row r="726">
          <cell r="A726" t="str">
            <v>10 NELS-MARLB-TAS</v>
          </cell>
          <cell r="B726">
            <v>2</v>
          </cell>
          <cell r="C726">
            <v>2028</v>
          </cell>
          <cell r="D726">
            <v>480</v>
          </cell>
          <cell r="E726">
            <v>3377</v>
          </cell>
          <cell r="F726">
            <v>94.062710768000002</v>
          </cell>
          <cell r="G726">
            <v>912.24795867</v>
          </cell>
          <cell r="H726">
            <v>22.039748232000001</v>
          </cell>
          <cell r="I726" t="str">
            <v>Light Vehicle Driver</v>
          </cell>
          <cell r="J726" t="str">
            <v>2027/28</v>
          </cell>
        </row>
        <row r="727">
          <cell r="A727" t="str">
            <v>10 NELS-MARLB-TAS</v>
          </cell>
          <cell r="B727">
            <v>2</v>
          </cell>
          <cell r="C727">
            <v>2033</v>
          </cell>
          <cell r="D727">
            <v>480</v>
          </cell>
          <cell r="E727">
            <v>3377</v>
          </cell>
          <cell r="F727">
            <v>92.206593419000001</v>
          </cell>
          <cell r="G727">
            <v>875.24259414999995</v>
          </cell>
          <cell r="H727">
            <v>21.365038666</v>
          </cell>
          <cell r="I727" t="str">
            <v>Light Vehicle Driver</v>
          </cell>
          <cell r="J727" t="str">
            <v>2032/33</v>
          </cell>
        </row>
        <row r="728">
          <cell r="A728" t="str">
            <v>10 NELS-MARLB-TAS</v>
          </cell>
          <cell r="B728">
            <v>2</v>
          </cell>
          <cell r="C728">
            <v>2038</v>
          </cell>
          <cell r="D728">
            <v>480</v>
          </cell>
          <cell r="E728">
            <v>3377</v>
          </cell>
          <cell r="F728">
            <v>89.624540358999994</v>
          </cell>
          <cell r="G728">
            <v>836.67487157999994</v>
          </cell>
          <cell r="H728">
            <v>20.594835529000001</v>
          </cell>
          <cell r="I728" t="str">
            <v>Light Vehicle Driver</v>
          </cell>
          <cell r="J728" t="str">
            <v>2037/38</v>
          </cell>
        </row>
        <row r="729">
          <cell r="A729" t="str">
            <v>10 NELS-MARLB-TAS</v>
          </cell>
          <cell r="B729">
            <v>2</v>
          </cell>
          <cell r="C729">
            <v>2043</v>
          </cell>
          <cell r="D729">
            <v>480</v>
          </cell>
          <cell r="E729">
            <v>3377</v>
          </cell>
          <cell r="F729">
            <v>86.901663595000002</v>
          </cell>
          <cell r="G729">
            <v>799.67904281000006</v>
          </cell>
          <cell r="H729">
            <v>19.826039128000001</v>
          </cell>
          <cell r="I729" t="str">
            <v>Light Vehicle Driver</v>
          </cell>
          <cell r="J729" t="str">
            <v>2042/43</v>
          </cell>
        </row>
        <row r="730">
          <cell r="A730" t="str">
            <v>10 NELS-MARLB-TAS</v>
          </cell>
          <cell r="B730">
            <v>3</v>
          </cell>
          <cell r="C730">
            <v>2013</v>
          </cell>
          <cell r="D730">
            <v>346</v>
          </cell>
          <cell r="E730">
            <v>1569</v>
          </cell>
          <cell r="F730">
            <v>45.895773310999999</v>
          </cell>
          <cell r="G730">
            <v>528.66856442999995</v>
          </cell>
          <cell r="H730">
            <v>11.910351560000001</v>
          </cell>
          <cell r="I730" t="str">
            <v>Light Vehicle Passenger</v>
          </cell>
          <cell r="J730" t="str">
            <v>2012/13</v>
          </cell>
        </row>
        <row r="731">
          <cell r="A731" t="str">
            <v>10 NELS-MARLB-TAS</v>
          </cell>
          <cell r="B731">
            <v>3</v>
          </cell>
          <cell r="C731">
            <v>2018</v>
          </cell>
          <cell r="D731">
            <v>346</v>
          </cell>
          <cell r="E731">
            <v>1569</v>
          </cell>
          <cell r="F731">
            <v>41.644491457000001</v>
          </cell>
          <cell r="G731">
            <v>475.78726986999999</v>
          </cell>
          <cell r="H731">
            <v>10.841325085999999</v>
          </cell>
          <cell r="I731" t="str">
            <v>Light Vehicle Passenger</v>
          </cell>
          <cell r="J731" t="str">
            <v>2017/18</v>
          </cell>
        </row>
        <row r="732">
          <cell r="A732" t="str">
            <v>10 NELS-MARLB-TAS</v>
          </cell>
          <cell r="B732">
            <v>3</v>
          </cell>
          <cell r="C732">
            <v>2023</v>
          </cell>
          <cell r="D732">
            <v>346</v>
          </cell>
          <cell r="E732">
            <v>1569</v>
          </cell>
          <cell r="F732">
            <v>41.787611198999997</v>
          </cell>
          <cell r="G732">
            <v>473.89340876</v>
          </cell>
          <cell r="H732">
            <v>10.923793422999999</v>
          </cell>
          <cell r="I732" t="str">
            <v>Light Vehicle Passenger</v>
          </cell>
          <cell r="J732" t="str">
            <v>2022/23</v>
          </cell>
        </row>
        <row r="733">
          <cell r="A733" t="str">
            <v>10 NELS-MARLB-TAS</v>
          </cell>
          <cell r="B733">
            <v>3</v>
          </cell>
          <cell r="C733">
            <v>2028</v>
          </cell>
          <cell r="D733">
            <v>346</v>
          </cell>
          <cell r="E733">
            <v>1569</v>
          </cell>
          <cell r="F733">
            <v>40.415946781999999</v>
          </cell>
          <cell r="G733">
            <v>454.58810500999999</v>
          </cell>
          <cell r="H733">
            <v>10.586754925999999</v>
          </cell>
          <cell r="I733" t="str">
            <v>Light Vehicle Passenger</v>
          </cell>
          <cell r="J733" t="str">
            <v>2027/28</v>
          </cell>
        </row>
        <row r="734">
          <cell r="A734" t="str">
            <v>10 NELS-MARLB-TAS</v>
          </cell>
          <cell r="B734">
            <v>3</v>
          </cell>
          <cell r="C734">
            <v>2033</v>
          </cell>
          <cell r="D734">
            <v>346</v>
          </cell>
          <cell r="E734">
            <v>1569</v>
          </cell>
          <cell r="F734">
            <v>38.568007258000002</v>
          </cell>
          <cell r="G734">
            <v>432.07649416999999</v>
          </cell>
          <cell r="H734">
            <v>10.117222745999999</v>
          </cell>
          <cell r="I734" t="str">
            <v>Light Vehicle Passenger</v>
          </cell>
          <cell r="J734" t="str">
            <v>2032/33</v>
          </cell>
        </row>
        <row r="735">
          <cell r="A735" t="str">
            <v>10 NELS-MARLB-TAS</v>
          </cell>
          <cell r="B735">
            <v>3</v>
          </cell>
          <cell r="C735">
            <v>2038</v>
          </cell>
          <cell r="D735">
            <v>346</v>
          </cell>
          <cell r="E735">
            <v>1569</v>
          </cell>
          <cell r="F735">
            <v>36.804235571</v>
          </cell>
          <cell r="G735">
            <v>407.39648176999998</v>
          </cell>
          <cell r="H735">
            <v>9.6126044049000008</v>
          </cell>
          <cell r="I735" t="str">
            <v>Light Vehicle Passenger</v>
          </cell>
          <cell r="J735" t="str">
            <v>2037/38</v>
          </cell>
        </row>
        <row r="736">
          <cell r="A736" t="str">
            <v>10 NELS-MARLB-TAS</v>
          </cell>
          <cell r="B736">
            <v>3</v>
          </cell>
          <cell r="C736">
            <v>2043</v>
          </cell>
          <cell r="D736">
            <v>346</v>
          </cell>
          <cell r="E736">
            <v>1569</v>
          </cell>
          <cell r="F736">
            <v>35.133734687999997</v>
          </cell>
          <cell r="G736">
            <v>384.21931129000001</v>
          </cell>
          <cell r="H736">
            <v>9.1333959613999998</v>
          </cell>
          <cell r="I736" t="str">
            <v>Light Vehicle Passenger</v>
          </cell>
          <cell r="J736" t="str">
            <v>2042/43</v>
          </cell>
        </row>
        <row r="737">
          <cell r="A737" t="str">
            <v>10 NELS-MARLB-TAS</v>
          </cell>
          <cell r="B737">
            <v>4</v>
          </cell>
          <cell r="C737">
            <v>2013</v>
          </cell>
          <cell r="D737">
            <v>9</v>
          </cell>
          <cell r="E737">
            <v>16</v>
          </cell>
          <cell r="F737">
            <v>0.40359339709999997</v>
          </cell>
          <cell r="G737">
            <v>2.5483198348</v>
          </cell>
          <cell r="H737">
            <v>8.1526233300000001E-2</v>
          </cell>
          <cell r="J737" t="str">
            <v>2012/13</v>
          </cell>
        </row>
        <row r="738">
          <cell r="A738" t="str">
            <v>10 NELS-MARLB-TAS</v>
          </cell>
          <cell r="B738">
            <v>4</v>
          </cell>
          <cell r="C738">
            <v>2018</v>
          </cell>
          <cell r="D738">
            <v>9</v>
          </cell>
          <cell r="E738">
            <v>16</v>
          </cell>
          <cell r="F738">
            <v>0.47115126349999997</v>
          </cell>
          <cell r="G738">
            <v>2.8244837266</v>
          </cell>
          <cell r="H738">
            <v>9.2978975199999994E-2</v>
          </cell>
          <cell r="J738" t="str">
            <v>2017/18</v>
          </cell>
        </row>
        <row r="739">
          <cell r="A739" t="str">
            <v>10 NELS-MARLB-TAS</v>
          </cell>
          <cell r="B739">
            <v>4</v>
          </cell>
          <cell r="C739">
            <v>2023</v>
          </cell>
          <cell r="D739">
            <v>9</v>
          </cell>
          <cell r="E739">
            <v>16</v>
          </cell>
          <cell r="F739">
            <v>0.57761952920000004</v>
          </cell>
          <cell r="G739">
            <v>3.2189384516000001</v>
          </cell>
          <cell r="H739">
            <v>0.1113442169</v>
          </cell>
          <cell r="J739" t="str">
            <v>2022/23</v>
          </cell>
        </row>
        <row r="740">
          <cell r="A740" t="str">
            <v>10 NELS-MARLB-TAS</v>
          </cell>
          <cell r="B740">
            <v>4</v>
          </cell>
          <cell r="C740">
            <v>2028</v>
          </cell>
          <cell r="D740">
            <v>9</v>
          </cell>
          <cell r="E740">
            <v>16</v>
          </cell>
          <cell r="F740">
            <v>0.61547591440000005</v>
          </cell>
          <cell r="G740">
            <v>3.3239040451999999</v>
          </cell>
          <cell r="H740">
            <v>0.11730906319999999</v>
          </cell>
          <cell r="J740" t="str">
            <v>2027/28</v>
          </cell>
        </row>
        <row r="741">
          <cell r="A741" t="str">
            <v>10 NELS-MARLB-TAS</v>
          </cell>
          <cell r="B741">
            <v>4</v>
          </cell>
          <cell r="C741">
            <v>2033</v>
          </cell>
          <cell r="D741">
            <v>9</v>
          </cell>
          <cell r="E741">
            <v>16</v>
          </cell>
          <cell r="F741">
            <v>0.62545510530000004</v>
          </cell>
          <cell r="G741">
            <v>3.3646077651000001</v>
          </cell>
          <cell r="H741">
            <v>0.11877275850000001</v>
          </cell>
          <cell r="J741" t="str">
            <v>2032/33</v>
          </cell>
        </row>
        <row r="742">
          <cell r="A742" t="str">
            <v>10 NELS-MARLB-TAS</v>
          </cell>
          <cell r="B742">
            <v>4</v>
          </cell>
          <cell r="C742">
            <v>2038</v>
          </cell>
          <cell r="D742">
            <v>9</v>
          </cell>
          <cell r="E742">
            <v>16</v>
          </cell>
          <cell r="F742">
            <v>0.61200286410000004</v>
          </cell>
          <cell r="G742">
            <v>3.2892556308000001</v>
          </cell>
          <cell r="H742">
            <v>0.1156089824</v>
          </cell>
          <cell r="J742" t="str">
            <v>2037/38</v>
          </cell>
        </row>
        <row r="743">
          <cell r="A743" t="str">
            <v>10 NELS-MARLB-TAS</v>
          </cell>
          <cell r="B743">
            <v>4</v>
          </cell>
          <cell r="C743">
            <v>2043</v>
          </cell>
          <cell r="D743">
            <v>9</v>
          </cell>
          <cell r="E743">
            <v>16</v>
          </cell>
          <cell r="F743">
            <v>0.59563472610000001</v>
          </cell>
          <cell r="G743">
            <v>3.2015085033999999</v>
          </cell>
          <cell r="H743">
            <v>0.11197131</v>
          </cell>
          <cell r="J743" t="str">
            <v>2042/43</v>
          </cell>
        </row>
        <row r="744">
          <cell r="A744" t="str">
            <v>10 NELS-MARLB-TAS</v>
          </cell>
          <cell r="B744">
            <v>5</v>
          </cell>
          <cell r="C744">
            <v>2013</v>
          </cell>
          <cell r="D744">
            <v>14</v>
          </cell>
          <cell r="E744">
            <v>52</v>
          </cell>
          <cell r="F744">
            <v>1.5095151791999999</v>
          </cell>
          <cell r="G744">
            <v>34.127286998000002</v>
          </cell>
          <cell r="H744">
            <v>0.60769230029999999</v>
          </cell>
          <cell r="I744" t="str">
            <v>Motorcyclist</v>
          </cell>
          <cell r="J744" t="str">
            <v>2012/13</v>
          </cell>
        </row>
        <row r="745">
          <cell r="A745" t="str">
            <v>10 NELS-MARLB-TAS</v>
          </cell>
          <cell r="B745">
            <v>5</v>
          </cell>
          <cell r="C745">
            <v>2018</v>
          </cell>
          <cell r="D745">
            <v>14</v>
          </cell>
          <cell r="E745">
            <v>52</v>
          </cell>
          <cell r="F745">
            <v>1.3979742711000001</v>
          </cell>
          <cell r="G745">
            <v>32.176324786000002</v>
          </cell>
          <cell r="H745">
            <v>0.56662278830000001</v>
          </cell>
          <cell r="I745" t="str">
            <v>Motorcyclist</v>
          </cell>
          <cell r="J745" t="str">
            <v>2017/18</v>
          </cell>
        </row>
        <row r="746">
          <cell r="A746" t="str">
            <v>10 NELS-MARLB-TAS</v>
          </cell>
          <cell r="B746">
            <v>5</v>
          </cell>
          <cell r="C746">
            <v>2023</v>
          </cell>
          <cell r="D746">
            <v>14</v>
          </cell>
          <cell r="E746">
            <v>52</v>
          </cell>
          <cell r="F746">
            <v>1.4347554176999999</v>
          </cell>
          <cell r="G746">
            <v>33.241356592000002</v>
          </cell>
          <cell r="H746">
            <v>0.58082024659999998</v>
          </cell>
          <cell r="I746" t="str">
            <v>Motorcyclist</v>
          </cell>
          <cell r="J746" t="str">
            <v>2022/23</v>
          </cell>
        </row>
        <row r="747">
          <cell r="A747" t="str">
            <v>10 NELS-MARLB-TAS</v>
          </cell>
          <cell r="B747">
            <v>5</v>
          </cell>
          <cell r="C747">
            <v>2028</v>
          </cell>
          <cell r="D747">
            <v>14</v>
          </cell>
          <cell r="E747">
            <v>52</v>
          </cell>
          <cell r="F747">
            <v>1.3911351139000001</v>
          </cell>
          <cell r="G747">
            <v>31.864533204000001</v>
          </cell>
          <cell r="H747">
            <v>0.55455774609999997</v>
          </cell>
          <cell r="I747" t="str">
            <v>Motorcyclist</v>
          </cell>
          <cell r="J747" t="str">
            <v>2027/28</v>
          </cell>
        </row>
        <row r="748">
          <cell r="A748" t="str">
            <v>10 NELS-MARLB-TAS</v>
          </cell>
          <cell r="B748">
            <v>5</v>
          </cell>
          <cell r="C748">
            <v>2033</v>
          </cell>
          <cell r="D748">
            <v>14</v>
          </cell>
          <cell r="E748">
            <v>52</v>
          </cell>
          <cell r="F748">
            <v>1.3238666671999999</v>
          </cell>
          <cell r="G748">
            <v>30.609254987</v>
          </cell>
          <cell r="H748">
            <v>0.53067045079999997</v>
          </cell>
          <cell r="I748" t="str">
            <v>Motorcyclist</v>
          </cell>
          <cell r="J748" t="str">
            <v>2032/33</v>
          </cell>
        </row>
        <row r="749">
          <cell r="A749" t="str">
            <v>10 NELS-MARLB-TAS</v>
          </cell>
          <cell r="B749">
            <v>5</v>
          </cell>
          <cell r="C749">
            <v>2038</v>
          </cell>
          <cell r="D749">
            <v>14</v>
          </cell>
          <cell r="E749">
            <v>52</v>
          </cell>
          <cell r="F749">
            <v>1.2245108917</v>
          </cell>
          <cell r="G749">
            <v>28.986591275999999</v>
          </cell>
          <cell r="H749">
            <v>0.50136485119999996</v>
          </cell>
          <cell r="I749" t="str">
            <v>Motorcyclist</v>
          </cell>
          <cell r="J749" t="str">
            <v>2037/38</v>
          </cell>
        </row>
        <row r="750">
          <cell r="A750" t="str">
            <v>10 NELS-MARLB-TAS</v>
          </cell>
          <cell r="B750">
            <v>5</v>
          </cell>
          <cell r="C750">
            <v>2043</v>
          </cell>
          <cell r="D750">
            <v>14</v>
          </cell>
          <cell r="E750">
            <v>52</v>
          </cell>
          <cell r="F750">
            <v>1.1265865559999999</v>
          </cell>
          <cell r="G750">
            <v>27.207559411999998</v>
          </cell>
          <cell r="H750">
            <v>0.46994513230000001</v>
          </cell>
          <cell r="I750" t="str">
            <v>Motorcyclist</v>
          </cell>
          <cell r="J750" t="str">
            <v>2042/43</v>
          </cell>
        </row>
        <row r="751">
          <cell r="A751" t="str">
            <v>10 NELS-MARLB-TAS</v>
          </cell>
          <cell r="B751">
            <v>6</v>
          </cell>
          <cell r="C751">
            <v>2013</v>
          </cell>
          <cell r="D751">
            <v>1</v>
          </cell>
          <cell r="E751">
            <v>4</v>
          </cell>
          <cell r="F751">
            <v>0.1284956481</v>
          </cell>
          <cell r="G751">
            <v>5.3733082988999996</v>
          </cell>
          <cell r="H751">
            <v>9.9048728700000005E-2</v>
          </cell>
          <cell r="I751" t="str">
            <v>Local Train</v>
          </cell>
          <cell r="J751" t="str">
            <v>2012/13</v>
          </cell>
        </row>
        <row r="752">
          <cell r="A752" t="str">
            <v>10 NELS-MARLB-TAS</v>
          </cell>
          <cell r="B752">
            <v>6</v>
          </cell>
          <cell r="C752">
            <v>2018</v>
          </cell>
          <cell r="D752">
            <v>1</v>
          </cell>
          <cell r="E752">
            <v>4</v>
          </cell>
          <cell r="F752">
            <v>0.1023821186</v>
          </cell>
          <cell r="G752">
            <v>4.2898341945</v>
          </cell>
          <cell r="H752">
            <v>7.9077060699999993E-2</v>
          </cell>
          <cell r="I752" t="str">
            <v>Local Train</v>
          </cell>
          <cell r="J752" t="str">
            <v>2017/18</v>
          </cell>
        </row>
        <row r="753">
          <cell r="A753" t="str">
            <v>10 NELS-MARLB-TAS</v>
          </cell>
          <cell r="B753">
            <v>6</v>
          </cell>
          <cell r="C753">
            <v>2023</v>
          </cell>
          <cell r="D753">
            <v>1</v>
          </cell>
          <cell r="E753">
            <v>4</v>
          </cell>
          <cell r="F753">
            <v>8.0518164899999994E-2</v>
          </cell>
          <cell r="G753">
            <v>3.3816391121999998</v>
          </cell>
          <cell r="H753">
            <v>6.23362451E-2</v>
          </cell>
          <cell r="I753" t="str">
            <v>Local Train</v>
          </cell>
          <cell r="J753" t="str">
            <v>2022/23</v>
          </cell>
        </row>
        <row r="754">
          <cell r="A754" t="str">
            <v>10 NELS-MARLB-TAS</v>
          </cell>
          <cell r="B754">
            <v>6</v>
          </cell>
          <cell r="C754">
            <v>2028</v>
          </cell>
          <cell r="D754">
            <v>1</v>
          </cell>
          <cell r="E754">
            <v>4</v>
          </cell>
          <cell r="F754">
            <v>5.0888176200000003E-2</v>
          </cell>
          <cell r="G754">
            <v>2.1419365492</v>
          </cell>
          <cell r="H754">
            <v>3.9484181799999997E-2</v>
          </cell>
          <cell r="I754" t="str">
            <v>Local Train</v>
          </cell>
          <cell r="J754" t="str">
            <v>2027/28</v>
          </cell>
        </row>
        <row r="755">
          <cell r="A755" t="str">
            <v>10 NELS-MARLB-TAS</v>
          </cell>
          <cell r="B755">
            <v>6</v>
          </cell>
          <cell r="C755">
            <v>2033</v>
          </cell>
          <cell r="D755">
            <v>1</v>
          </cell>
          <cell r="E755">
            <v>4</v>
          </cell>
          <cell r="F755">
            <v>3.3986224600000003E-2</v>
          </cell>
          <cell r="G755">
            <v>1.4338370993</v>
          </cell>
          <cell r="H755">
            <v>2.6431370100000001E-2</v>
          </cell>
          <cell r="I755" t="str">
            <v>Local Train</v>
          </cell>
          <cell r="J755" t="str">
            <v>2032/33</v>
          </cell>
        </row>
        <row r="756">
          <cell r="A756" t="str">
            <v>10 NELS-MARLB-TAS</v>
          </cell>
          <cell r="B756">
            <v>6</v>
          </cell>
          <cell r="C756">
            <v>2038</v>
          </cell>
          <cell r="D756">
            <v>1</v>
          </cell>
          <cell r="E756">
            <v>4</v>
          </cell>
          <cell r="F756">
            <v>2.3697154000000002E-2</v>
          </cell>
          <cell r="G756">
            <v>1.0024765881</v>
          </cell>
          <cell r="H756">
            <v>1.84798306E-2</v>
          </cell>
          <cell r="I756" t="str">
            <v>Local Train</v>
          </cell>
          <cell r="J756" t="str">
            <v>2037/38</v>
          </cell>
        </row>
        <row r="757">
          <cell r="A757" t="str">
            <v>10 NELS-MARLB-TAS</v>
          </cell>
          <cell r="B757">
            <v>6</v>
          </cell>
          <cell r="C757">
            <v>2043</v>
          </cell>
          <cell r="D757">
            <v>1</v>
          </cell>
          <cell r="E757">
            <v>4</v>
          </cell>
          <cell r="F757">
            <v>1.4741732E-2</v>
          </cell>
          <cell r="G757">
            <v>0.62524696800000001</v>
          </cell>
          <cell r="H757">
            <v>1.1526011100000001E-2</v>
          </cell>
          <cell r="I757" t="str">
            <v>Local Train</v>
          </cell>
          <cell r="J757" t="str">
            <v>2042/43</v>
          </cell>
        </row>
        <row r="758">
          <cell r="A758" t="str">
            <v>10 NELS-MARLB-TAS</v>
          </cell>
          <cell r="B758">
            <v>7</v>
          </cell>
          <cell r="C758">
            <v>2013</v>
          </cell>
          <cell r="D758">
            <v>38</v>
          </cell>
          <cell r="E758">
            <v>79</v>
          </cell>
          <cell r="F758">
            <v>2.0764681202999999</v>
          </cell>
          <cell r="G758">
            <v>19.807462209000001</v>
          </cell>
          <cell r="H758">
            <v>0.94491203199999996</v>
          </cell>
          <cell r="I758" t="str">
            <v>Local Bus</v>
          </cell>
          <cell r="J758" t="str">
            <v>2012/13</v>
          </cell>
        </row>
        <row r="759">
          <cell r="A759" t="str">
            <v>10 NELS-MARLB-TAS</v>
          </cell>
          <cell r="B759">
            <v>7</v>
          </cell>
          <cell r="C759">
            <v>2018</v>
          </cell>
          <cell r="D759">
            <v>38</v>
          </cell>
          <cell r="E759">
            <v>79</v>
          </cell>
          <cell r="F759">
            <v>1.8124198828</v>
          </cell>
          <cell r="G759">
            <v>16.577105019000001</v>
          </cell>
          <cell r="H759">
            <v>0.7915301776</v>
          </cell>
          <cell r="I759" t="str">
            <v>Local Bus</v>
          </cell>
          <cell r="J759" t="str">
            <v>2017/18</v>
          </cell>
        </row>
        <row r="760">
          <cell r="A760" t="str">
            <v>10 NELS-MARLB-TAS</v>
          </cell>
          <cell r="B760">
            <v>7</v>
          </cell>
          <cell r="C760">
            <v>2023</v>
          </cell>
          <cell r="D760">
            <v>38</v>
          </cell>
          <cell r="E760">
            <v>79</v>
          </cell>
          <cell r="F760">
            <v>1.7870786502</v>
          </cell>
          <cell r="G760">
            <v>15.5289862</v>
          </cell>
          <cell r="H760">
            <v>0.7435128782</v>
          </cell>
          <cell r="I760" t="str">
            <v>Local Bus</v>
          </cell>
          <cell r="J760" t="str">
            <v>2022/23</v>
          </cell>
        </row>
        <row r="761">
          <cell r="A761" t="str">
            <v>10 NELS-MARLB-TAS</v>
          </cell>
          <cell r="B761">
            <v>7</v>
          </cell>
          <cell r="C761">
            <v>2028</v>
          </cell>
          <cell r="D761">
            <v>38</v>
          </cell>
          <cell r="E761">
            <v>79</v>
          </cell>
          <cell r="F761">
            <v>1.7873166658999999</v>
          </cell>
          <cell r="G761">
            <v>14.856912842</v>
          </cell>
          <cell r="H761">
            <v>0.7158157678</v>
          </cell>
          <cell r="I761" t="str">
            <v>Local Bus</v>
          </cell>
          <cell r="J761" t="str">
            <v>2027/28</v>
          </cell>
        </row>
        <row r="762">
          <cell r="A762" t="str">
            <v>10 NELS-MARLB-TAS</v>
          </cell>
          <cell r="B762">
            <v>7</v>
          </cell>
          <cell r="C762">
            <v>2033</v>
          </cell>
          <cell r="D762">
            <v>38</v>
          </cell>
          <cell r="E762">
            <v>79</v>
          </cell>
          <cell r="F762">
            <v>1.7194626749999999</v>
          </cell>
          <cell r="G762">
            <v>13.906854659</v>
          </cell>
          <cell r="H762">
            <v>0.67445609090000003</v>
          </cell>
          <cell r="I762" t="str">
            <v>Local Bus</v>
          </cell>
          <cell r="J762" t="str">
            <v>2032/33</v>
          </cell>
        </row>
        <row r="763">
          <cell r="A763" t="str">
            <v>10 NELS-MARLB-TAS</v>
          </cell>
          <cell r="B763">
            <v>7</v>
          </cell>
          <cell r="C763">
            <v>2038</v>
          </cell>
          <cell r="D763">
            <v>38</v>
          </cell>
          <cell r="E763">
            <v>79</v>
          </cell>
          <cell r="F763">
            <v>1.7755771412000001</v>
          </cell>
          <cell r="G763">
            <v>13.988798430999999</v>
          </cell>
          <cell r="H763">
            <v>0.67968248099999995</v>
          </cell>
          <cell r="I763" t="str">
            <v>Local Bus</v>
          </cell>
          <cell r="J763" t="str">
            <v>2037/38</v>
          </cell>
        </row>
        <row r="764">
          <cell r="A764" t="str">
            <v>10 NELS-MARLB-TAS</v>
          </cell>
          <cell r="B764">
            <v>7</v>
          </cell>
          <cell r="C764">
            <v>2043</v>
          </cell>
          <cell r="D764">
            <v>38</v>
          </cell>
          <cell r="E764">
            <v>79</v>
          </cell>
          <cell r="F764">
            <v>1.8324453614</v>
          </cell>
          <cell r="G764">
            <v>14.156934825</v>
          </cell>
          <cell r="H764">
            <v>0.68899622540000005</v>
          </cell>
          <cell r="I764" t="str">
            <v>Local Bus</v>
          </cell>
          <cell r="J764" t="str">
            <v>2042/43</v>
          </cell>
        </row>
        <row r="765">
          <cell r="A765" t="str">
            <v>10 NELS-MARLB-TAS</v>
          </cell>
          <cell r="B765">
            <v>9</v>
          </cell>
          <cell r="C765">
            <v>2013</v>
          </cell>
          <cell r="D765">
            <v>24</v>
          </cell>
          <cell r="E765">
            <v>56</v>
          </cell>
          <cell r="F765">
            <v>1.495105957</v>
          </cell>
          <cell r="G765">
            <v>0</v>
          </cell>
          <cell r="H765">
            <v>0.51346004550000002</v>
          </cell>
          <cell r="I765" t="str">
            <v>Other Household Travel</v>
          </cell>
          <cell r="J765" t="str">
            <v>2012/13</v>
          </cell>
        </row>
        <row r="766">
          <cell r="A766" t="str">
            <v>10 NELS-MARLB-TAS</v>
          </cell>
          <cell r="B766">
            <v>9</v>
          </cell>
          <cell r="C766">
            <v>2018</v>
          </cell>
          <cell r="D766">
            <v>24</v>
          </cell>
          <cell r="E766">
            <v>56</v>
          </cell>
          <cell r="F766">
            <v>1.3950265872000001</v>
          </cell>
          <cell r="G766">
            <v>0</v>
          </cell>
          <cell r="H766">
            <v>0.475105318</v>
          </cell>
          <cell r="I766" t="str">
            <v>Other Household Travel</v>
          </cell>
          <cell r="J766" t="str">
            <v>2017/18</v>
          </cell>
        </row>
        <row r="767">
          <cell r="A767" t="str">
            <v>10 NELS-MARLB-TAS</v>
          </cell>
          <cell r="B767">
            <v>9</v>
          </cell>
          <cell r="C767">
            <v>2023</v>
          </cell>
          <cell r="D767">
            <v>24</v>
          </cell>
          <cell r="E767">
            <v>56</v>
          </cell>
          <cell r="F767">
            <v>1.4307022274000001</v>
          </cell>
          <cell r="G767">
            <v>0</v>
          </cell>
          <cell r="H767">
            <v>0.4873547131</v>
          </cell>
          <cell r="I767" t="str">
            <v>Other Household Travel</v>
          </cell>
          <cell r="J767" t="str">
            <v>2022/23</v>
          </cell>
        </row>
        <row r="768">
          <cell r="A768" t="str">
            <v>10 NELS-MARLB-TAS</v>
          </cell>
          <cell r="B768">
            <v>9</v>
          </cell>
          <cell r="C768">
            <v>2028</v>
          </cell>
          <cell r="D768">
            <v>24</v>
          </cell>
          <cell r="E768">
            <v>56</v>
          </cell>
          <cell r="F768">
            <v>1.4528997164999999</v>
          </cell>
          <cell r="G768">
            <v>0</v>
          </cell>
          <cell r="H768">
            <v>0.50049047140000003</v>
          </cell>
          <cell r="I768" t="str">
            <v>Other Household Travel</v>
          </cell>
          <cell r="J768" t="str">
            <v>2027/28</v>
          </cell>
        </row>
        <row r="769">
          <cell r="A769" t="str">
            <v>10 NELS-MARLB-TAS</v>
          </cell>
          <cell r="B769">
            <v>9</v>
          </cell>
          <cell r="C769">
            <v>2033</v>
          </cell>
          <cell r="D769">
            <v>24</v>
          </cell>
          <cell r="E769">
            <v>56</v>
          </cell>
          <cell r="F769">
            <v>1.4507889064999999</v>
          </cell>
          <cell r="G769">
            <v>0</v>
          </cell>
          <cell r="H769">
            <v>0.50239144170000005</v>
          </cell>
          <cell r="I769" t="str">
            <v>Other Household Travel</v>
          </cell>
          <cell r="J769" t="str">
            <v>2032/33</v>
          </cell>
        </row>
        <row r="770">
          <cell r="A770" t="str">
            <v>10 NELS-MARLB-TAS</v>
          </cell>
          <cell r="B770">
            <v>9</v>
          </cell>
          <cell r="C770">
            <v>2038</v>
          </cell>
          <cell r="D770">
            <v>24</v>
          </cell>
          <cell r="E770">
            <v>56</v>
          </cell>
          <cell r="F770">
            <v>1.4760550403999999</v>
          </cell>
          <cell r="G770">
            <v>0</v>
          </cell>
          <cell r="H770">
            <v>0.51558045269999997</v>
          </cell>
          <cell r="I770" t="str">
            <v>Other Household Travel</v>
          </cell>
          <cell r="J770" t="str">
            <v>2037/38</v>
          </cell>
        </row>
        <row r="771">
          <cell r="A771" t="str">
            <v>10 NELS-MARLB-TAS</v>
          </cell>
          <cell r="B771">
            <v>9</v>
          </cell>
          <cell r="C771">
            <v>2043</v>
          </cell>
          <cell r="D771">
            <v>24</v>
          </cell>
          <cell r="E771">
            <v>56</v>
          </cell>
          <cell r="F771">
            <v>1.4904348486000001</v>
          </cell>
          <cell r="G771">
            <v>0</v>
          </cell>
          <cell r="H771">
            <v>0.52510807520000002</v>
          </cell>
          <cell r="I771" t="str">
            <v>Other Household Travel</v>
          </cell>
          <cell r="J771" t="str">
            <v>2042/43</v>
          </cell>
        </row>
        <row r="772">
          <cell r="A772" t="str">
            <v>10 NELS-MARLB-TAS</v>
          </cell>
          <cell r="B772">
            <v>10</v>
          </cell>
          <cell r="C772">
            <v>2013</v>
          </cell>
          <cell r="D772">
            <v>11</v>
          </cell>
          <cell r="E772">
            <v>13</v>
          </cell>
          <cell r="F772">
            <v>0.38277994659999998</v>
          </cell>
          <cell r="G772">
            <v>0</v>
          </cell>
          <cell r="H772">
            <v>0.45211944030000001</v>
          </cell>
          <cell r="I772" t="str">
            <v>Air/Non-Local PT</v>
          </cell>
          <cell r="J772" t="str">
            <v>2012/13</v>
          </cell>
        </row>
        <row r="773">
          <cell r="A773" t="str">
            <v>10 NELS-MARLB-TAS</v>
          </cell>
          <cell r="B773">
            <v>10</v>
          </cell>
          <cell r="C773">
            <v>2018</v>
          </cell>
          <cell r="D773">
            <v>11</v>
          </cell>
          <cell r="E773">
            <v>13</v>
          </cell>
          <cell r="F773">
            <v>0.38268653460000002</v>
          </cell>
          <cell r="G773">
            <v>0</v>
          </cell>
          <cell r="H773">
            <v>0.43129033820000001</v>
          </cell>
          <cell r="I773" t="str">
            <v>Air/Non-Local PT</v>
          </cell>
          <cell r="J773" t="str">
            <v>2017/18</v>
          </cell>
        </row>
        <row r="774">
          <cell r="A774" t="str">
            <v>10 NELS-MARLB-TAS</v>
          </cell>
          <cell r="B774">
            <v>10</v>
          </cell>
          <cell r="C774">
            <v>2023</v>
          </cell>
          <cell r="D774">
            <v>11</v>
          </cell>
          <cell r="E774">
            <v>13</v>
          </cell>
          <cell r="F774">
            <v>0.3982708338</v>
          </cell>
          <cell r="G774">
            <v>0</v>
          </cell>
          <cell r="H774">
            <v>0.43984337530000001</v>
          </cell>
          <cell r="I774" t="str">
            <v>Air/Non-Local PT</v>
          </cell>
          <cell r="J774" t="str">
            <v>2022/23</v>
          </cell>
        </row>
        <row r="775">
          <cell r="A775" t="str">
            <v>10 NELS-MARLB-TAS</v>
          </cell>
          <cell r="B775">
            <v>10</v>
          </cell>
          <cell r="C775">
            <v>2028</v>
          </cell>
          <cell r="D775">
            <v>11</v>
          </cell>
          <cell r="E775">
            <v>13</v>
          </cell>
          <cell r="F775">
            <v>0.39793561109999998</v>
          </cell>
          <cell r="G775">
            <v>0</v>
          </cell>
          <cell r="H775">
            <v>0.41973899999999997</v>
          </cell>
          <cell r="I775" t="str">
            <v>Air/Non-Local PT</v>
          </cell>
          <cell r="J775" t="str">
            <v>2027/28</v>
          </cell>
        </row>
        <row r="776">
          <cell r="A776" t="str">
            <v>10 NELS-MARLB-TAS</v>
          </cell>
          <cell r="B776">
            <v>10</v>
          </cell>
          <cell r="C776">
            <v>2033</v>
          </cell>
          <cell r="D776">
            <v>11</v>
          </cell>
          <cell r="E776">
            <v>13</v>
          </cell>
          <cell r="F776">
            <v>0.39587967769999999</v>
          </cell>
          <cell r="G776">
            <v>0</v>
          </cell>
          <cell r="H776">
            <v>0.38750980629999998</v>
          </cell>
          <cell r="I776" t="str">
            <v>Air/Non-Local PT</v>
          </cell>
          <cell r="J776" t="str">
            <v>2032/33</v>
          </cell>
        </row>
        <row r="777">
          <cell r="A777" t="str">
            <v>10 NELS-MARLB-TAS</v>
          </cell>
          <cell r="B777">
            <v>10</v>
          </cell>
          <cell r="C777">
            <v>2038</v>
          </cell>
          <cell r="D777">
            <v>11</v>
          </cell>
          <cell r="E777">
            <v>13</v>
          </cell>
          <cell r="F777">
            <v>0.38820905979999998</v>
          </cell>
          <cell r="G777">
            <v>0</v>
          </cell>
          <cell r="H777">
            <v>0.34796765260000001</v>
          </cell>
          <cell r="I777" t="str">
            <v>Air/Non-Local PT</v>
          </cell>
          <cell r="J777" t="str">
            <v>2037/38</v>
          </cell>
        </row>
        <row r="778">
          <cell r="A778" t="str">
            <v>10 NELS-MARLB-TAS</v>
          </cell>
          <cell r="B778">
            <v>10</v>
          </cell>
          <cell r="C778">
            <v>2043</v>
          </cell>
          <cell r="D778">
            <v>11</v>
          </cell>
          <cell r="E778">
            <v>13</v>
          </cell>
          <cell r="F778">
            <v>0.38260695350000001</v>
          </cell>
          <cell r="G778">
            <v>0</v>
          </cell>
          <cell r="H778">
            <v>0.31834658599999999</v>
          </cell>
          <cell r="I778" t="str">
            <v>Air/Non-Local PT</v>
          </cell>
          <cell r="J778" t="str">
            <v>2042/43</v>
          </cell>
        </row>
        <row r="779">
          <cell r="A779" t="str">
            <v>10 NELS-MARLB-TAS</v>
          </cell>
          <cell r="B779">
            <v>11</v>
          </cell>
          <cell r="C779">
            <v>2013</v>
          </cell>
          <cell r="D779">
            <v>10</v>
          </cell>
          <cell r="E779">
            <v>59</v>
          </cell>
          <cell r="F779">
            <v>1.9294573958000001</v>
          </cell>
          <cell r="G779">
            <v>30.128221894999999</v>
          </cell>
          <cell r="H779">
            <v>0.79809006319999998</v>
          </cell>
          <cell r="I779" t="str">
            <v>Non-Household Travel</v>
          </cell>
          <cell r="J779" t="str">
            <v>2012/13</v>
          </cell>
        </row>
        <row r="780">
          <cell r="A780" t="str">
            <v>10 NELS-MARLB-TAS</v>
          </cell>
          <cell r="B780">
            <v>11</v>
          </cell>
          <cell r="C780">
            <v>2018</v>
          </cell>
          <cell r="D780">
            <v>10</v>
          </cell>
          <cell r="E780">
            <v>59</v>
          </cell>
          <cell r="F780">
            <v>1.6505363044000001</v>
          </cell>
          <cell r="G780">
            <v>28.079940483000001</v>
          </cell>
          <cell r="H780">
            <v>0.73627297550000004</v>
          </cell>
          <cell r="I780" t="str">
            <v>Non-Household Travel</v>
          </cell>
          <cell r="J780" t="str">
            <v>2017/18</v>
          </cell>
        </row>
        <row r="781">
          <cell r="A781" t="str">
            <v>10 NELS-MARLB-TAS</v>
          </cell>
          <cell r="B781">
            <v>11</v>
          </cell>
          <cell r="C781">
            <v>2023</v>
          </cell>
          <cell r="D781">
            <v>10</v>
          </cell>
          <cell r="E781">
            <v>59</v>
          </cell>
          <cell r="F781">
            <v>1.4908491895</v>
          </cell>
          <cell r="G781">
            <v>27.565964506</v>
          </cell>
          <cell r="H781">
            <v>0.70951396990000004</v>
          </cell>
          <cell r="I781" t="str">
            <v>Non-Household Travel</v>
          </cell>
          <cell r="J781" t="str">
            <v>2022/23</v>
          </cell>
        </row>
        <row r="782">
          <cell r="A782" t="str">
            <v>10 NELS-MARLB-TAS</v>
          </cell>
          <cell r="B782">
            <v>11</v>
          </cell>
          <cell r="C782">
            <v>2028</v>
          </cell>
          <cell r="D782">
            <v>10</v>
          </cell>
          <cell r="E782">
            <v>59</v>
          </cell>
          <cell r="F782">
            <v>1.3255785148999999</v>
          </cell>
          <cell r="G782">
            <v>24.172931373000001</v>
          </cell>
          <cell r="H782">
            <v>0.61876923819999996</v>
          </cell>
          <cell r="I782" t="str">
            <v>Non-Household Travel</v>
          </cell>
          <cell r="J782" t="str">
            <v>2027/28</v>
          </cell>
        </row>
        <row r="783">
          <cell r="A783" t="str">
            <v>10 NELS-MARLB-TAS</v>
          </cell>
          <cell r="B783">
            <v>11</v>
          </cell>
          <cell r="C783">
            <v>2033</v>
          </cell>
          <cell r="D783">
            <v>10</v>
          </cell>
          <cell r="E783">
            <v>59</v>
          </cell>
          <cell r="F783">
            <v>1.237700268</v>
          </cell>
          <cell r="G783">
            <v>20.638235582</v>
          </cell>
          <cell r="H783">
            <v>0.53339542380000005</v>
          </cell>
          <cell r="I783" t="str">
            <v>Non-Household Travel</v>
          </cell>
          <cell r="J783" t="str">
            <v>2032/33</v>
          </cell>
        </row>
        <row r="784">
          <cell r="A784" t="str">
            <v>10 NELS-MARLB-TAS</v>
          </cell>
          <cell r="B784">
            <v>11</v>
          </cell>
          <cell r="C784">
            <v>2038</v>
          </cell>
          <cell r="D784">
            <v>10</v>
          </cell>
          <cell r="E784">
            <v>59</v>
          </cell>
          <cell r="F784">
            <v>1.2341556532</v>
          </cell>
          <cell r="G784">
            <v>17.564837547</v>
          </cell>
          <cell r="H784">
            <v>0.46532981899999998</v>
          </cell>
          <cell r="I784" t="str">
            <v>Non-Household Travel</v>
          </cell>
          <cell r="J784" t="str">
            <v>2037/38</v>
          </cell>
        </row>
        <row r="785">
          <cell r="A785" t="str">
            <v>10 NELS-MARLB-TAS</v>
          </cell>
          <cell r="B785">
            <v>11</v>
          </cell>
          <cell r="C785">
            <v>2043</v>
          </cell>
          <cell r="D785">
            <v>10</v>
          </cell>
          <cell r="E785">
            <v>59</v>
          </cell>
          <cell r="F785">
            <v>1.2267171586000001</v>
          </cell>
          <cell r="G785">
            <v>14.998438902</v>
          </cell>
          <cell r="H785">
            <v>0.40721200670000002</v>
          </cell>
          <cell r="I785" t="str">
            <v>Non-Household Travel</v>
          </cell>
          <cell r="J785" t="str">
            <v>2042/43</v>
          </cell>
        </row>
        <row r="786">
          <cell r="A786" t="str">
            <v>12 WEST COAST</v>
          </cell>
          <cell r="B786">
            <v>0</v>
          </cell>
          <cell r="C786">
            <v>2013</v>
          </cell>
          <cell r="D786">
            <v>145</v>
          </cell>
          <cell r="E786">
            <v>451</v>
          </cell>
          <cell r="F786">
            <v>5.2699511529</v>
          </cell>
          <cell r="G786">
            <v>4.6474841125999999</v>
          </cell>
          <cell r="H786">
            <v>1.1518220776999999</v>
          </cell>
          <cell r="I786" t="str">
            <v>Pedestrian</v>
          </cell>
          <cell r="J786" t="str">
            <v>2012/13</v>
          </cell>
        </row>
        <row r="787">
          <cell r="A787" t="str">
            <v>12 WEST COAST</v>
          </cell>
          <cell r="B787">
            <v>0</v>
          </cell>
          <cell r="C787">
            <v>2018</v>
          </cell>
          <cell r="D787">
            <v>145</v>
          </cell>
          <cell r="E787">
            <v>451</v>
          </cell>
          <cell r="F787">
            <v>4.4539437897000003</v>
          </cell>
          <cell r="G787">
            <v>4.0149325678999999</v>
          </cell>
          <cell r="H787">
            <v>1.010258493</v>
          </cell>
          <cell r="I787" t="str">
            <v>Pedestrian</v>
          </cell>
          <cell r="J787" t="str">
            <v>2017/18</v>
          </cell>
        </row>
        <row r="788">
          <cell r="A788" t="str">
            <v>12 WEST COAST</v>
          </cell>
          <cell r="B788">
            <v>0</v>
          </cell>
          <cell r="C788">
            <v>2023</v>
          </cell>
          <cell r="D788">
            <v>145</v>
          </cell>
          <cell r="E788">
            <v>451</v>
          </cell>
          <cell r="F788">
            <v>3.9772473815999998</v>
          </cell>
          <cell r="G788">
            <v>3.6549651945999999</v>
          </cell>
          <cell r="H788">
            <v>0.94150144449999995</v>
          </cell>
          <cell r="I788" t="str">
            <v>Pedestrian</v>
          </cell>
          <cell r="J788" t="str">
            <v>2022/23</v>
          </cell>
        </row>
        <row r="789">
          <cell r="A789" t="str">
            <v>12 WEST COAST</v>
          </cell>
          <cell r="B789">
            <v>0</v>
          </cell>
          <cell r="C789">
            <v>2028</v>
          </cell>
          <cell r="D789">
            <v>145</v>
          </cell>
          <cell r="E789">
            <v>451</v>
          </cell>
          <cell r="F789">
            <v>3.4907341464999999</v>
          </cell>
          <cell r="G789">
            <v>3.3151889529999998</v>
          </cell>
          <cell r="H789">
            <v>0.86646035669999999</v>
          </cell>
          <cell r="I789" t="str">
            <v>Pedestrian</v>
          </cell>
          <cell r="J789" t="str">
            <v>2027/28</v>
          </cell>
        </row>
        <row r="790">
          <cell r="A790" t="str">
            <v>12 WEST COAST</v>
          </cell>
          <cell r="B790">
            <v>0</v>
          </cell>
          <cell r="C790">
            <v>2033</v>
          </cell>
          <cell r="D790">
            <v>145</v>
          </cell>
          <cell r="E790">
            <v>451</v>
          </cell>
          <cell r="F790">
            <v>3.0950688073000001</v>
          </cell>
          <cell r="G790">
            <v>3.0389517774999999</v>
          </cell>
          <cell r="H790">
            <v>0.79904169420000004</v>
          </cell>
          <cell r="I790" t="str">
            <v>Pedestrian</v>
          </cell>
          <cell r="J790" t="str">
            <v>2032/33</v>
          </cell>
        </row>
        <row r="791">
          <cell r="A791" t="str">
            <v>12 WEST COAST</v>
          </cell>
          <cell r="B791">
            <v>0</v>
          </cell>
          <cell r="C791">
            <v>2038</v>
          </cell>
          <cell r="D791">
            <v>145</v>
          </cell>
          <cell r="E791">
            <v>451</v>
          </cell>
          <cell r="F791">
            <v>2.7792742825999999</v>
          </cell>
          <cell r="G791">
            <v>2.8294160401999999</v>
          </cell>
          <cell r="H791">
            <v>0.74425630769999995</v>
          </cell>
          <cell r="I791" t="str">
            <v>Pedestrian</v>
          </cell>
          <cell r="J791" t="str">
            <v>2037/38</v>
          </cell>
        </row>
        <row r="792">
          <cell r="A792" t="str">
            <v>12 WEST COAST</v>
          </cell>
          <cell r="B792">
            <v>0</v>
          </cell>
          <cell r="C792">
            <v>2043</v>
          </cell>
          <cell r="D792">
            <v>145</v>
          </cell>
          <cell r="E792">
            <v>451</v>
          </cell>
          <cell r="F792">
            <v>2.5520224347</v>
          </cell>
          <cell r="G792">
            <v>2.6887883109000001</v>
          </cell>
          <cell r="H792">
            <v>0.70358593709999995</v>
          </cell>
          <cell r="I792" t="str">
            <v>Pedestrian</v>
          </cell>
          <cell r="J792" t="str">
            <v>2042/43</v>
          </cell>
        </row>
        <row r="793">
          <cell r="A793" t="str">
            <v>12 WEST COAST</v>
          </cell>
          <cell r="B793">
            <v>1</v>
          </cell>
          <cell r="C793">
            <v>2013</v>
          </cell>
          <cell r="D793">
            <v>23</v>
          </cell>
          <cell r="E793">
            <v>75</v>
          </cell>
          <cell r="F793">
            <v>0.73381292249999996</v>
          </cell>
          <cell r="G793">
            <v>1.9571055828999999</v>
          </cell>
          <cell r="H793">
            <v>0.17528853950000001</v>
          </cell>
          <cell r="I793" t="str">
            <v>Cyclist</v>
          </cell>
          <cell r="J793" t="str">
            <v>2012/13</v>
          </cell>
        </row>
        <row r="794">
          <cell r="A794" t="str">
            <v>12 WEST COAST</v>
          </cell>
          <cell r="B794">
            <v>1</v>
          </cell>
          <cell r="C794">
            <v>2018</v>
          </cell>
          <cell r="D794">
            <v>23</v>
          </cell>
          <cell r="E794">
            <v>75</v>
          </cell>
          <cell r="F794">
            <v>0.6496205665</v>
          </cell>
          <cell r="G794">
            <v>1.8228852137</v>
          </cell>
          <cell r="H794">
            <v>0.15610228670000001</v>
          </cell>
          <cell r="I794" t="str">
            <v>Cyclist</v>
          </cell>
          <cell r="J794" t="str">
            <v>2017/18</v>
          </cell>
        </row>
        <row r="795">
          <cell r="A795" t="str">
            <v>12 WEST COAST</v>
          </cell>
          <cell r="B795">
            <v>1</v>
          </cell>
          <cell r="C795">
            <v>2023</v>
          </cell>
          <cell r="D795">
            <v>23</v>
          </cell>
          <cell r="E795">
            <v>75</v>
          </cell>
          <cell r="F795">
            <v>0.61162800500000003</v>
          </cell>
          <cell r="G795">
            <v>1.803283505</v>
          </cell>
          <cell r="H795">
            <v>0.1469060224</v>
          </cell>
          <cell r="I795" t="str">
            <v>Cyclist</v>
          </cell>
          <cell r="J795" t="str">
            <v>2022/23</v>
          </cell>
        </row>
        <row r="796">
          <cell r="A796" t="str">
            <v>12 WEST COAST</v>
          </cell>
          <cell r="B796">
            <v>1</v>
          </cell>
          <cell r="C796">
            <v>2028</v>
          </cell>
          <cell r="D796">
            <v>23</v>
          </cell>
          <cell r="E796">
            <v>75</v>
          </cell>
          <cell r="F796">
            <v>0.56921507090000001</v>
          </cell>
          <cell r="G796">
            <v>1.6766130011</v>
          </cell>
          <cell r="H796">
            <v>0.13270942499999999</v>
          </cell>
          <cell r="I796" t="str">
            <v>Cyclist</v>
          </cell>
          <cell r="J796" t="str">
            <v>2027/28</v>
          </cell>
        </row>
        <row r="797">
          <cell r="A797" t="str">
            <v>12 WEST COAST</v>
          </cell>
          <cell r="B797">
            <v>1</v>
          </cell>
          <cell r="C797">
            <v>2033</v>
          </cell>
          <cell r="D797">
            <v>23</v>
          </cell>
          <cell r="E797">
            <v>75</v>
          </cell>
          <cell r="F797">
            <v>0.51175195009999996</v>
          </cell>
          <cell r="G797">
            <v>1.5613640509</v>
          </cell>
          <cell r="H797">
            <v>0.11794603250000001</v>
          </cell>
          <cell r="I797" t="str">
            <v>Cyclist</v>
          </cell>
          <cell r="J797" t="str">
            <v>2032/33</v>
          </cell>
        </row>
        <row r="798">
          <cell r="A798" t="str">
            <v>12 WEST COAST</v>
          </cell>
          <cell r="B798">
            <v>1</v>
          </cell>
          <cell r="C798">
            <v>2038</v>
          </cell>
          <cell r="D798">
            <v>23</v>
          </cell>
          <cell r="E798">
            <v>75</v>
          </cell>
          <cell r="F798">
            <v>0.46584258490000002</v>
          </cell>
          <cell r="G798">
            <v>1.5381831469</v>
          </cell>
          <cell r="H798">
            <v>0.10757323570000001</v>
          </cell>
          <cell r="I798" t="str">
            <v>Cyclist</v>
          </cell>
          <cell r="J798" t="str">
            <v>2037/38</v>
          </cell>
        </row>
        <row r="799">
          <cell r="A799" t="str">
            <v>12 WEST COAST</v>
          </cell>
          <cell r="B799">
            <v>1</v>
          </cell>
          <cell r="C799">
            <v>2043</v>
          </cell>
          <cell r="D799">
            <v>23</v>
          </cell>
          <cell r="E799">
            <v>75</v>
          </cell>
          <cell r="F799">
            <v>0.4228663735</v>
          </cell>
          <cell r="G799">
            <v>1.5031197542000001</v>
          </cell>
          <cell r="H799">
            <v>9.7932925500000004E-2</v>
          </cell>
          <cell r="I799" t="str">
            <v>Cyclist</v>
          </cell>
          <cell r="J799" t="str">
            <v>2042/43</v>
          </cell>
        </row>
        <row r="800">
          <cell r="A800" t="str">
            <v>12 WEST COAST</v>
          </cell>
          <cell r="B800">
            <v>2</v>
          </cell>
          <cell r="C800">
            <v>2013</v>
          </cell>
          <cell r="D800">
            <v>269</v>
          </cell>
          <cell r="E800">
            <v>1828</v>
          </cell>
          <cell r="F800">
            <v>21.329902885999999</v>
          </cell>
          <cell r="G800">
            <v>226.22434741999999</v>
          </cell>
          <cell r="H800">
            <v>5.0852916584000001</v>
          </cell>
          <cell r="I800" t="str">
            <v>Light Vehicle Driver</v>
          </cell>
          <cell r="J800" t="str">
            <v>2012/13</v>
          </cell>
        </row>
        <row r="801">
          <cell r="A801" t="str">
            <v>12 WEST COAST</v>
          </cell>
          <cell r="B801">
            <v>2</v>
          </cell>
          <cell r="C801">
            <v>2018</v>
          </cell>
          <cell r="D801">
            <v>269</v>
          </cell>
          <cell r="E801">
            <v>1828</v>
          </cell>
          <cell r="F801">
            <v>19.239156645000001</v>
          </cell>
          <cell r="G801">
            <v>209.51051222999999</v>
          </cell>
          <cell r="H801">
            <v>4.6618041889999997</v>
          </cell>
          <cell r="I801" t="str">
            <v>Light Vehicle Driver</v>
          </cell>
          <cell r="J801" t="str">
            <v>2017/18</v>
          </cell>
        </row>
        <row r="802">
          <cell r="A802" t="str">
            <v>12 WEST COAST</v>
          </cell>
          <cell r="B802">
            <v>2</v>
          </cell>
          <cell r="C802">
            <v>2023</v>
          </cell>
          <cell r="D802">
            <v>269</v>
          </cell>
          <cell r="E802">
            <v>1828</v>
          </cell>
          <cell r="F802">
            <v>18.054143529000001</v>
          </cell>
          <cell r="G802">
            <v>203.90634713</v>
          </cell>
          <cell r="H802">
            <v>4.4690901327999999</v>
          </cell>
          <cell r="I802" t="str">
            <v>Light Vehicle Driver</v>
          </cell>
          <cell r="J802" t="str">
            <v>2022/23</v>
          </cell>
        </row>
        <row r="803">
          <cell r="A803" t="str">
            <v>12 WEST COAST</v>
          </cell>
          <cell r="B803">
            <v>2</v>
          </cell>
          <cell r="C803">
            <v>2028</v>
          </cell>
          <cell r="D803">
            <v>269</v>
          </cell>
          <cell r="E803">
            <v>1828</v>
          </cell>
          <cell r="F803">
            <v>16.810062990999999</v>
          </cell>
          <cell r="G803">
            <v>194.45426176000001</v>
          </cell>
          <cell r="H803">
            <v>4.2228281684000004</v>
          </cell>
          <cell r="I803" t="str">
            <v>Light Vehicle Driver</v>
          </cell>
          <cell r="J803" t="str">
            <v>2027/28</v>
          </cell>
        </row>
        <row r="804">
          <cell r="A804" t="str">
            <v>12 WEST COAST</v>
          </cell>
          <cell r="B804">
            <v>2</v>
          </cell>
          <cell r="C804">
            <v>2033</v>
          </cell>
          <cell r="D804">
            <v>269</v>
          </cell>
          <cell r="E804">
            <v>1828</v>
          </cell>
          <cell r="F804">
            <v>15.441342178999999</v>
          </cell>
          <cell r="G804">
            <v>182.53431534000001</v>
          </cell>
          <cell r="H804">
            <v>3.9289435298000002</v>
          </cell>
          <cell r="I804" t="str">
            <v>Light Vehicle Driver</v>
          </cell>
          <cell r="J804" t="str">
            <v>2032/33</v>
          </cell>
        </row>
        <row r="805">
          <cell r="A805" t="str">
            <v>12 WEST COAST</v>
          </cell>
          <cell r="B805">
            <v>2</v>
          </cell>
          <cell r="C805">
            <v>2038</v>
          </cell>
          <cell r="D805">
            <v>269</v>
          </cell>
          <cell r="E805">
            <v>1828</v>
          </cell>
          <cell r="F805">
            <v>14.485827521999999</v>
          </cell>
          <cell r="G805">
            <v>175.9263808</v>
          </cell>
          <cell r="H805">
            <v>3.7410029504</v>
          </cell>
          <cell r="I805" t="str">
            <v>Light Vehicle Driver</v>
          </cell>
          <cell r="J805" t="str">
            <v>2037/38</v>
          </cell>
        </row>
        <row r="806">
          <cell r="A806" t="str">
            <v>12 WEST COAST</v>
          </cell>
          <cell r="B806">
            <v>2</v>
          </cell>
          <cell r="C806">
            <v>2043</v>
          </cell>
          <cell r="D806">
            <v>269</v>
          </cell>
          <cell r="E806">
            <v>1828</v>
          </cell>
          <cell r="F806">
            <v>13.618298472999999</v>
          </cell>
          <cell r="G806">
            <v>170.19698427</v>
          </cell>
          <cell r="H806">
            <v>3.5716228928999998</v>
          </cell>
          <cell r="I806" t="str">
            <v>Light Vehicle Driver</v>
          </cell>
          <cell r="J806" t="str">
            <v>2042/43</v>
          </cell>
        </row>
        <row r="807">
          <cell r="A807" t="str">
            <v>12 WEST COAST</v>
          </cell>
          <cell r="B807">
            <v>3</v>
          </cell>
          <cell r="C807">
            <v>2013</v>
          </cell>
          <cell r="D807">
            <v>210</v>
          </cell>
          <cell r="E807">
            <v>1017</v>
          </cell>
          <cell r="F807">
            <v>11.090105214999999</v>
          </cell>
          <cell r="G807">
            <v>160.37072223999999</v>
          </cell>
          <cell r="H807">
            <v>3.4140139011000001</v>
          </cell>
          <cell r="I807" t="str">
            <v>Light Vehicle Passenger</v>
          </cell>
          <cell r="J807" t="str">
            <v>2012/13</v>
          </cell>
        </row>
        <row r="808">
          <cell r="A808" t="str">
            <v>12 WEST COAST</v>
          </cell>
          <cell r="B808">
            <v>3</v>
          </cell>
          <cell r="C808">
            <v>2018</v>
          </cell>
          <cell r="D808">
            <v>210</v>
          </cell>
          <cell r="E808">
            <v>1017</v>
          </cell>
          <cell r="F808">
            <v>9.4384707665000001</v>
          </cell>
          <cell r="G808">
            <v>146.01621342999999</v>
          </cell>
          <cell r="H808">
            <v>3.0998713610999999</v>
          </cell>
          <cell r="I808" t="str">
            <v>Light Vehicle Passenger</v>
          </cell>
          <cell r="J808" t="str">
            <v>2017/18</v>
          </cell>
        </row>
        <row r="809">
          <cell r="A809" t="str">
            <v>12 WEST COAST</v>
          </cell>
          <cell r="B809">
            <v>3</v>
          </cell>
          <cell r="C809">
            <v>2023</v>
          </cell>
          <cell r="D809">
            <v>210</v>
          </cell>
          <cell r="E809">
            <v>1017</v>
          </cell>
          <cell r="F809">
            <v>8.6746145019000007</v>
          </cell>
          <cell r="G809">
            <v>141.67665869999999</v>
          </cell>
          <cell r="H809">
            <v>3.0155308184999998</v>
          </cell>
          <cell r="I809" t="str">
            <v>Light Vehicle Passenger</v>
          </cell>
          <cell r="J809" t="str">
            <v>2022/23</v>
          </cell>
        </row>
        <row r="810">
          <cell r="A810" t="str">
            <v>12 WEST COAST</v>
          </cell>
          <cell r="B810">
            <v>3</v>
          </cell>
          <cell r="C810">
            <v>2028</v>
          </cell>
          <cell r="D810">
            <v>210</v>
          </cell>
          <cell r="E810">
            <v>1017</v>
          </cell>
          <cell r="F810">
            <v>8.0035270527000009</v>
          </cell>
          <cell r="G810">
            <v>136.87583522</v>
          </cell>
          <cell r="H810">
            <v>2.9222337990999998</v>
          </cell>
          <cell r="I810" t="str">
            <v>Light Vehicle Passenger</v>
          </cell>
          <cell r="J810" t="str">
            <v>2027/28</v>
          </cell>
        </row>
        <row r="811">
          <cell r="A811" t="str">
            <v>12 WEST COAST</v>
          </cell>
          <cell r="B811">
            <v>3</v>
          </cell>
          <cell r="C811">
            <v>2033</v>
          </cell>
          <cell r="D811">
            <v>210</v>
          </cell>
          <cell r="E811">
            <v>1017</v>
          </cell>
          <cell r="F811">
            <v>7.2595228923999997</v>
          </cell>
          <cell r="G811">
            <v>127.14983904</v>
          </cell>
          <cell r="H811">
            <v>2.7394488368999999</v>
          </cell>
          <cell r="I811" t="str">
            <v>Light Vehicle Passenger</v>
          </cell>
          <cell r="J811" t="str">
            <v>2032/33</v>
          </cell>
        </row>
        <row r="812">
          <cell r="A812" t="str">
            <v>12 WEST COAST</v>
          </cell>
          <cell r="B812">
            <v>3</v>
          </cell>
          <cell r="C812">
            <v>2038</v>
          </cell>
          <cell r="D812">
            <v>210</v>
          </cell>
          <cell r="E812">
            <v>1017</v>
          </cell>
          <cell r="F812">
            <v>6.5447979752999998</v>
          </cell>
          <cell r="G812">
            <v>118.99072477</v>
          </cell>
          <cell r="H812">
            <v>2.5488300141</v>
          </cell>
          <cell r="I812" t="str">
            <v>Light Vehicle Passenger</v>
          </cell>
          <cell r="J812" t="str">
            <v>2037/38</v>
          </cell>
        </row>
        <row r="813">
          <cell r="A813" t="str">
            <v>12 WEST COAST</v>
          </cell>
          <cell r="B813">
            <v>3</v>
          </cell>
          <cell r="C813">
            <v>2043</v>
          </cell>
          <cell r="D813">
            <v>210</v>
          </cell>
          <cell r="E813">
            <v>1017</v>
          </cell>
          <cell r="F813">
            <v>5.9129659112999997</v>
          </cell>
          <cell r="G813">
            <v>111.90600069</v>
          </cell>
          <cell r="H813">
            <v>2.3730853270000001</v>
          </cell>
          <cell r="I813" t="str">
            <v>Light Vehicle Passenger</v>
          </cell>
          <cell r="J813" t="str">
            <v>2042/43</v>
          </cell>
        </row>
        <row r="814">
          <cell r="A814" t="str">
            <v>12 WEST COAST</v>
          </cell>
          <cell r="B814">
            <v>4</v>
          </cell>
          <cell r="C814">
            <v>2013</v>
          </cell>
          <cell r="D814">
            <v>12</v>
          </cell>
          <cell r="E814">
            <v>23</v>
          </cell>
          <cell r="F814">
            <v>0.29973375209999997</v>
          </cell>
          <cell r="G814">
            <v>1.6916956777000001</v>
          </cell>
          <cell r="H814">
            <v>6.5507808299999998E-2</v>
          </cell>
          <cell r="J814" t="str">
            <v>2012/13</v>
          </cell>
        </row>
        <row r="815">
          <cell r="A815" t="str">
            <v>12 WEST COAST</v>
          </cell>
          <cell r="B815">
            <v>4</v>
          </cell>
          <cell r="C815">
            <v>2018</v>
          </cell>
          <cell r="D815">
            <v>12</v>
          </cell>
          <cell r="E815">
            <v>23</v>
          </cell>
          <cell r="F815">
            <v>0.32214121179999999</v>
          </cell>
          <cell r="G815">
            <v>1.8375639989000001</v>
          </cell>
          <cell r="H815">
            <v>7.1300211299999999E-2</v>
          </cell>
          <cell r="J815" t="str">
            <v>2017/18</v>
          </cell>
        </row>
        <row r="816">
          <cell r="A816" t="str">
            <v>12 WEST COAST</v>
          </cell>
          <cell r="B816">
            <v>4</v>
          </cell>
          <cell r="C816">
            <v>2023</v>
          </cell>
          <cell r="D816">
            <v>12</v>
          </cell>
          <cell r="E816">
            <v>23</v>
          </cell>
          <cell r="F816">
            <v>0.3590997742</v>
          </cell>
          <cell r="G816">
            <v>2.0523080788999999</v>
          </cell>
          <cell r="H816">
            <v>8.04136872E-2</v>
          </cell>
          <cell r="J816" t="str">
            <v>2022/23</v>
          </cell>
        </row>
        <row r="817">
          <cell r="A817" t="str">
            <v>12 WEST COAST</v>
          </cell>
          <cell r="B817">
            <v>4</v>
          </cell>
          <cell r="C817">
            <v>2028</v>
          </cell>
          <cell r="D817">
            <v>12</v>
          </cell>
          <cell r="E817">
            <v>23</v>
          </cell>
          <cell r="F817">
            <v>0.34218862729999999</v>
          </cell>
          <cell r="G817">
            <v>2.1615845995999998</v>
          </cell>
          <cell r="H817">
            <v>7.9303467099999997E-2</v>
          </cell>
          <cell r="J817" t="str">
            <v>2027/28</v>
          </cell>
        </row>
        <row r="818">
          <cell r="A818" t="str">
            <v>12 WEST COAST</v>
          </cell>
          <cell r="B818">
            <v>4</v>
          </cell>
          <cell r="C818">
            <v>2033</v>
          </cell>
          <cell r="D818">
            <v>12</v>
          </cell>
          <cell r="E818">
            <v>23</v>
          </cell>
          <cell r="F818">
            <v>0.31229135479999998</v>
          </cell>
          <cell r="G818">
            <v>2.0841076073</v>
          </cell>
          <cell r="H818">
            <v>7.3634606300000002E-2</v>
          </cell>
          <cell r="J818" t="str">
            <v>2032/33</v>
          </cell>
        </row>
        <row r="819">
          <cell r="A819" t="str">
            <v>12 WEST COAST</v>
          </cell>
          <cell r="B819">
            <v>4</v>
          </cell>
          <cell r="C819">
            <v>2038</v>
          </cell>
          <cell r="D819">
            <v>12</v>
          </cell>
          <cell r="E819">
            <v>23</v>
          </cell>
          <cell r="F819">
            <v>0.2901873525</v>
          </cell>
          <cell r="G819">
            <v>2.0546308450000001</v>
          </cell>
          <cell r="H819">
            <v>6.9644723300000003E-2</v>
          </cell>
          <cell r="J819" t="str">
            <v>2037/38</v>
          </cell>
        </row>
        <row r="820">
          <cell r="A820" t="str">
            <v>12 WEST COAST</v>
          </cell>
          <cell r="B820">
            <v>4</v>
          </cell>
          <cell r="C820">
            <v>2043</v>
          </cell>
          <cell r="D820">
            <v>12</v>
          </cell>
          <cell r="E820">
            <v>23</v>
          </cell>
          <cell r="F820">
            <v>0.2677556385</v>
          </cell>
          <cell r="G820">
            <v>1.9799005412999999</v>
          </cell>
          <cell r="H820">
            <v>6.5098349099999994E-2</v>
          </cell>
          <cell r="J820" t="str">
            <v>2042/43</v>
          </cell>
        </row>
        <row r="821">
          <cell r="A821" t="str">
            <v>12 WEST COAST</v>
          </cell>
          <cell r="B821">
            <v>5</v>
          </cell>
          <cell r="C821">
            <v>2013</v>
          </cell>
          <cell r="D821">
            <v>2</v>
          </cell>
          <cell r="E821">
            <v>5</v>
          </cell>
          <cell r="F821">
            <v>6.1723256599999998E-2</v>
          </cell>
          <cell r="G821">
            <v>0.29466348679999999</v>
          </cell>
          <cell r="H821">
            <v>9.7989774000000005E-3</v>
          </cell>
          <cell r="I821" t="str">
            <v>Motorcyclist</v>
          </cell>
          <cell r="J821" t="str">
            <v>2012/13</v>
          </cell>
        </row>
        <row r="822">
          <cell r="A822" t="str">
            <v>12 WEST COAST</v>
          </cell>
          <cell r="B822">
            <v>5</v>
          </cell>
          <cell r="C822">
            <v>2018</v>
          </cell>
          <cell r="D822">
            <v>2</v>
          </cell>
          <cell r="E822">
            <v>5</v>
          </cell>
          <cell r="F822">
            <v>6.5401977200000003E-2</v>
          </cell>
          <cell r="G822">
            <v>0.32418034159999998</v>
          </cell>
          <cell r="H822">
            <v>1.0686040500000001E-2</v>
          </cell>
          <cell r="I822" t="str">
            <v>Motorcyclist</v>
          </cell>
          <cell r="J822" t="str">
            <v>2017/18</v>
          </cell>
        </row>
        <row r="823">
          <cell r="A823" t="str">
            <v>12 WEST COAST</v>
          </cell>
          <cell r="B823">
            <v>5</v>
          </cell>
          <cell r="C823">
            <v>2023</v>
          </cell>
          <cell r="D823">
            <v>2</v>
          </cell>
          <cell r="E823">
            <v>5</v>
          </cell>
          <cell r="F823">
            <v>7.0883292000000001E-2</v>
          </cell>
          <cell r="G823">
            <v>0.34368688479999998</v>
          </cell>
          <cell r="H823">
            <v>1.13873879E-2</v>
          </cell>
          <cell r="I823" t="str">
            <v>Motorcyclist</v>
          </cell>
          <cell r="J823" t="str">
            <v>2022/23</v>
          </cell>
        </row>
        <row r="824">
          <cell r="A824" t="str">
            <v>12 WEST COAST</v>
          </cell>
          <cell r="B824">
            <v>5</v>
          </cell>
          <cell r="C824">
            <v>2028</v>
          </cell>
          <cell r="D824">
            <v>2</v>
          </cell>
          <cell r="E824">
            <v>5</v>
          </cell>
          <cell r="F824">
            <v>7.4151093599999995E-2</v>
          </cell>
          <cell r="G824">
            <v>0.35691425030000001</v>
          </cell>
          <cell r="H824">
            <v>1.1846021700000001E-2</v>
          </cell>
          <cell r="I824" t="str">
            <v>Motorcyclist</v>
          </cell>
          <cell r="J824" t="str">
            <v>2027/28</v>
          </cell>
        </row>
        <row r="825">
          <cell r="A825" t="str">
            <v>12 WEST COAST</v>
          </cell>
          <cell r="B825">
            <v>5</v>
          </cell>
          <cell r="C825">
            <v>2033</v>
          </cell>
          <cell r="D825">
            <v>2</v>
          </cell>
          <cell r="E825">
            <v>5</v>
          </cell>
          <cell r="F825">
            <v>7.68775815E-2</v>
          </cell>
          <cell r="G825">
            <v>0.37989372160000001</v>
          </cell>
          <cell r="H825">
            <v>1.25314299E-2</v>
          </cell>
          <cell r="I825" t="str">
            <v>Motorcyclist</v>
          </cell>
          <cell r="J825" t="str">
            <v>2032/33</v>
          </cell>
        </row>
        <row r="826">
          <cell r="A826" t="str">
            <v>12 WEST COAST</v>
          </cell>
          <cell r="B826">
            <v>5</v>
          </cell>
          <cell r="C826">
            <v>2038</v>
          </cell>
          <cell r="D826">
            <v>2</v>
          </cell>
          <cell r="E826">
            <v>5</v>
          </cell>
          <cell r="F826">
            <v>8.0799788400000003E-2</v>
          </cell>
          <cell r="G826">
            <v>0.40618520139999997</v>
          </cell>
          <cell r="H826">
            <v>1.33459232E-2</v>
          </cell>
          <cell r="I826" t="str">
            <v>Motorcyclist</v>
          </cell>
          <cell r="J826" t="str">
            <v>2037/38</v>
          </cell>
        </row>
        <row r="827">
          <cell r="A827" t="str">
            <v>12 WEST COAST</v>
          </cell>
          <cell r="B827">
            <v>5</v>
          </cell>
          <cell r="C827">
            <v>2043</v>
          </cell>
          <cell r="D827">
            <v>2</v>
          </cell>
          <cell r="E827">
            <v>5</v>
          </cell>
          <cell r="F827">
            <v>8.1170841699999996E-2</v>
          </cell>
          <cell r="G827">
            <v>0.41535099730000002</v>
          </cell>
          <cell r="H827">
            <v>1.3592270300000001E-2</v>
          </cell>
          <cell r="I827" t="str">
            <v>Motorcyclist</v>
          </cell>
          <cell r="J827" t="str">
            <v>2042/43</v>
          </cell>
        </row>
        <row r="828">
          <cell r="A828" t="str">
            <v>12 WEST COAST</v>
          </cell>
          <cell r="B828">
            <v>7</v>
          </cell>
          <cell r="C828">
            <v>2013</v>
          </cell>
          <cell r="D828">
            <v>15</v>
          </cell>
          <cell r="E828">
            <v>42</v>
          </cell>
          <cell r="F828">
            <v>0.50805546800000001</v>
          </cell>
          <cell r="G828">
            <v>6.0600083682000001</v>
          </cell>
          <cell r="H828">
            <v>0.18249519829999999</v>
          </cell>
          <cell r="I828" t="str">
            <v>Local Bus</v>
          </cell>
          <cell r="J828" t="str">
            <v>2012/13</v>
          </cell>
        </row>
        <row r="829">
          <cell r="A829" t="str">
            <v>12 WEST COAST</v>
          </cell>
          <cell r="B829">
            <v>7</v>
          </cell>
          <cell r="C829">
            <v>2018</v>
          </cell>
          <cell r="D829">
            <v>15</v>
          </cell>
          <cell r="E829">
            <v>42</v>
          </cell>
          <cell r="F829">
            <v>0.43164286330000001</v>
          </cell>
          <cell r="G829">
            <v>5.2081869600999999</v>
          </cell>
          <cell r="H829">
            <v>0.15531685789999999</v>
          </cell>
          <cell r="I829" t="str">
            <v>Local Bus</v>
          </cell>
          <cell r="J829" t="str">
            <v>2017/18</v>
          </cell>
        </row>
        <row r="830">
          <cell r="A830" t="str">
            <v>12 WEST COAST</v>
          </cell>
          <cell r="B830">
            <v>7</v>
          </cell>
          <cell r="C830">
            <v>2023</v>
          </cell>
          <cell r="D830">
            <v>15</v>
          </cell>
          <cell r="E830">
            <v>42</v>
          </cell>
          <cell r="F830">
            <v>0.38467216900000001</v>
          </cell>
          <cell r="G830">
            <v>4.7798439893999998</v>
          </cell>
          <cell r="H830">
            <v>0.13992436890000001</v>
          </cell>
          <cell r="I830" t="str">
            <v>Local Bus</v>
          </cell>
          <cell r="J830" t="str">
            <v>2022/23</v>
          </cell>
        </row>
        <row r="831">
          <cell r="A831" t="str">
            <v>12 WEST COAST</v>
          </cell>
          <cell r="B831">
            <v>7</v>
          </cell>
          <cell r="C831">
            <v>2028</v>
          </cell>
          <cell r="D831">
            <v>15</v>
          </cell>
          <cell r="E831">
            <v>42</v>
          </cell>
          <cell r="F831">
            <v>0.34927639059999999</v>
          </cell>
          <cell r="G831">
            <v>4.3231623033000002</v>
          </cell>
          <cell r="H831">
            <v>0.1271319242</v>
          </cell>
          <cell r="I831" t="str">
            <v>Local Bus</v>
          </cell>
          <cell r="J831" t="str">
            <v>2027/28</v>
          </cell>
        </row>
        <row r="832">
          <cell r="A832" t="str">
            <v>12 WEST COAST</v>
          </cell>
          <cell r="B832">
            <v>7</v>
          </cell>
          <cell r="C832">
            <v>2033</v>
          </cell>
          <cell r="D832">
            <v>15</v>
          </cell>
          <cell r="E832">
            <v>42</v>
          </cell>
          <cell r="F832">
            <v>0.31038678120000002</v>
          </cell>
          <cell r="G832">
            <v>3.9418109720999999</v>
          </cell>
          <cell r="H832">
            <v>0.1145712757</v>
          </cell>
          <cell r="I832" t="str">
            <v>Local Bus</v>
          </cell>
          <cell r="J832" t="str">
            <v>2032/33</v>
          </cell>
        </row>
        <row r="833">
          <cell r="A833" t="str">
            <v>12 WEST COAST</v>
          </cell>
          <cell r="B833">
            <v>7</v>
          </cell>
          <cell r="C833">
            <v>2038</v>
          </cell>
          <cell r="D833">
            <v>15</v>
          </cell>
          <cell r="E833">
            <v>42</v>
          </cell>
          <cell r="F833">
            <v>0.27032787409999998</v>
          </cell>
          <cell r="G833">
            <v>3.6296800523999999</v>
          </cell>
          <cell r="H833">
            <v>0.102495658</v>
          </cell>
          <cell r="I833" t="str">
            <v>Local Bus</v>
          </cell>
          <cell r="J833" t="str">
            <v>2037/38</v>
          </cell>
        </row>
        <row r="834">
          <cell r="A834" t="str">
            <v>12 WEST COAST</v>
          </cell>
          <cell r="B834">
            <v>7</v>
          </cell>
          <cell r="C834">
            <v>2043</v>
          </cell>
          <cell r="D834">
            <v>15</v>
          </cell>
          <cell r="E834">
            <v>42</v>
          </cell>
          <cell r="F834">
            <v>0.23596655350000001</v>
          </cell>
          <cell r="G834">
            <v>3.4017483957999999</v>
          </cell>
          <cell r="H834">
            <v>9.2688732999999995E-2</v>
          </cell>
          <cell r="I834" t="str">
            <v>Local Bus</v>
          </cell>
          <cell r="J834" t="str">
            <v>2042/43</v>
          </cell>
        </row>
        <row r="835">
          <cell r="A835" t="str">
            <v>12 WEST COAST</v>
          </cell>
          <cell r="B835">
            <v>9</v>
          </cell>
          <cell r="C835">
            <v>2013</v>
          </cell>
          <cell r="D835">
            <v>3</v>
          </cell>
          <cell r="E835">
            <v>3</v>
          </cell>
          <cell r="F835">
            <v>2.77012627E-2</v>
          </cell>
          <cell r="G835">
            <v>0</v>
          </cell>
          <cell r="H835">
            <v>3.6766106000000001E-3</v>
          </cell>
          <cell r="I835" t="str">
            <v>Other Household Travel</v>
          </cell>
          <cell r="J835" t="str">
            <v>2012/13</v>
          </cell>
        </row>
        <row r="836">
          <cell r="A836" t="str">
            <v>12 WEST COAST</v>
          </cell>
          <cell r="B836">
            <v>9</v>
          </cell>
          <cell r="C836">
            <v>2018</v>
          </cell>
          <cell r="D836">
            <v>3</v>
          </cell>
          <cell r="E836">
            <v>3</v>
          </cell>
          <cell r="F836">
            <v>2.40422977E-2</v>
          </cell>
          <cell r="G836">
            <v>0</v>
          </cell>
          <cell r="H836">
            <v>3.1276155E-3</v>
          </cell>
          <cell r="I836" t="str">
            <v>Other Household Travel</v>
          </cell>
          <cell r="J836" t="str">
            <v>2017/18</v>
          </cell>
        </row>
        <row r="837">
          <cell r="A837" t="str">
            <v>12 WEST COAST</v>
          </cell>
          <cell r="B837">
            <v>9</v>
          </cell>
          <cell r="C837">
            <v>2023</v>
          </cell>
          <cell r="D837">
            <v>3</v>
          </cell>
          <cell r="E837">
            <v>3</v>
          </cell>
          <cell r="F837">
            <v>2.2316217999999999E-2</v>
          </cell>
          <cell r="G837">
            <v>0</v>
          </cell>
          <cell r="H837">
            <v>2.8600858999999999E-3</v>
          </cell>
          <cell r="I837" t="str">
            <v>Other Household Travel</v>
          </cell>
          <cell r="J837" t="str">
            <v>2022/23</v>
          </cell>
        </row>
        <row r="838">
          <cell r="A838" t="str">
            <v>12 WEST COAST</v>
          </cell>
          <cell r="B838">
            <v>9</v>
          </cell>
          <cell r="C838">
            <v>2028</v>
          </cell>
          <cell r="D838">
            <v>3</v>
          </cell>
          <cell r="E838">
            <v>3</v>
          </cell>
          <cell r="F838">
            <v>1.83684447E-2</v>
          </cell>
          <cell r="G838">
            <v>0</v>
          </cell>
          <cell r="H838">
            <v>2.3069789999999998E-3</v>
          </cell>
          <cell r="I838" t="str">
            <v>Other Household Travel</v>
          </cell>
          <cell r="J838" t="str">
            <v>2027/28</v>
          </cell>
        </row>
        <row r="839">
          <cell r="A839" t="str">
            <v>12 WEST COAST</v>
          </cell>
          <cell r="B839">
            <v>9</v>
          </cell>
          <cell r="C839">
            <v>2033</v>
          </cell>
          <cell r="D839">
            <v>3</v>
          </cell>
          <cell r="E839">
            <v>3</v>
          </cell>
          <cell r="F839">
            <v>1.5582880299999999E-2</v>
          </cell>
          <cell r="G839">
            <v>0</v>
          </cell>
          <cell r="H839">
            <v>1.9677732E-3</v>
          </cell>
          <cell r="I839" t="str">
            <v>Other Household Travel</v>
          </cell>
          <cell r="J839" t="str">
            <v>2032/33</v>
          </cell>
        </row>
        <row r="840">
          <cell r="A840" t="str">
            <v>12 WEST COAST</v>
          </cell>
          <cell r="B840">
            <v>9</v>
          </cell>
          <cell r="C840">
            <v>2038</v>
          </cell>
          <cell r="D840">
            <v>3</v>
          </cell>
          <cell r="E840">
            <v>3</v>
          </cell>
          <cell r="F840">
            <v>1.43053039E-2</v>
          </cell>
          <cell r="G840">
            <v>0</v>
          </cell>
          <cell r="H840">
            <v>1.8462362000000001E-3</v>
          </cell>
          <cell r="I840" t="str">
            <v>Other Household Travel</v>
          </cell>
          <cell r="J840" t="str">
            <v>2037/38</v>
          </cell>
        </row>
        <row r="841">
          <cell r="A841" t="str">
            <v>12 WEST COAST</v>
          </cell>
          <cell r="B841">
            <v>9</v>
          </cell>
          <cell r="C841">
            <v>2043</v>
          </cell>
          <cell r="D841">
            <v>3</v>
          </cell>
          <cell r="E841">
            <v>3</v>
          </cell>
          <cell r="F841">
            <v>1.2843917099999999E-2</v>
          </cell>
          <cell r="G841">
            <v>0</v>
          </cell>
          <cell r="H841">
            <v>1.6911064000000001E-3</v>
          </cell>
          <cell r="I841" t="str">
            <v>Other Household Travel</v>
          </cell>
          <cell r="J841" t="str">
            <v>2042/43</v>
          </cell>
        </row>
        <row r="842">
          <cell r="A842" t="str">
            <v>12 WEST COAST</v>
          </cell>
          <cell r="B842">
            <v>10</v>
          </cell>
          <cell r="C842">
            <v>2013</v>
          </cell>
          <cell r="D842">
            <v>4</v>
          </cell>
          <cell r="E842">
            <v>8</v>
          </cell>
          <cell r="F842">
            <v>0.10084271459999999</v>
          </cell>
          <cell r="G842">
            <v>10.387194593</v>
          </cell>
          <cell r="H842">
            <v>0.1870167032</v>
          </cell>
          <cell r="I842" t="str">
            <v>Air/Non-Local PT</v>
          </cell>
          <cell r="J842" t="str">
            <v>2012/13</v>
          </cell>
        </row>
        <row r="843">
          <cell r="A843" t="str">
            <v>12 WEST COAST</v>
          </cell>
          <cell r="B843">
            <v>10</v>
          </cell>
          <cell r="C843">
            <v>2018</v>
          </cell>
          <cell r="D843">
            <v>4</v>
          </cell>
          <cell r="E843">
            <v>8</v>
          </cell>
          <cell r="F843">
            <v>9.7054913399999998E-2</v>
          </cell>
          <cell r="G843">
            <v>9.8851845837999992</v>
          </cell>
          <cell r="H843">
            <v>0.18060230529999999</v>
          </cell>
          <cell r="I843" t="str">
            <v>Air/Non-Local PT</v>
          </cell>
          <cell r="J843" t="str">
            <v>2017/18</v>
          </cell>
        </row>
        <row r="844">
          <cell r="A844" t="str">
            <v>12 WEST COAST</v>
          </cell>
          <cell r="B844">
            <v>10</v>
          </cell>
          <cell r="C844">
            <v>2023</v>
          </cell>
          <cell r="D844">
            <v>4</v>
          </cell>
          <cell r="E844">
            <v>8</v>
          </cell>
          <cell r="F844">
            <v>9.6789048700000005E-2</v>
          </cell>
          <cell r="G844">
            <v>9.7229512347</v>
          </cell>
          <cell r="H844">
            <v>0.18084509679999999</v>
          </cell>
          <cell r="I844" t="str">
            <v>Air/Non-Local PT</v>
          </cell>
          <cell r="J844" t="str">
            <v>2022/23</v>
          </cell>
        </row>
        <row r="845">
          <cell r="A845" t="str">
            <v>12 WEST COAST</v>
          </cell>
          <cell r="B845">
            <v>10</v>
          </cell>
          <cell r="C845">
            <v>2028</v>
          </cell>
          <cell r="D845">
            <v>4</v>
          </cell>
          <cell r="E845">
            <v>8</v>
          </cell>
          <cell r="F845">
            <v>8.7269772499999995E-2</v>
          </cell>
          <cell r="G845">
            <v>8.5168406159999996</v>
          </cell>
          <cell r="H845">
            <v>0.16442235090000001</v>
          </cell>
          <cell r="I845" t="str">
            <v>Air/Non-Local PT</v>
          </cell>
          <cell r="J845" t="str">
            <v>2027/28</v>
          </cell>
        </row>
        <row r="846">
          <cell r="A846" t="str">
            <v>12 WEST COAST</v>
          </cell>
          <cell r="B846">
            <v>10</v>
          </cell>
          <cell r="C846">
            <v>2033</v>
          </cell>
          <cell r="D846">
            <v>4</v>
          </cell>
          <cell r="E846">
            <v>8</v>
          </cell>
          <cell r="F846">
            <v>7.5861924499999997E-2</v>
          </cell>
          <cell r="G846">
            <v>7.2421173614000001</v>
          </cell>
          <cell r="H846">
            <v>0.14381002279999999</v>
          </cell>
          <cell r="I846" t="str">
            <v>Air/Non-Local PT</v>
          </cell>
          <cell r="J846" t="str">
            <v>2032/33</v>
          </cell>
        </row>
        <row r="847">
          <cell r="A847" t="str">
            <v>12 WEST COAST</v>
          </cell>
          <cell r="B847">
            <v>10</v>
          </cell>
          <cell r="C847">
            <v>2038</v>
          </cell>
          <cell r="D847">
            <v>4</v>
          </cell>
          <cell r="E847">
            <v>8</v>
          </cell>
          <cell r="F847">
            <v>6.8374181300000003E-2</v>
          </cell>
          <cell r="G847">
            <v>6.4546662953</v>
          </cell>
          <cell r="H847">
            <v>0.13001205390000001</v>
          </cell>
          <cell r="I847" t="str">
            <v>Air/Non-Local PT</v>
          </cell>
          <cell r="J847" t="str">
            <v>2037/38</v>
          </cell>
        </row>
        <row r="848">
          <cell r="A848" t="str">
            <v>12 WEST COAST</v>
          </cell>
          <cell r="B848">
            <v>10</v>
          </cell>
          <cell r="C848">
            <v>2043</v>
          </cell>
          <cell r="D848">
            <v>4</v>
          </cell>
          <cell r="E848">
            <v>8</v>
          </cell>
          <cell r="F848">
            <v>6.0272184399999998E-2</v>
          </cell>
          <cell r="G848">
            <v>5.6154764765999996</v>
          </cell>
          <cell r="H848">
            <v>0.1150120033</v>
          </cell>
          <cell r="I848" t="str">
            <v>Air/Non-Local PT</v>
          </cell>
          <cell r="J848" t="str">
            <v>2042/43</v>
          </cell>
        </row>
        <row r="849">
          <cell r="A849" t="str">
            <v>12 WEST COAST</v>
          </cell>
          <cell r="B849">
            <v>11</v>
          </cell>
          <cell r="C849">
            <v>2013</v>
          </cell>
          <cell r="D849">
            <v>9</v>
          </cell>
          <cell r="E849">
            <v>44</v>
          </cell>
          <cell r="F849">
            <v>0.57649160089999996</v>
          </cell>
          <cell r="G849">
            <v>20.958164275000001</v>
          </cell>
          <cell r="H849">
            <v>0.34686230169999999</v>
          </cell>
          <cell r="I849" t="str">
            <v>Non-Household Travel</v>
          </cell>
          <cell r="J849" t="str">
            <v>2012/13</v>
          </cell>
        </row>
        <row r="850">
          <cell r="A850" t="str">
            <v>12 WEST COAST</v>
          </cell>
          <cell r="B850">
            <v>11</v>
          </cell>
          <cell r="C850">
            <v>2018</v>
          </cell>
          <cell r="D850">
            <v>9</v>
          </cell>
          <cell r="E850">
            <v>44</v>
          </cell>
          <cell r="F850">
            <v>0.56963531509999998</v>
          </cell>
          <cell r="G850">
            <v>19.840337714</v>
          </cell>
          <cell r="H850">
            <v>0.33040184830000002</v>
          </cell>
          <cell r="I850" t="str">
            <v>Non-Household Travel</v>
          </cell>
          <cell r="J850" t="str">
            <v>2017/18</v>
          </cell>
        </row>
        <row r="851">
          <cell r="A851" t="str">
            <v>12 WEST COAST</v>
          </cell>
          <cell r="B851">
            <v>11</v>
          </cell>
          <cell r="C851">
            <v>2023</v>
          </cell>
          <cell r="D851">
            <v>9</v>
          </cell>
          <cell r="E851">
            <v>44</v>
          </cell>
          <cell r="F851">
            <v>0.56009095220000005</v>
          </cell>
          <cell r="G851">
            <v>19.403701046999998</v>
          </cell>
          <cell r="H851">
            <v>0.32432978019999997</v>
          </cell>
          <cell r="I851" t="str">
            <v>Non-Household Travel</v>
          </cell>
          <cell r="J851" t="str">
            <v>2022/23</v>
          </cell>
        </row>
        <row r="852">
          <cell r="A852" t="str">
            <v>12 WEST COAST</v>
          </cell>
          <cell r="B852">
            <v>11</v>
          </cell>
          <cell r="C852">
            <v>2028</v>
          </cell>
          <cell r="D852">
            <v>9</v>
          </cell>
          <cell r="E852">
            <v>44</v>
          </cell>
          <cell r="F852">
            <v>0.54759867750000002</v>
          </cell>
          <cell r="G852">
            <v>18.078053071999999</v>
          </cell>
          <cell r="H852">
            <v>0.30397163739999999</v>
          </cell>
          <cell r="I852" t="str">
            <v>Non-Household Travel</v>
          </cell>
          <cell r="J852" t="str">
            <v>2027/28</v>
          </cell>
        </row>
        <row r="853">
          <cell r="A853" t="str">
            <v>12 WEST COAST</v>
          </cell>
          <cell r="B853">
            <v>11</v>
          </cell>
          <cell r="C853">
            <v>2033</v>
          </cell>
          <cell r="D853">
            <v>9</v>
          </cell>
          <cell r="E853">
            <v>44</v>
          </cell>
          <cell r="F853">
            <v>0.51481980380000003</v>
          </cell>
          <cell r="G853">
            <v>16.270901327000001</v>
          </cell>
          <cell r="H853">
            <v>0.27541816320000001</v>
          </cell>
          <cell r="I853" t="str">
            <v>Non-Household Travel</v>
          </cell>
          <cell r="J853" t="str">
            <v>2032/33</v>
          </cell>
        </row>
        <row r="854">
          <cell r="A854" t="str">
            <v>12 WEST COAST</v>
          </cell>
          <cell r="B854">
            <v>11</v>
          </cell>
          <cell r="C854">
            <v>2038</v>
          </cell>
          <cell r="D854">
            <v>9</v>
          </cell>
          <cell r="E854">
            <v>44</v>
          </cell>
          <cell r="F854">
            <v>0.47973443589999998</v>
          </cell>
          <cell r="G854">
            <v>14.642656835</v>
          </cell>
          <cell r="H854">
            <v>0.24959618610000001</v>
          </cell>
          <cell r="I854" t="str">
            <v>Non-Household Travel</v>
          </cell>
          <cell r="J854" t="str">
            <v>2037/38</v>
          </cell>
        </row>
        <row r="855">
          <cell r="A855" t="str">
            <v>12 WEST COAST</v>
          </cell>
          <cell r="B855">
            <v>11</v>
          </cell>
          <cell r="C855">
            <v>2043</v>
          </cell>
          <cell r="D855">
            <v>9</v>
          </cell>
          <cell r="E855">
            <v>44</v>
          </cell>
          <cell r="F855">
            <v>0.4399299626</v>
          </cell>
          <cell r="G855">
            <v>12.999663735</v>
          </cell>
          <cell r="H855">
            <v>0.22341850369999999</v>
          </cell>
          <cell r="I855" t="str">
            <v>Non-Household Travel</v>
          </cell>
          <cell r="J855" t="str">
            <v>2042/43</v>
          </cell>
        </row>
        <row r="856">
          <cell r="A856" t="str">
            <v>13 CANTERBURY</v>
          </cell>
          <cell r="B856">
            <v>0</v>
          </cell>
          <cell r="C856">
            <v>2013</v>
          </cell>
          <cell r="D856">
            <v>2073</v>
          </cell>
          <cell r="E856">
            <v>7645</v>
          </cell>
          <cell r="F856">
            <v>131.04676542000001</v>
          </cell>
          <cell r="G856">
            <v>113.37513976</v>
          </cell>
          <cell r="H856">
            <v>27.07651954</v>
          </cell>
          <cell r="I856" t="str">
            <v>Pedestrian</v>
          </cell>
          <cell r="J856" t="str">
            <v>2012/13</v>
          </cell>
        </row>
        <row r="857">
          <cell r="A857" t="str">
            <v>13 CANTERBURY</v>
          </cell>
          <cell r="B857">
            <v>0</v>
          </cell>
          <cell r="C857">
            <v>2018</v>
          </cell>
          <cell r="D857">
            <v>2073</v>
          </cell>
          <cell r="E857">
            <v>7645</v>
          </cell>
          <cell r="F857">
            <v>127.2899896</v>
          </cell>
          <cell r="G857">
            <v>110.05648687</v>
          </cell>
          <cell r="H857">
            <v>26.056358703000001</v>
          </cell>
          <cell r="I857" t="str">
            <v>Pedestrian</v>
          </cell>
          <cell r="J857" t="str">
            <v>2017/18</v>
          </cell>
        </row>
        <row r="858">
          <cell r="A858" t="str">
            <v>13 CANTERBURY</v>
          </cell>
          <cell r="B858">
            <v>0</v>
          </cell>
          <cell r="C858">
            <v>2023</v>
          </cell>
          <cell r="D858">
            <v>2073</v>
          </cell>
          <cell r="E858">
            <v>7645</v>
          </cell>
          <cell r="F858">
            <v>131.65501852</v>
          </cell>
          <cell r="G858">
            <v>113.08323128000001</v>
          </cell>
          <cell r="H858">
            <v>26.603350751000001</v>
          </cell>
          <cell r="I858" t="str">
            <v>Pedestrian</v>
          </cell>
          <cell r="J858" t="str">
            <v>2022/23</v>
          </cell>
        </row>
        <row r="859">
          <cell r="A859" t="str">
            <v>13 CANTERBURY</v>
          </cell>
          <cell r="B859">
            <v>0</v>
          </cell>
          <cell r="C859">
            <v>2028</v>
          </cell>
          <cell r="D859">
            <v>2073</v>
          </cell>
          <cell r="E859">
            <v>7645</v>
          </cell>
          <cell r="F859">
            <v>129.05447681999999</v>
          </cell>
          <cell r="G859">
            <v>110.17217775</v>
          </cell>
          <cell r="H859">
            <v>25.718800929</v>
          </cell>
          <cell r="I859" t="str">
            <v>Pedestrian</v>
          </cell>
          <cell r="J859" t="str">
            <v>2027/28</v>
          </cell>
        </row>
        <row r="860">
          <cell r="A860" t="str">
            <v>13 CANTERBURY</v>
          </cell>
          <cell r="B860">
            <v>0</v>
          </cell>
          <cell r="C860">
            <v>2033</v>
          </cell>
          <cell r="D860">
            <v>2073</v>
          </cell>
          <cell r="E860">
            <v>7645</v>
          </cell>
          <cell r="F860">
            <v>125.79500289000001</v>
          </cell>
          <cell r="G860">
            <v>106.82388709999999</v>
          </cell>
          <cell r="H860">
            <v>24.804930638999998</v>
          </cell>
          <cell r="I860" t="str">
            <v>Pedestrian</v>
          </cell>
          <cell r="J860" t="str">
            <v>2032/33</v>
          </cell>
        </row>
        <row r="861">
          <cell r="A861" t="str">
            <v>13 CANTERBURY</v>
          </cell>
          <cell r="B861">
            <v>0</v>
          </cell>
          <cell r="C861">
            <v>2038</v>
          </cell>
          <cell r="D861">
            <v>2073</v>
          </cell>
          <cell r="E861">
            <v>7645</v>
          </cell>
          <cell r="F861">
            <v>122.41910043</v>
          </cell>
          <cell r="G861">
            <v>103.59219019</v>
          </cell>
          <cell r="H861">
            <v>23.900766939</v>
          </cell>
          <cell r="I861" t="str">
            <v>Pedestrian</v>
          </cell>
          <cell r="J861" t="str">
            <v>2037/38</v>
          </cell>
        </row>
        <row r="862">
          <cell r="A862" t="str">
            <v>13 CANTERBURY</v>
          </cell>
          <cell r="B862">
            <v>0</v>
          </cell>
          <cell r="C862">
            <v>2043</v>
          </cell>
          <cell r="D862">
            <v>2073</v>
          </cell>
          <cell r="E862">
            <v>7645</v>
          </cell>
          <cell r="F862">
            <v>119.35507585000001</v>
          </cell>
          <cell r="G862">
            <v>100.64863819</v>
          </cell>
          <cell r="H862">
            <v>23.100767208000001</v>
          </cell>
          <cell r="I862" t="str">
            <v>Pedestrian</v>
          </cell>
          <cell r="J862" t="str">
            <v>2042/43</v>
          </cell>
        </row>
        <row r="863">
          <cell r="A863" t="str">
            <v>13 CANTERBURY</v>
          </cell>
          <cell r="B863">
            <v>1</v>
          </cell>
          <cell r="C863">
            <v>2013</v>
          </cell>
          <cell r="D863">
            <v>335</v>
          </cell>
          <cell r="E863">
            <v>1282</v>
          </cell>
          <cell r="F863">
            <v>23.740018446000001</v>
          </cell>
          <cell r="G863">
            <v>97.023488555</v>
          </cell>
          <cell r="H863">
            <v>7.2445897615000003</v>
          </cell>
          <cell r="I863" t="str">
            <v>Cyclist</v>
          </cell>
          <cell r="J863" t="str">
            <v>2012/13</v>
          </cell>
        </row>
        <row r="864">
          <cell r="A864" t="str">
            <v>13 CANTERBURY</v>
          </cell>
          <cell r="B864">
            <v>1</v>
          </cell>
          <cell r="C864">
            <v>2018</v>
          </cell>
          <cell r="D864">
            <v>335</v>
          </cell>
          <cell r="E864">
            <v>1282</v>
          </cell>
          <cell r="F864">
            <v>23.592666787999999</v>
          </cell>
          <cell r="G864">
            <v>99.408176800000007</v>
          </cell>
          <cell r="H864">
            <v>7.2833591557000004</v>
          </cell>
          <cell r="I864" t="str">
            <v>Cyclist</v>
          </cell>
          <cell r="J864" t="str">
            <v>2017/18</v>
          </cell>
        </row>
        <row r="865">
          <cell r="A865" t="str">
            <v>13 CANTERBURY</v>
          </cell>
          <cell r="B865">
            <v>1</v>
          </cell>
          <cell r="C865">
            <v>2023</v>
          </cell>
          <cell r="D865">
            <v>335</v>
          </cell>
          <cell r="E865">
            <v>1282</v>
          </cell>
          <cell r="F865">
            <v>24.178052476000001</v>
          </cell>
          <cell r="G865">
            <v>105.2709521</v>
          </cell>
          <cell r="H865">
            <v>7.5770471836000004</v>
          </cell>
          <cell r="I865" t="str">
            <v>Cyclist</v>
          </cell>
          <cell r="J865" t="str">
            <v>2022/23</v>
          </cell>
        </row>
        <row r="866">
          <cell r="A866" t="str">
            <v>13 CANTERBURY</v>
          </cell>
          <cell r="B866">
            <v>1</v>
          </cell>
          <cell r="C866">
            <v>2028</v>
          </cell>
          <cell r="D866">
            <v>335</v>
          </cell>
          <cell r="E866">
            <v>1282</v>
          </cell>
          <cell r="F866">
            <v>23.301780278999999</v>
          </cell>
          <cell r="G866">
            <v>103.93124584</v>
          </cell>
          <cell r="H866">
            <v>7.3762046872000004</v>
          </cell>
          <cell r="I866" t="str">
            <v>Cyclist</v>
          </cell>
          <cell r="J866" t="str">
            <v>2027/28</v>
          </cell>
        </row>
        <row r="867">
          <cell r="A867" t="str">
            <v>13 CANTERBURY</v>
          </cell>
          <cell r="B867">
            <v>1</v>
          </cell>
          <cell r="C867">
            <v>2033</v>
          </cell>
          <cell r="D867">
            <v>335</v>
          </cell>
          <cell r="E867">
            <v>1282</v>
          </cell>
          <cell r="F867">
            <v>22.721390919000001</v>
          </cell>
          <cell r="G867">
            <v>104.47151967000001</v>
          </cell>
          <cell r="H867">
            <v>7.2974324459000002</v>
          </cell>
          <cell r="I867" t="str">
            <v>Cyclist</v>
          </cell>
          <cell r="J867" t="str">
            <v>2032/33</v>
          </cell>
        </row>
        <row r="868">
          <cell r="A868" t="str">
            <v>13 CANTERBURY</v>
          </cell>
          <cell r="B868">
            <v>1</v>
          </cell>
          <cell r="C868">
            <v>2038</v>
          </cell>
          <cell r="D868">
            <v>335</v>
          </cell>
          <cell r="E868">
            <v>1282</v>
          </cell>
          <cell r="F868">
            <v>22.162200831</v>
          </cell>
          <cell r="G868">
            <v>106.38724944000001</v>
          </cell>
          <cell r="H868">
            <v>7.2946660628000002</v>
          </cell>
          <cell r="I868" t="str">
            <v>Cyclist</v>
          </cell>
          <cell r="J868" t="str">
            <v>2037/38</v>
          </cell>
        </row>
        <row r="869">
          <cell r="A869" t="str">
            <v>13 CANTERBURY</v>
          </cell>
          <cell r="B869">
            <v>1</v>
          </cell>
          <cell r="C869">
            <v>2043</v>
          </cell>
          <cell r="D869">
            <v>335</v>
          </cell>
          <cell r="E869">
            <v>1282</v>
          </cell>
          <cell r="F869">
            <v>21.741257057999999</v>
          </cell>
          <cell r="G869">
            <v>108.54372474</v>
          </cell>
          <cell r="H869">
            <v>7.3229312127000004</v>
          </cell>
          <cell r="I869" t="str">
            <v>Cyclist</v>
          </cell>
          <cell r="J869" t="str">
            <v>2042/43</v>
          </cell>
        </row>
        <row r="870">
          <cell r="A870" t="str">
            <v>13 CANTERBURY</v>
          </cell>
          <cell r="B870">
            <v>2</v>
          </cell>
          <cell r="C870">
            <v>2013</v>
          </cell>
          <cell r="D870">
            <v>3326</v>
          </cell>
          <cell r="E870">
            <v>23816</v>
          </cell>
          <cell r="F870">
            <v>417.41567177000002</v>
          </cell>
          <cell r="G870">
            <v>3777.041205</v>
          </cell>
          <cell r="H870">
            <v>111.06814274</v>
          </cell>
          <cell r="I870" t="str">
            <v>Light Vehicle Driver</v>
          </cell>
          <cell r="J870" t="str">
            <v>2012/13</v>
          </cell>
        </row>
        <row r="871">
          <cell r="A871" t="str">
            <v>13 CANTERBURY</v>
          </cell>
          <cell r="B871">
            <v>2</v>
          </cell>
          <cell r="C871">
            <v>2018</v>
          </cell>
          <cell r="D871">
            <v>3326</v>
          </cell>
          <cell r="E871">
            <v>23816</v>
          </cell>
          <cell r="F871">
            <v>424.91188045000001</v>
          </cell>
          <cell r="G871">
            <v>3905.0524329</v>
          </cell>
          <cell r="H871">
            <v>114.41472723</v>
          </cell>
          <cell r="I871" t="str">
            <v>Light Vehicle Driver</v>
          </cell>
          <cell r="J871" t="str">
            <v>2017/18</v>
          </cell>
        </row>
        <row r="872">
          <cell r="A872" t="str">
            <v>13 CANTERBURY</v>
          </cell>
          <cell r="B872">
            <v>2</v>
          </cell>
          <cell r="C872">
            <v>2023</v>
          </cell>
          <cell r="D872">
            <v>3326</v>
          </cell>
          <cell r="E872">
            <v>23816</v>
          </cell>
          <cell r="F872">
            <v>455.02604502000003</v>
          </cell>
          <cell r="G872">
            <v>4221.1438320999996</v>
          </cell>
          <cell r="H872">
            <v>123.38365906</v>
          </cell>
          <cell r="I872" t="str">
            <v>Light Vehicle Driver</v>
          </cell>
          <cell r="J872" t="str">
            <v>2022/23</v>
          </cell>
        </row>
        <row r="873">
          <cell r="A873" t="str">
            <v>13 CANTERBURY</v>
          </cell>
          <cell r="B873">
            <v>2</v>
          </cell>
          <cell r="C873">
            <v>2028</v>
          </cell>
          <cell r="D873">
            <v>3326</v>
          </cell>
          <cell r="E873">
            <v>23816</v>
          </cell>
          <cell r="F873">
            <v>466.98607525</v>
          </cell>
          <cell r="G873">
            <v>4353.0056600999997</v>
          </cell>
          <cell r="H873">
            <v>126.94677208</v>
          </cell>
          <cell r="I873" t="str">
            <v>Light Vehicle Driver</v>
          </cell>
          <cell r="J873" t="str">
            <v>2027/28</v>
          </cell>
        </row>
        <row r="874">
          <cell r="A874" t="str">
            <v>13 CANTERBURY</v>
          </cell>
          <cell r="B874">
            <v>2</v>
          </cell>
          <cell r="C874">
            <v>2033</v>
          </cell>
          <cell r="D874">
            <v>3326</v>
          </cell>
          <cell r="E874">
            <v>23816</v>
          </cell>
          <cell r="F874">
            <v>476.26364869999998</v>
          </cell>
          <cell r="G874">
            <v>4461.4679281999997</v>
          </cell>
          <cell r="H874">
            <v>129.88105711</v>
          </cell>
          <cell r="I874" t="str">
            <v>Light Vehicle Driver</v>
          </cell>
          <cell r="J874" t="str">
            <v>2032/33</v>
          </cell>
        </row>
        <row r="875">
          <cell r="A875" t="str">
            <v>13 CANTERBURY</v>
          </cell>
          <cell r="B875">
            <v>2</v>
          </cell>
          <cell r="C875">
            <v>2038</v>
          </cell>
          <cell r="D875">
            <v>3326</v>
          </cell>
          <cell r="E875">
            <v>23816</v>
          </cell>
          <cell r="F875">
            <v>478.04695705</v>
          </cell>
          <cell r="G875">
            <v>4503.0493705999997</v>
          </cell>
          <cell r="H875">
            <v>130.88052646</v>
          </cell>
          <cell r="I875" t="str">
            <v>Light Vehicle Driver</v>
          </cell>
          <cell r="J875" t="str">
            <v>2037/38</v>
          </cell>
        </row>
        <row r="876">
          <cell r="A876" t="str">
            <v>13 CANTERBURY</v>
          </cell>
          <cell r="B876">
            <v>2</v>
          </cell>
          <cell r="C876">
            <v>2043</v>
          </cell>
          <cell r="D876">
            <v>3326</v>
          </cell>
          <cell r="E876">
            <v>23816</v>
          </cell>
          <cell r="F876">
            <v>478.14651831999998</v>
          </cell>
          <cell r="G876">
            <v>4526.2140484000001</v>
          </cell>
          <cell r="H876">
            <v>131.38892963000001</v>
          </cell>
          <cell r="I876" t="str">
            <v>Light Vehicle Driver</v>
          </cell>
          <cell r="J876" t="str">
            <v>2042/43</v>
          </cell>
        </row>
        <row r="877">
          <cell r="A877" t="str">
            <v>13 CANTERBURY</v>
          </cell>
          <cell r="B877">
            <v>3</v>
          </cell>
          <cell r="C877">
            <v>2013</v>
          </cell>
          <cell r="D877">
            <v>2416</v>
          </cell>
          <cell r="E877">
            <v>11025</v>
          </cell>
          <cell r="F877">
            <v>189.77500577999999</v>
          </cell>
          <cell r="G877">
            <v>2033.7115475000001</v>
          </cell>
          <cell r="H877">
            <v>53.544276449999998</v>
          </cell>
          <cell r="I877" t="str">
            <v>Light Vehicle Passenger</v>
          </cell>
          <cell r="J877" t="str">
            <v>2012/13</v>
          </cell>
        </row>
        <row r="878">
          <cell r="A878" t="str">
            <v>13 CANTERBURY</v>
          </cell>
          <cell r="B878">
            <v>3</v>
          </cell>
          <cell r="C878">
            <v>2018</v>
          </cell>
          <cell r="D878">
            <v>2416</v>
          </cell>
          <cell r="E878">
            <v>11025</v>
          </cell>
          <cell r="F878">
            <v>182.69528686000001</v>
          </cell>
          <cell r="G878">
            <v>1993.6807713000001</v>
          </cell>
          <cell r="H878">
            <v>52.086145055000003</v>
          </cell>
          <cell r="I878" t="str">
            <v>Light Vehicle Passenger</v>
          </cell>
          <cell r="J878" t="str">
            <v>2017/18</v>
          </cell>
        </row>
        <row r="879">
          <cell r="A879" t="str">
            <v>13 CANTERBURY</v>
          </cell>
          <cell r="B879">
            <v>3</v>
          </cell>
          <cell r="C879">
            <v>2023</v>
          </cell>
          <cell r="D879">
            <v>2416</v>
          </cell>
          <cell r="E879">
            <v>11025</v>
          </cell>
          <cell r="F879">
            <v>189.62871976</v>
          </cell>
          <cell r="G879">
            <v>2099.7971361</v>
          </cell>
          <cell r="H879">
            <v>54.454959332999998</v>
          </cell>
          <cell r="I879" t="str">
            <v>Light Vehicle Passenger</v>
          </cell>
          <cell r="J879" t="str">
            <v>2022/23</v>
          </cell>
        </row>
        <row r="880">
          <cell r="A880" t="str">
            <v>13 CANTERBURY</v>
          </cell>
          <cell r="B880">
            <v>3</v>
          </cell>
          <cell r="C880">
            <v>2028</v>
          </cell>
          <cell r="D880">
            <v>2416</v>
          </cell>
          <cell r="E880">
            <v>11025</v>
          </cell>
          <cell r="F880">
            <v>190.12078695</v>
          </cell>
          <cell r="G880">
            <v>2137.2546604999998</v>
          </cell>
          <cell r="H880">
            <v>54.90663911</v>
          </cell>
          <cell r="I880" t="str">
            <v>Light Vehicle Passenger</v>
          </cell>
          <cell r="J880" t="str">
            <v>2027/28</v>
          </cell>
        </row>
        <row r="881">
          <cell r="A881" t="str">
            <v>13 CANTERBURY</v>
          </cell>
          <cell r="B881">
            <v>3</v>
          </cell>
          <cell r="C881">
            <v>2033</v>
          </cell>
          <cell r="D881">
            <v>2416</v>
          </cell>
          <cell r="E881">
            <v>11025</v>
          </cell>
          <cell r="F881">
            <v>190.17923761</v>
          </cell>
          <cell r="G881">
            <v>2166.5518299999999</v>
          </cell>
          <cell r="H881">
            <v>55.242772422999998</v>
          </cell>
          <cell r="I881" t="str">
            <v>Light Vehicle Passenger</v>
          </cell>
          <cell r="J881" t="str">
            <v>2032/33</v>
          </cell>
        </row>
        <row r="882">
          <cell r="A882" t="str">
            <v>13 CANTERBURY</v>
          </cell>
          <cell r="B882">
            <v>3</v>
          </cell>
          <cell r="C882">
            <v>2038</v>
          </cell>
          <cell r="D882">
            <v>2416</v>
          </cell>
          <cell r="E882">
            <v>11025</v>
          </cell>
          <cell r="F882">
            <v>189.50835878999999</v>
          </cell>
          <cell r="G882">
            <v>2184.4785963999998</v>
          </cell>
          <cell r="H882">
            <v>55.397316351999997</v>
          </cell>
          <cell r="I882" t="str">
            <v>Light Vehicle Passenger</v>
          </cell>
          <cell r="J882" t="str">
            <v>2037/38</v>
          </cell>
        </row>
        <row r="883">
          <cell r="A883" t="str">
            <v>13 CANTERBURY</v>
          </cell>
          <cell r="B883">
            <v>3</v>
          </cell>
          <cell r="C883">
            <v>2043</v>
          </cell>
          <cell r="D883">
            <v>2416</v>
          </cell>
          <cell r="E883">
            <v>11025</v>
          </cell>
          <cell r="F883">
            <v>188.64573161000001</v>
          </cell>
          <cell r="G883">
            <v>2197.0892620999998</v>
          </cell>
          <cell r="H883">
            <v>55.463885894999997</v>
          </cell>
          <cell r="I883" t="str">
            <v>Light Vehicle Passenger</v>
          </cell>
          <cell r="J883" t="str">
            <v>2042/43</v>
          </cell>
        </row>
        <row r="884">
          <cell r="A884" t="str">
            <v>13 CANTERBURY</v>
          </cell>
          <cell r="B884">
            <v>4</v>
          </cell>
          <cell r="C884">
            <v>2013</v>
          </cell>
          <cell r="D884">
            <v>68</v>
          </cell>
          <cell r="E884">
            <v>116</v>
          </cell>
          <cell r="F884">
            <v>2.2446435044999999</v>
          </cell>
          <cell r="G884">
            <v>16.530142167000001</v>
          </cell>
          <cell r="H884">
            <v>0.86554787379999998</v>
          </cell>
          <cell r="J884" t="str">
            <v>2012/13</v>
          </cell>
        </row>
        <row r="885">
          <cell r="A885" t="str">
            <v>13 CANTERBURY</v>
          </cell>
          <cell r="B885">
            <v>4</v>
          </cell>
          <cell r="C885">
            <v>2018</v>
          </cell>
          <cell r="D885">
            <v>68</v>
          </cell>
          <cell r="E885">
            <v>116</v>
          </cell>
          <cell r="F885">
            <v>2.3009829149000001</v>
          </cell>
          <cell r="G885">
            <v>17.686717584</v>
          </cell>
          <cell r="H885">
            <v>0.89401521880000001</v>
          </cell>
          <cell r="J885" t="str">
            <v>2017/18</v>
          </cell>
        </row>
        <row r="886">
          <cell r="A886" t="str">
            <v>13 CANTERBURY</v>
          </cell>
          <cell r="B886">
            <v>4</v>
          </cell>
          <cell r="C886">
            <v>2023</v>
          </cell>
          <cell r="D886">
            <v>68</v>
          </cell>
          <cell r="E886">
            <v>116</v>
          </cell>
          <cell r="F886">
            <v>2.4624834484</v>
          </cell>
          <cell r="G886">
            <v>19.562265774</v>
          </cell>
          <cell r="H886">
            <v>0.96134291930000004</v>
          </cell>
          <cell r="J886" t="str">
            <v>2022/23</v>
          </cell>
        </row>
        <row r="887">
          <cell r="A887" t="str">
            <v>13 CANTERBURY</v>
          </cell>
          <cell r="B887">
            <v>4</v>
          </cell>
          <cell r="C887">
            <v>2028</v>
          </cell>
          <cell r="D887">
            <v>68</v>
          </cell>
          <cell r="E887">
            <v>116</v>
          </cell>
          <cell r="F887">
            <v>2.4726366943000002</v>
          </cell>
          <cell r="G887">
            <v>20.028635220999998</v>
          </cell>
          <cell r="H887">
            <v>0.97067354459999999</v>
          </cell>
          <cell r="J887" t="str">
            <v>2027/28</v>
          </cell>
        </row>
        <row r="888">
          <cell r="A888" t="str">
            <v>13 CANTERBURY</v>
          </cell>
          <cell r="B888">
            <v>4</v>
          </cell>
          <cell r="C888">
            <v>2033</v>
          </cell>
          <cell r="D888">
            <v>68</v>
          </cell>
          <cell r="E888">
            <v>116</v>
          </cell>
          <cell r="F888">
            <v>2.4845542909999998</v>
          </cell>
          <cell r="G888">
            <v>20.549621682000001</v>
          </cell>
          <cell r="H888">
            <v>0.98412699400000003</v>
          </cell>
          <cell r="J888" t="str">
            <v>2032/33</v>
          </cell>
        </row>
        <row r="889">
          <cell r="A889" t="str">
            <v>13 CANTERBURY</v>
          </cell>
          <cell r="B889">
            <v>4</v>
          </cell>
          <cell r="C889">
            <v>2038</v>
          </cell>
          <cell r="D889">
            <v>68</v>
          </cell>
          <cell r="E889">
            <v>116</v>
          </cell>
          <cell r="F889">
            <v>2.4453992224999999</v>
          </cell>
          <cell r="G889">
            <v>20.720961896999999</v>
          </cell>
          <cell r="H889">
            <v>0.97279874909999997</v>
          </cell>
          <cell r="J889" t="str">
            <v>2037/38</v>
          </cell>
        </row>
        <row r="890">
          <cell r="A890" t="str">
            <v>13 CANTERBURY</v>
          </cell>
          <cell r="B890">
            <v>4</v>
          </cell>
          <cell r="C890">
            <v>2043</v>
          </cell>
          <cell r="D890">
            <v>68</v>
          </cell>
          <cell r="E890">
            <v>116</v>
          </cell>
          <cell r="F890">
            <v>2.3995003456999999</v>
          </cell>
          <cell r="G890">
            <v>20.820177726000001</v>
          </cell>
          <cell r="H890">
            <v>0.95652053199999998</v>
          </cell>
          <cell r="J890" t="str">
            <v>2042/43</v>
          </cell>
        </row>
        <row r="891">
          <cell r="A891" t="str">
            <v>13 CANTERBURY</v>
          </cell>
          <cell r="B891">
            <v>5</v>
          </cell>
          <cell r="C891">
            <v>2013</v>
          </cell>
          <cell r="D891">
            <v>29</v>
          </cell>
          <cell r="E891">
            <v>91</v>
          </cell>
          <cell r="F891">
            <v>1.4451657518000001</v>
          </cell>
          <cell r="G891">
            <v>12.048552727000001</v>
          </cell>
          <cell r="H891">
            <v>0.39288238580000001</v>
          </cell>
          <cell r="I891" t="str">
            <v>Motorcyclist</v>
          </cell>
          <cell r="J891" t="str">
            <v>2012/13</v>
          </cell>
        </row>
        <row r="892">
          <cell r="A892" t="str">
            <v>13 CANTERBURY</v>
          </cell>
          <cell r="B892">
            <v>5</v>
          </cell>
          <cell r="C892">
            <v>2018</v>
          </cell>
          <cell r="D892">
            <v>29</v>
          </cell>
          <cell r="E892">
            <v>91</v>
          </cell>
          <cell r="F892">
            <v>1.465069363</v>
          </cell>
          <cell r="G892">
            <v>11.788353618</v>
          </cell>
          <cell r="H892">
            <v>0.39394096499999998</v>
          </cell>
          <cell r="I892" t="str">
            <v>Motorcyclist</v>
          </cell>
          <cell r="J892" t="str">
            <v>2017/18</v>
          </cell>
        </row>
        <row r="893">
          <cell r="A893" t="str">
            <v>13 CANTERBURY</v>
          </cell>
          <cell r="B893">
            <v>5</v>
          </cell>
          <cell r="C893">
            <v>2023</v>
          </cell>
          <cell r="D893">
            <v>29</v>
          </cell>
          <cell r="E893">
            <v>91</v>
          </cell>
          <cell r="F893">
            <v>1.5076881365999999</v>
          </cell>
          <cell r="G893">
            <v>12.124451517000001</v>
          </cell>
          <cell r="H893">
            <v>0.41237097169999998</v>
          </cell>
          <cell r="I893" t="str">
            <v>Motorcyclist</v>
          </cell>
          <cell r="J893" t="str">
            <v>2022/23</v>
          </cell>
        </row>
        <row r="894">
          <cell r="A894" t="str">
            <v>13 CANTERBURY</v>
          </cell>
          <cell r="B894">
            <v>5</v>
          </cell>
          <cell r="C894">
            <v>2028</v>
          </cell>
          <cell r="D894">
            <v>29</v>
          </cell>
          <cell r="E894">
            <v>91</v>
          </cell>
          <cell r="F894">
            <v>1.4803109759999999</v>
          </cell>
          <cell r="G894">
            <v>11.861540332000001</v>
          </cell>
          <cell r="H894">
            <v>0.41158972539999999</v>
          </cell>
          <cell r="I894" t="str">
            <v>Motorcyclist</v>
          </cell>
          <cell r="J894" t="str">
            <v>2027/28</v>
          </cell>
        </row>
        <row r="895">
          <cell r="A895" t="str">
            <v>13 CANTERBURY</v>
          </cell>
          <cell r="B895">
            <v>5</v>
          </cell>
          <cell r="C895">
            <v>2033</v>
          </cell>
          <cell r="D895">
            <v>29</v>
          </cell>
          <cell r="E895">
            <v>91</v>
          </cell>
          <cell r="F895">
            <v>1.4595520885</v>
          </cell>
          <cell r="G895">
            <v>11.879171394</v>
          </cell>
          <cell r="H895">
            <v>0.41637757860000002</v>
          </cell>
          <cell r="I895" t="str">
            <v>Motorcyclist</v>
          </cell>
          <cell r="J895" t="str">
            <v>2032/33</v>
          </cell>
        </row>
        <row r="896">
          <cell r="A896" t="str">
            <v>13 CANTERBURY</v>
          </cell>
          <cell r="B896">
            <v>5</v>
          </cell>
          <cell r="C896">
            <v>2038</v>
          </cell>
          <cell r="D896">
            <v>29</v>
          </cell>
          <cell r="E896">
            <v>91</v>
          </cell>
          <cell r="F896">
            <v>1.4692609398000001</v>
          </cell>
          <cell r="G896">
            <v>12.117450781000001</v>
          </cell>
          <cell r="H896">
            <v>0.43006679079999999</v>
          </cell>
          <cell r="I896" t="str">
            <v>Motorcyclist</v>
          </cell>
          <cell r="J896" t="str">
            <v>2037/38</v>
          </cell>
        </row>
        <row r="897">
          <cell r="A897" t="str">
            <v>13 CANTERBURY</v>
          </cell>
          <cell r="B897">
            <v>5</v>
          </cell>
          <cell r="C897">
            <v>2043</v>
          </cell>
          <cell r="D897">
            <v>29</v>
          </cell>
          <cell r="E897">
            <v>91</v>
          </cell>
          <cell r="F897">
            <v>1.4685398071</v>
          </cell>
          <cell r="G897">
            <v>12.231241571</v>
          </cell>
          <cell r="H897">
            <v>0.4400229007</v>
          </cell>
          <cell r="I897" t="str">
            <v>Motorcyclist</v>
          </cell>
          <cell r="J897" t="str">
            <v>2042/43</v>
          </cell>
        </row>
        <row r="898">
          <cell r="A898" t="str">
            <v>13 CANTERBURY</v>
          </cell>
          <cell r="B898">
            <v>6</v>
          </cell>
          <cell r="C898">
            <v>2013</v>
          </cell>
          <cell r="D898">
            <v>1</v>
          </cell>
          <cell r="E898">
            <v>1</v>
          </cell>
          <cell r="F898">
            <v>2.1901243099999999E-2</v>
          </cell>
          <cell r="G898">
            <v>0</v>
          </cell>
          <cell r="H898">
            <v>7.3004144E-3</v>
          </cell>
          <cell r="I898" t="str">
            <v>Local Train</v>
          </cell>
          <cell r="J898" t="str">
            <v>2012/13</v>
          </cell>
        </row>
        <row r="899">
          <cell r="A899" t="str">
            <v>13 CANTERBURY</v>
          </cell>
          <cell r="B899">
            <v>6</v>
          </cell>
          <cell r="C899">
            <v>2018</v>
          </cell>
          <cell r="D899">
            <v>1</v>
          </cell>
          <cell r="E899">
            <v>1</v>
          </cell>
          <cell r="F899">
            <v>1.99248107E-2</v>
          </cell>
          <cell r="G899">
            <v>0</v>
          </cell>
          <cell r="H899">
            <v>6.6416035999999996E-3</v>
          </cell>
          <cell r="I899" t="str">
            <v>Local Train</v>
          </cell>
          <cell r="J899" t="str">
            <v>2017/18</v>
          </cell>
        </row>
        <row r="900">
          <cell r="A900" t="str">
            <v>13 CANTERBURY</v>
          </cell>
          <cell r="B900">
            <v>6</v>
          </cell>
          <cell r="C900">
            <v>2023</v>
          </cell>
          <cell r="D900">
            <v>1</v>
          </cell>
          <cell r="E900">
            <v>1</v>
          </cell>
          <cell r="F900">
            <v>1.6459804799999998E-2</v>
          </cell>
          <cell r="G900">
            <v>0</v>
          </cell>
          <cell r="H900">
            <v>5.4866016E-3</v>
          </cell>
          <cell r="I900" t="str">
            <v>Local Train</v>
          </cell>
          <cell r="J900" t="str">
            <v>2022/23</v>
          </cell>
        </row>
        <row r="901">
          <cell r="A901" t="str">
            <v>13 CANTERBURY</v>
          </cell>
          <cell r="B901">
            <v>6</v>
          </cell>
          <cell r="C901">
            <v>2028</v>
          </cell>
          <cell r="D901">
            <v>1</v>
          </cell>
          <cell r="E901">
            <v>1</v>
          </cell>
          <cell r="F901">
            <v>1.4009838300000001E-2</v>
          </cell>
          <cell r="G901">
            <v>0</v>
          </cell>
          <cell r="H901">
            <v>4.6699460999999999E-3</v>
          </cell>
          <cell r="I901" t="str">
            <v>Local Train</v>
          </cell>
          <cell r="J901" t="str">
            <v>2027/28</v>
          </cell>
        </row>
        <row r="902">
          <cell r="A902" t="str">
            <v>13 CANTERBURY</v>
          </cell>
          <cell r="B902">
            <v>6</v>
          </cell>
          <cell r="C902">
            <v>2033</v>
          </cell>
          <cell r="D902">
            <v>1</v>
          </cell>
          <cell r="E902">
            <v>1</v>
          </cell>
          <cell r="F902">
            <v>1.22507378E-2</v>
          </cell>
          <cell r="G902">
            <v>0</v>
          </cell>
          <cell r="H902">
            <v>4.0835793E-3</v>
          </cell>
          <cell r="I902" t="str">
            <v>Local Train</v>
          </cell>
          <cell r="J902" t="str">
            <v>2032/33</v>
          </cell>
        </row>
        <row r="903">
          <cell r="A903" t="str">
            <v>13 CANTERBURY</v>
          </cell>
          <cell r="B903">
            <v>6</v>
          </cell>
          <cell r="C903">
            <v>2038</v>
          </cell>
          <cell r="D903">
            <v>1</v>
          </cell>
          <cell r="E903">
            <v>1</v>
          </cell>
          <cell r="F903">
            <v>9.6489904999999994E-3</v>
          </cell>
          <cell r="G903">
            <v>0</v>
          </cell>
          <cell r="H903">
            <v>3.2163302E-3</v>
          </cell>
          <cell r="I903" t="str">
            <v>Local Train</v>
          </cell>
          <cell r="J903" t="str">
            <v>2037/38</v>
          </cell>
        </row>
        <row r="904">
          <cell r="A904" t="str">
            <v>13 CANTERBURY</v>
          </cell>
          <cell r="B904">
            <v>6</v>
          </cell>
          <cell r="C904">
            <v>2043</v>
          </cell>
          <cell r="D904">
            <v>1</v>
          </cell>
          <cell r="E904">
            <v>1</v>
          </cell>
          <cell r="F904">
            <v>7.4421276E-3</v>
          </cell>
          <cell r="G904">
            <v>0</v>
          </cell>
          <cell r="H904">
            <v>2.4807091999999998E-3</v>
          </cell>
          <cell r="I904" t="str">
            <v>Local Train</v>
          </cell>
          <cell r="J904" t="str">
            <v>2042/43</v>
          </cell>
        </row>
        <row r="905">
          <cell r="A905" t="str">
            <v>13 CANTERBURY</v>
          </cell>
          <cell r="B905">
            <v>7</v>
          </cell>
          <cell r="C905">
            <v>2013</v>
          </cell>
          <cell r="D905">
            <v>384</v>
          </cell>
          <cell r="E905">
            <v>1120</v>
          </cell>
          <cell r="F905">
            <v>20.502079716000001</v>
          </cell>
          <cell r="G905">
            <v>174.53993166999999</v>
          </cell>
          <cell r="H905">
            <v>7.9805750329</v>
          </cell>
          <cell r="I905" t="str">
            <v>Local Bus</v>
          </cell>
          <cell r="J905" t="str">
            <v>2012/13</v>
          </cell>
        </row>
        <row r="906">
          <cell r="A906" t="str">
            <v>13 CANTERBURY</v>
          </cell>
          <cell r="B906">
            <v>7</v>
          </cell>
          <cell r="C906">
            <v>2018</v>
          </cell>
          <cell r="D906">
            <v>384</v>
          </cell>
          <cell r="E906">
            <v>1120</v>
          </cell>
          <cell r="F906">
            <v>18.950914411999999</v>
          </cell>
          <cell r="G906">
            <v>161.08250000999999</v>
          </cell>
          <cell r="H906">
            <v>7.3627264895</v>
          </cell>
          <cell r="I906" t="str">
            <v>Local Bus</v>
          </cell>
          <cell r="J906" t="str">
            <v>2017/18</v>
          </cell>
        </row>
        <row r="907">
          <cell r="A907" t="str">
            <v>13 CANTERBURY</v>
          </cell>
          <cell r="B907">
            <v>7</v>
          </cell>
          <cell r="C907">
            <v>2023</v>
          </cell>
          <cell r="D907">
            <v>384</v>
          </cell>
          <cell r="E907">
            <v>1120</v>
          </cell>
          <cell r="F907">
            <v>18.604709035999999</v>
          </cell>
          <cell r="G907">
            <v>157.95421587999999</v>
          </cell>
          <cell r="H907">
            <v>7.2313939413000003</v>
          </cell>
          <cell r="I907" t="str">
            <v>Local Bus</v>
          </cell>
          <cell r="J907" t="str">
            <v>2022/23</v>
          </cell>
        </row>
        <row r="908">
          <cell r="A908" t="str">
            <v>13 CANTERBURY</v>
          </cell>
          <cell r="B908">
            <v>7</v>
          </cell>
          <cell r="C908">
            <v>2028</v>
          </cell>
          <cell r="D908">
            <v>384</v>
          </cell>
          <cell r="E908">
            <v>1120</v>
          </cell>
          <cell r="F908">
            <v>17.364226896000002</v>
          </cell>
          <cell r="G908">
            <v>149.70069903999999</v>
          </cell>
          <cell r="H908">
            <v>6.7886232322</v>
          </cell>
          <cell r="I908" t="str">
            <v>Local Bus</v>
          </cell>
          <cell r="J908" t="str">
            <v>2027/28</v>
          </cell>
        </row>
        <row r="909">
          <cell r="A909" t="str">
            <v>13 CANTERBURY</v>
          </cell>
          <cell r="B909">
            <v>7</v>
          </cell>
          <cell r="C909">
            <v>2033</v>
          </cell>
          <cell r="D909">
            <v>384</v>
          </cell>
          <cell r="E909">
            <v>1120</v>
          </cell>
          <cell r="F909">
            <v>16.073011381000001</v>
          </cell>
          <cell r="G909">
            <v>140.45897252</v>
          </cell>
          <cell r="H909">
            <v>6.3254628748000004</v>
          </cell>
          <cell r="I909" t="str">
            <v>Local Bus</v>
          </cell>
          <cell r="J909" t="str">
            <v>2032/33</v>
          </cell>
        </row>
        <row r="910">
          <cell r="A910" t="str">
            <v>13 CANTERBURY</v>
          </cell>
          <cell r="B910">
            <v>7</v>
          </cell>
          <cell r="C910">
            <v>2038</v>
          </cell>
          <cell r="D910">
            <v>384</v>
          </cell>
          <cell r="E910">
            <v>1120</v>
          </cell>
          <cell r="F910">
            <v>15.092949816999999</v>
          </cell>
          <cell r="G910">
            <v>133.06017739000001</v>
          </cell>
          <cell r="H910">
            <v>5.9750273263000002</v>
          </cell>
          <cell r="I910" t="str">
            <v>Local Bus</v>
          </cell>
          <cell r="J910" t="str">
            <v>2037/38</v>
          </cell>
        </row>
        <row r="911">
          <cell r="A911" t="str">
            <v>13 CANTERBURY</v>
          </cell>
          <cell r="B911">
            <v>7</v>
          </cell>
          <cell r="C911">
            <v>2043</v>
          </cell>
          <cell r="D911">
            <v>384</v>
          </cell>
          <cell r="E911">
            <v>1120</v>
          </cell>
          <cell r="F911">
            <v>14.25533604</v>
          </cell>
          <cell r="G911">
            <v>126.5397564</v>
          </cell>
          <cell r="H911">
            <v>5.6727710079999998</v>
          </cell>
          <cell r="I911" t="str">
            <v>Local Bus</v>
          </cell>
          <cell r="J911" t="str">
            <v>2042/43</v>
          </cell>
        </row>
        <row r="912">
          <cell r="A912" t="str">
            <v>13 CANTERBURY</v>
          </cell>
          <cell r="B912">
            <v>9</v>
          </cell>
          <cell r="C912">
            <v>2013</v>
          </cell>
          <cell r="D912">
            <v>31</v>
          </cell>
          <cell r="E912">
            <v>81</v>
          </cell>
          <cell r="F912">
            <v>1.5386198845000001</v>
          </cell>
          <cell r="G912">
            <v>0</v>
          </cell>
          <cell r="H912">
            <v>0.91635513570000005</v>
          </cell>
          <cell r="I912" t="str">
            <v>Other Household Travel</v>
          </cell>
          <cell r="J912" t="str">
            <v>2012/13</v>
          </cell>
        </row>
        <row r="913">
          <cell r="A913" t="str">
            <v>13 CANTERBURY</v>
          </cell>
          <cell r="B913">
            <v>9</v>
          </cell>
          <cell r="C913">
            <v>2018</v>
          </cell>
          <cell r="D913">
            <v>31</v>
          </cell>
          <cell r="E913">
            <v>81</v>
          </cell>
          <cell r="F913">
            <v>1.5795513725000001</v>
          </cell>
          <cell r="G913">
            <v>0</v>
          </cell>
          <cell r="H913">
            <v>0.91598638369999996</v>
          </cell>
          <cell r="I913" t="str">
            <v>Other Household Travel</v>
          </cell>
          <cell r="J913" t="str">
            <v>2017/18</v>
          </cell>
        </row>
        <row r="914">
          <cell r="A914" t="str">
            <v>13 CANTERBURY</v>
          </cell>
          <cell r="B914">
            <v>9</v>
          </cell>
          <cell r="C914">
            <v>2023</v>
          </cell>
          <cell r="D914">
            <v>31</v>
          </cell>
          <cell r="E914">
            <v>81</v>
          </cell>
          <cell r="F914">
            <v>1.7706479574</v>
          </cell>
          <cell r="G914">
            <v>0</v>
          </cell>
          <cell r="H914">
            <v>1.0163061402</v>
          </cell>
          <cell r="I914" t="str">
            <v>Other Household Travel</v>
          </cell>
          <cell r="J914" t="str">
            <v>2022/23</v>
          </cell>
        </row>
        <row r="915">
          <cell r="A915" t="str">
            <v>13 CANTERBURY</v>
          </cell>
          <cell r="B915">
            <v>9</v>
          </cell>
          <cell r="C915">
            <v>2028</v>
          </cell>
          <cell r="D915">
            <v>31</v>
          </cell>
          <cell r="E915">
            <v>81</v>
          </cell>
          <cell r="F915">
            <v>1.8259119762</v>
          </cell>
          <cell r="G915">
            <v>0</v>
          </cell>
          <cell r="H915">
            <v>1.0672157019999999</v>
          </cell>
          <cell r="I915" t="str">
            <v>Other Household Travel</v>
          </cell>
          <cell r="J915" t="str">
            <v>2027/28</v>
          </cell>
        </row>
        <row r="916">
          <cell r="A916" t="str">
            <v>13 CANTERBURY</v>
          </cell>
          <cell r="B916">
            <v>9</v>
          </cell>
          <cell r="C916">
            <v>2033</v>
          </cell>
          <cell r="D916">
            <v>31</v>
          </cell>
          <cell r="E916">
            <v>81</v>
          </cell>
          <cell r="F916">
            <v>1.8011753214999999</v>
          </cell>
          <cell r="G916">
            <v>0</v>
          </cell>
          <cell r="H916">
            <v>1.0775690252000001</v>
          </cell>
          <cell r="I916" t="str">
            <v>Other Household Travel</v>
          </cell>
          <cell r="J916" t="str">
            <v>2032/33</v>
          </cell>
        </row>
        <row r="917">
          <cell r="A917" t="str">
            <v>13 CANTERBURY</v>
          </cell>
          <cell r="B917">
            <v>9</v>
          </cell>
          <cell r="C917">
            <v>2038</v>
          </cell>
          <cell r="D917">
            <v>31</v>
          </cell>
          <cell r="E917">
            <v>81</v>
          </cell>
          <cell r="F917">
            <v>1.6973016487000001</v>
          </cell>
          <cell r="G917">
            <v>0</v>
          </cell>
          <cell r="H917">
            <v>1.0455025004</v>
          </cell>
          <cell r="I917" t="str">
            <v>Other Household Travel</v>
          </cell>
          <cell r="J917" t="str">
            <v>2037/38</v>
          </cell>
        </row>
        <row r="918">
          <cell r="A918" t="str">
            <v>13 CANTERBURY</v>
          </cell>
          <cell r="B918">
            <v>9</v>
          </cell>
          <cell r="C918">
            <v>2043</v>
          </cell>
          <cell r="D918">
            <v>31</v>
          </cell>
          <cell r="E918">
            <v>81</v>
          </cell>
          <cell r="F918">
            <v>1.5291058887</v>
          </cell>
          <cell r="G918">
            <v>0</v>
          </cell>
          <cell r="H918">
            <v>0.98662383840000001</v>
          </cell>
          <cell r="I918" t="str">
            <v>Other Household Travel</v>
          </cell>
          <cell r="J918" t="str">
            <v>2042/43</v>
          </cell>
        </row>
        <row r="919">
          <cell r="A919" t="str">
            <v>13 CANTERBURY</v>
          </cell>
          <cell r="B919">
            <v>10</v>
          </cell>
          <cell r="C919">
            <v>2013</v>
          </cell>
          <cell r="D919">
            <v>99</v>
          </cell>
          <cell r="E919">
            <v>124</v>
          </cell>
          <cell r="F919">
            <v>2.4822614922000001</v>
          </cell>
          <cell r="G919">
            <v>66.176348546</v>
          </cell>
          <cell r="H919">
            <v>3.9785271960999999</v>
          </cell>
          <cell r="I919" t="str">
            <v>Air/Non-Local PT</v>
          </cell>
          <cell r="J919" t="str">
            <v>2012/13</v>
          </cell>
        </row>
        <row r="920">
          <cell r="A920" t="str">
            <v>13 CANTERBURY</v>
          </cell>
          <cell r="B920">
            <v>10</v>
          </cell>
          <cell r="C920">
            <v>2018</v>
          </cell>
          <cell r="D920">
            <v>99</v>
          </cell>
          <cell r="E920">
            <v>124</v>
          </cell>
          <cell r="F920">
            <v>2.6366427210999999</v>
          </cell>
          <cell r="G920">
            <v>66.896112105</v>
          </cell>
          <cell r="H920">
            <v>4.3669050655000001</v>
          </cell>
          <cell r="I920" t="str">
            <v>Air/Non-Local PT</v>
          </cell>
          <cell r="J920" t="str">
            <v>2017/18</v>
          </cell>
        </row>
        <row r="921">
          <cell r="A921" t="str">
            <v>13 CANTERBURY</v>
          </cell>
          <cell r="B921">
            <v>10</v>
          </cell>
          <cell r="C921">
            <v>2023</v>
          </cell>
          <cell r="D921">
            <v>99</v>
          </cell>
          <cell r="E921">
            <v>124</v>
          </cell>
          <cell r="F921">
            <v>2.921358997</v>
          </cell>
          <cell r="G921">
            <v>69.411804011000001</v>
          </cell>
          <cell r="H921">
            <v>4.9090832212000004</v>
          </cell>
          <cell r="I921" t="str">
            <v>Air/Non-Local PT</v>
          </cell>
          <cell r="J921" t="str">
            <v>2022/23</v>
          </cell>
        </row>
        <row r="922">
          <cell r="A922" t="str">
            <v>13 CANTERBURY</v>
          </cell>
          <cell r="B922">
            <v>10</v>
          </cell>
          <cell r="C922">
            <v>2028</v>
          </cell>
          <cell r="D922">
            <v>99</v>
          </cell>
          <cell r="E922">
            <v>124</v>
          </cell>
          <cell r="F922">
            <v>3.0983895424000001</v>
          </cell>
          <cell r="G922">
            <v>73.804358116000003</v>
          </cell>
          <cell r="H922">
            <v>5.2909642734000002</v>
          </cell>
          <cell r="I922" t="str">
            <v>Air/Non-Local PT</v>
          </cell>
          <cell r="J922" t="str">
            <v>2027/28</v>
          </cell>
        </row>
        <row r="923">
          <cell r="A923" t="str">
            <v>13 CANTERBURY</v>
          </cell>
          <cell r="B923">
            <v>10</v>
          </cell>
          <cell r="C923">
            <v>2033</v>
          </cell>
          <cell r="D923">
            <v>99</v>
          </cell>
          <cell r="E923">
            <v>124</v>
          </cell>
          <cell r="F923">
            <v>3.2614293404999999</v>
          </cell>
          <cell r="G923">
            <v>80.899806182999995</v>
          </cell>
          <cell r="H923">
            <v>5.6719294713000004</v>
          </cell>
          <cell r="I923" t="str">
            <v>Air/Non-Local PT</v>
          </cell>
          <cell r="J923" t="str">
            <v>2032/33</v>
          </cell>
        </row>
        <row r="924">
          <cell r="A924" t="str">
            <v>13 CANTERBURY</v>
          </cell>
          <cell r="B924">
            <v>10</v>
          </cell>
          <cell r="C924">
            <v>2038</v>
          </cell>
          <cell r="D924">
            <v>99</v>
          </cell>
          <cell r="E924">
            <v>124</v>
          </cell>
          <cell r="F924">
            <v>3.3569232265000002</v>
          </cell>
          <cell r="G924">
            <v>84.583689781999993</v>
          </cell>
          <cell r="H924">
            <v>5.8303875609000002</v>
          </cell>
          <cell r="I924" t="str">
            <v>Air/Non-Local PT</v>
          </cell>
          <cell r="J924" t="str">
            <v>2037/38</v>
          </cell>
        </row>
        <row r="925">
          <cell r="A925" t="str">
            <v>13 CANTERBURY</v>
          </cell>
          <cell r="B925">
            <v>10</v>
          </cell>
          <cell r="C925">
            <v>2043</v>
          </cell>
          <cell r="D925">
            <v>99</v>
          </cell>
          <cell r="E925">
            <v>124</v>
          </cell>
          <cell r="F925">
            <v>3.4405027591000001</v>
          </cell>
          <cell r="G925">
            <v>87.638048335999997</v>
          </cell>
          <cell r="H925">
            <v>5.9554710280999998</v>
          </cell>
          <cell r="I925" t="str">
            <v>Air/Non-Local PT</v>
          </cell>
          <cell r="J925" t="str">
            <v>2042/43</v>
          </cell>
        </row>
        <row r="926">
          <cell r="A926" t="str">
            <v>13 CANTERBURY</v>
          </cell>
          <cell r="B926">
            <v>11</v>
          </cell>
          <cell r="C926">
            <v>2013</v>
          </cell>
          <cell r="D926">
            <v>113</v>
          </cell>
          <cell r="E926">
            <v>551</v>
          </cell>
          <cell r="F926">
            <v>9.2459779483000002</v>
          </cell>
          <cell r="G926">
            <v>114.47945472000001</v>
          </cell>
          <cell r="H926">
            <v>3.3743770355999998</v>
          </cell>
          <cell r="I926" t="str">
            <v>Non-Household Travel</v>
          </cell>
          <cell r="J926" t="str">
            <v>2012/13</v>
          </cell>
        </row>
        <row r="927">
          <cell r="A927" t="str">
            <v>13 CANTERBURY</v>
          </cell>
          <cell r="B927">
            <v>11</v>
          </cell>
          <cell r="C927">
            <v>2018</v>
          </cell>
          <cell r="D927">
            <v>113</v>
          </cell>
          <cell r="E927">
            <v>551</v>
          </cell>
          <cell r="F927">
            <v>9.3696527052</v>
          </cell>
          <cell r="G927">
            <v>118.59818945000001</v>
          </cell>
          <cell r="H927">
            <v>3.5151121293999998</v>
          </cell>
          <cell r="I927" t="str">
            <v>Non-Household Travel</v>
          </cell>
          <cell r="J927" t="str">
            <v>2017/18</v>
          </cell>
        </row>
        <row r="928">
          <cell r="A928" t="str">
            <v>13 CANTERBURY</v>
          </cell>
          <cell r="B928">
            <v>11</v>
          </cell>
          <cell r="C928">
            <v>2023</v>
          </cell>
          <cell r="D928">
            <v>113</v>
          </cell>
          <cell r="E928">
            <v>551</v>
          </cell>
          <cell r="F928">
            <v>9.9195921618000007</v>
          </cell>
          <cell r="G928">
            <v>128.00311092999999</v>
          </cell>
          <cell r="H928">
            <v>3.8158654546999999</v>
          </cell>
          <cell r="I928" t="str">
            <v>Non-Household Travel</v>
          </cell>
          <cell r="J928" t="str">
            <v>2022/23</v>
          </cell>
        </row>
        <row r="929">
          <cell r="A929" t="str">
            <v>13 CANTERBURY</v>
          </cell>
          <cell r="B929">
            <v>11</v>
          </cell>
          <cell r="C929">
            <v>2028</v>
          </cell>
          <cell r="D929">
            <v>113</v>
          </cell>
          <cell r="E929">
            <v>551</v>
          </cell>
          <cell r="F929">
            <v>10.167972597</v>
          </cell>
          <cell r="G929">
            <v>134.22637900999999</v>
          </cell>
          <cell r="H929">
            <v>4.0085094402000001</v>
          </cell>
          <cell r="I929" t="str">
            <v>Non-Household Travel</v>
          </cell>
          <cell r="J929" t="str">
            <v>2027/28</v>
          </cell>
        </row>
        <row r="930">
          <cell r="A930" t="str">
            <v>13 CANTERBURY</v>
          </cell>
          <cell r="B930">
            <v>11</v>
          </cell>
          <cell r="C930">
            <v>2033</v>
          </cell>
          <cell r="D930">
            <v>113</v>
          </cell>
          <cell r="E930">
            <v>551</v>
          </cell>
          <cell r="F930">
            <v>10.531856654</v>
          </cell>
          <cell r="G930">
            <v>140.23360414999999</v>
          </cell>
          <cell r="H930">
            <v>4.2154899793</v>
          </cell>
          <cell r="I930" t="str">
            <v>Non-Household Travel</v>
          </cell>
          <cell r="J930" t="str">
            <v>2032/33</v>
          </cell>
        </row>
        <row r="931">
          <cell r="A931" t="str">
            <v>13 CANTERBURY</v>
          </cell>
          <cell r="B931">
            <v>11</v>
          </cell>
          <cell r="C931">
            <v>2038</v>
          </cell>
          <cell r="D931">
            <v>113</v>
          </cell>
          <cell r="E931">
            <v>551</v>
          </cell>
          <cell r="F931">
            <v>10.937415054000001</v>
          </cell>
          <cell r="G931">
            <v>143.83106004000001</v>
          </cell>
          <cell r="H931">
            <v>4.3405341289999999</v>
          </cell>
          <cell r="I931" t="str">
            <v>Non-Household Travel</v>
          </cell>
          <cell r="J931" t="str">
            <v>2037/38</v>
          </cell>
        </row>
        <row r="932">
          <cell r="A932" t="str">
            <v>13 CANTERBURY</v>
          </cell>
          <cell r="B932">
            <v>11</v>
          </cell>
          <cell r="C932">
            <v>2043</v>
          </cell>
          <cell r="D932">
            <v>113</v>
          </cell>
          <cell r="E932">
            <v>551</v>
          </cell>
          <cell r="F932">
            <v>11.359577198</v>
          </cell>
          <cell r="G932">
            <v>147.29362555</v>
          </cell>
          <cell r="H932">
            <v>4.4599050046000004</v>
          </cell>
          <cell r="I932" t="str">
            <v>Non-Household Travel</v>
          </cell>
          <cell r="J932" t="str">
            <v>2042/43</v>
          </cell>
        </row>
        <row r="933">
          <cell r="A933" t="str">
            <v>14 OTAGO</v>
          </cell>
          <cell r="B933">
            <v>0</v>
          </cell>
          <cell r="C933">
            <v>2013</v>
          </cell>
          <cell r="D933">
            <v>545</v>
          </cell>
          <cell r="E933">
            <v>2150</v>
          </cell>
          <cell r="F933">
            <v>58.261736425999999</v>
          </cell>
          <cell r="G933">
            <v>45.829100335</v>
          </cell>
          <cell r="H933">
            <v>11.651603939999999</v>
          </cell>
          <cell r="I933" t="str">
            <v>Pedestrian</v>
          </cell>
          <cell r="J933" t="str">
            <v>2012/13</v>
          </cell>
        </row>
        <row r="934">
          <cell r="A934" t="str">
            <v>14 OTAGO</v>
          </cell>
          <cell r="B934">
            <v>0</v>
          </cell>
          <cell r="C934">
            <v>2018</v>
          </cell>
          <cell r="D934">
            <v>545</v>
          </cell>
          <cell r="E934">
            <v>2150</v>
          </cell>
          <cell r="F934">
            <v>54.287146602</v>
          </cell>
          <cell r="G934">
            <v>42.279196642999999</v>
          </cell>
          <cell r="H934">
            <v>10.937242764000001</v>
          </cell>
          <cell r="I934" t="str">
            <v>Pedestrian</v>
          </cell>
          <cell r="J934" t="str">
            <v>2017/18</v>
          </cell>
        </row>
        <row r="935">
          <cell r="A935" t="str">
            <v>14 OTAGO</v>
          </cell>
          <cell r="B935">
            <v>0</v>
          </cell>
          <cell r="C935">
            <v>2023</v>
          </cell>
          <cell r="D935">
            <v>545</v>
          </cell>
          <cell r="E935">
            <v>2150</v>
          </cell>
          <cell r="F935">
            <v>54.728982379000001</v>
          </cell>
          <cell r="G935">
            <v>42.279293553000002</v>
          </cell>
          <cell r="H935">
            <v>11.112111855</v>
          </cell>
          <cell r="I935" t="str">
            <v>Pedestrian</v>
          </cell>
          <cell r="J935" t="str">
            <v>2022/23</v>
          </cell>
        </row>
        <row r="936">
          <cell r="A936" t="str">
            <v>14 OTAGO</v>
          </cell>
          <cell r="B936">
            <v>0</v>
          </cell>
          <cell r="C936">
            <v>2028</v>
          </cell>
          <cell r="D936">
            <v>545</v>
          </cell>
          <cell r="E936">
            <v>2150</v>
          </cell>
          <cell r="F936">
            <v>52.528809662999997</v>
          </cell>
          <cell r="G936">
            <v>40.345203703000003</v>
          </cell>
          <cell r="H936">
            <v>10.789124656</v>
          </cell>
          <cell r="I936" t="str">
            <v>Pedestrian</v>
          </cell>
          <cell r="J936" t="str">
            <v>2027/28</v>
          </cell>
        </row>
        <row r="937">
          <cell r="A937" t="str">
            <v>14 OTAGO</v>
          </cell>
          <cell r="B937">
            <v>0</v>
          </cell>
          <cell r="C937">
            <v>2033</v>
          </cell>
          <cell r="D937">
            <v>545</v>
          </cell>
          <cell r="E937">
            <v>2150</v>
          </cell>
          <cell r="F937">
            <v>50.579572689999999</v>
          </cell>
          <cell r="G937">
            <v>38.686542922999998</v>
          </cell>
          <cell r="H937">
            <v>10.486888782999999</v>
          </cell>
          <cell r="I937" t="str">
            <v>Pedestrian</v>
          </cell>
          <cell r="J937" t="str">
            <v>2032/33</v>
          </cell>
        </row>
        <row r="938">
          <cell r="A938" t="str">
            <v>14 OTAGO</v>
          </cell>
          <cell r="B938">
            <v>0</v>
          </cell>
          <cell r="C938">
            <v>2038</v>
          </cell>
          <cell r="D938">
            <v>545</v>
          </cell>
          <cell r="E938">
            <v>2150</v>
          </cell>
          <cell r="F938">
            <v>48.370310379999999</v>
          </cell>
          <cell r="G938">
            <v>37.143858848999997</v>
          </cell>
          <cell r="H938">
            <v>10.173651181</v>
          </cell>
          <cell r="I938" t="str">
            <v>Pedestrian</v>
          </cell>
          <cell r="J938" t="str">
            <v>2037/38</v>
          </cell>
        </row>
        <row r="939">
          <cell r="A939" t="str">
            <v>14 OTAGO</v>
          </cell>
          <cell r="B939">
            <v>0</v>
          </cell>
          <cell r="C939">
            <v>2043</v>
          </cell>
          <cell r="D939">
            <v>545</v>
          </cell>
          <cell r="E939">
            <v>2150</v>
          </cell>
          <cell r="F939">
            <v>46.452441802000003</v>
          </cell>
          <cell r="G939">
            <v>35.864552308</v>
          </cell>
          <cell r="H939">
            <v>9.9136827927999995</v>
          </cell>
          <cell r="I939" t="str">
            <v>Pedestrian</v>
          </cell>
          <cell r="J939" t="str">
            <v>2042/43</v>
          </cell>
        </row>
        <row r="940">
          <cell r="A940" t="str">
            <v>14 OTAGO</v>
          </cell>
          <cell r="B940">
            <v>1</v>
          </cell>
          <cell r="C940">
            <v>2013</v>
          </cell>
          <cell r="D940">
            <v>52</v>
          </cell>
          <cell r="E940">
            <v>151</v>
          </cell>
          <cell r="F940">
            <v>4.5847179276999999</v>
          </cell>
          <cell r="G940">
            <v>16.325352069000001</v>
          </cell>
          <cell r="H940">
            <v>1.6089304994</v>
          </cell>
          <cell r="I940" t="str">
            <v>Cyclist</v>
          </cell>
          <cell r="J940" t="str">
            <v>2012/13</v>
          </cell>
        </row>
        <row r="941">
          <cell r="A941" t="str">
            <v>14 OTAGO</v>
          </cell>
          <cell r="B941">
            <v>1</v>
          </cell>
          <cell r="C941">
            <v>2018</v>
          </cell>
          <cell r="D941">
            <v>52</v>
          </cell>
          <cell r="E941">
            <v>151</v>
          </cell>
          <cell r="F941">
            <v>4.3579715829000003</v>
          </cell>
          <cell r="G941">
            <v>16.636352073000001</v>
          </cell>
          <cell r="H941">
            <v>1.6077200387999999</v>
          </cell>
          <cell r="I941" t="str">
            <v>Cyclist</v>
          </cell>
          <cell r="J941" t="str">
            <v>2017/18</v>
          </cell>
        </row>
        <row r="942">
          <cell r="A942" t="str">
            <v>14 OTAGO</v>
          </cell>
          <cell r="B942">
            <v>1</v>
          </cell>
          <cell r="C942">
            <v>2023</v>
          </cell>
          <cell r="D942">
            <v>52</v>
          </cell>
          <cell r="E942">
            <v>151</v>
          </cell>
          <cell r="F942">
            <v>4.4352158516999998</v>
          </cell>
          <cell r="G942">
            <v>18.061923226000001</v>
          </cell>
          <cell r="H942">
            <v>1.7181957366</v>
          </cell>
          <cell r="I942" t="str">
            <v>Cyclist</v>
          </cell>
          <cell r="J942" t="str">
            <v>2022/23</v>
          </cell>
        </row>
        <row r="943">
          <cell r="A943" t="str">
            <v>14 OTAGO</v>
          </cell>
          <cell r="B943">
            <v>1</v>
          </cell>
          <cell r="C943">
            <v>2028</v>
          </cell>
          <cell r="D943">
            <v>52</v>
          </cell>
          <cell r="E943">
            <v>151</v>
          </cell>
          <cell r="F943">
            <v>4.1764183595000004</v>
          </cell>
          <cell r="G943">
            <v>17.909257646</v>
          </cell>
          <cell r="H943">
            <v>1.6719917342999999</v>
          </cell>
          <cell r="I943" t="str">
            <v>Cyclist</v>
          </cell>
          <cell r="J943" t="str">
            <v>2027/28</v>
          </cell>
        </row>
        <row r="944">
          <cell r="A944" t="str">
            <v>14 OTAGO</v>
          </cell>
          <cell r="B944">
            <v>1</v>
          </cell>
          <cell r="C944">
            <v>2033</v>
          </cell>
          <cell r="D944">
            <v>52</v>
          </cell>
          <cell r="E944">
            <v>151</v>
          </cell>
          <cell r="F944">
            <v>3.9884301282000001</v>
          </cell>
          <cell r="G944">
            <v>17.616765740999998</v>
          </cell>
          <cell r="H944">
            <v>1.6311057726</v>
          </cell>
          <cell r="I944" t="str">
            <v>Cyclist</v>
          </cell>
          <cell r="J944" t="str">
            <v>2032/33</v>
          </cell>
        </row>
        <row r="945">
          <cell r="A945" t="str">
            <v>14 OTAGO</v>
          </cell>
          <cell r="B945">
            <v>1</v>
          </cell>
          <cell r="C945">
            <v>2038</v>
          </cell>
          <cell r="D945">
            <v>52</v>
          </cell>
          <cell r="E945">
            <v>151</v>
          </cell>
          <cell r="F945">
            <v>3.8280133262999998</v>
          </cell>
          <cell r="G945">
            <v>17.268311416</v>
          </cell>
          <cell r="H945">
            <v>1.6038302960999999</v>
          </cell>
          <cell r="I945" t="str">
            <v>Cyclist</v>
          </cell>
          <cell r="J945" t="str">
            <v>2037/38</v>
          </cell>
        </row>
        <row r="946">
          <cell r="A946" t="str">
            <v>14 OTAGO</v>
          </cell>
          <cell r="B946">
            <v>1</v>
          </cell>
          <cell r="C946">
            <v>2043</v>
          </cell>
          <cell r="D946">
            <v>52</v>
          </cell>
          <cell r="E946">
            <v>151</v>
          </cell>
          <cell r="F946">
            <v>3.6575988158000001</v>
          </cell>
          <cell r="G946">
            <v>16.811140774999998</v>
          </cell>
          <cell r="H946">
            <v>1.5706331404</v>
          </cell>
          <cell r="I946" t="str">
            <v>Cyclist</v>
          </cell>
          <cell r="J946" t="str">
            <v>2042/43</v>
          </cell>
        </row>
        <row r="947">
          <cell r="A947" t="str">
            <v>14 OTAGO</v>
          </cell>
          <cell r="B947">
            <v>2</v>
          </cell>
          <cell r="C947">
            <v>2013</v>
          </cell>
          <cell r="D947">
            <v>734</v>
          </cell>
          <cell r="E947">
            <v>5488</v>
          </cell>
          <cell r="F947">
            <v>150.49144967999999</v>
          </cell>
          <cell r="G947">
            <v>1192.1699989000001</v>
          </cell>
          <cell r="H947">
            <v>32.522387277</v>
          </cell>
          <cell r="I947" t="str">
            <v>Light Vehicle Driver</v>
          </cell>
          <cell r="J947" t="str">
            <v>2012/13</v>
          </cell>
        </row>
        <row r="948">
          <cell r="A948" t="str">
            <v>14 OTAGO</v>
          </cell>
          <cell r="B948">
            <v>2</v>
          </cell>
          <cell r="C948">
            <v>2018</v>
          </cell>
          <cell r="D948">
            <v>734</v>
          </cell>
          <cell r="E948">
            <v>5488</v>
          </cell>
          <cell r="F948">
            <v>143.18840872000001</v>
          </cell>
          <cell r="G948">
            <v>1173.5840929000001</v>
          </cell>
          <cell r="H948">
            <v>31.574441053000001</v>
          </cell>
          <cell r="I948" t="str">
            <v>Light Vehicle Driver</v>
          </cell>
          <cell r="J948" t="str">
            <v>2017/18</v>
          </cell>
        </row>
        <row r="949">
          <cell r="A949" t="str">
            <v>14 OTAGO</v>
          </cell>
          <cell r="B949">
            <v>2</v>
          </cell>
          <cell r="C949">
            <v>2023</v>
          </cell>
          <cell r="D949">
            <v>734</v>
          </cell>
          <cell r="E949">
            <v>5488</v>
          </cell>
          <cell r="F949">
            <v>147.76012986000001</v>
          </cell>
          <cell r="G949">
            <v>1254.6524787999999</v>
          </cell>
          <cell r="H949">
            <v>33.220509413000002</v>
          </cell>
          <cell r="I949" t="str">
            <v>Light Vehicle Driver</v>
          </cell>
          <cell r="J949" t="str">
            <v>2022/23</v>
          </cell>
        </row>
        <row r="950">
          <cell r="A950" t="str">
            <v>14 OTAGO</v>
          </cell>
          <cell r="B950">
            <v>2</v>
          </cell>
          <cell r="C950">
            <v>2028</v>
          </cell>
          <cell r="D950">
            <v>734</v>
          </cell>
          <cell r="E950">
            <v>5488</v>
          </cell>
          <cell r="F950">
            <v>147.83028272000001</v>
          </cell>
          <cell r="G950">
            <v>1287.5188254</v>
          </cell>
          <cell r="H950">
            <v>33.706942269999999</v>
          </cell>
          <cell r="I950" t="str">
            <v>Light Vehicle Driver</v>
          </cell>
          <cell r="J950" t="str">
            <v>2027/28</v>
          </cell>
        </row>
        <row r="951">
          <cell r="A951" t="str">
            <v>14 OTAGO</v>
          </cell>
          <cell r="B951">
            <v>2</v>
          </cell>
          <cell r="C951">
            <v>2033</v>
          </cell>
          <cell r="D951">
            <v>734</v>
          </cell>
          <cell r="E951">
            <v>5488</v>
          </cell>
          <cell r="F951">
            <v>146.98525810000001</v>
          </cell>
          <cell r="G951">
            <v>1316.0629550000001</v>
          </cell>
          <cell r="H951">
            <v>34.017639709999997</v>
          </cell>
          <cell r="I951" t="str">
            <v>Light Vehicle Driver</v>
          </cell>
          <cell r="J951" t="str">
            <v>2032/33</v>
          </cell>
        </row>
        <row r="952">
          <cell r="A952" t="str">
            <v>14 OTAGO</v>
          </cell>
          <cell r="B952">
            <v>2</v>
          </cell>
          <cell r="C952">
            <v>2038</v>
          </cell>
          <cell r="D952">
            <v>734</v>
          </cell>
          <cell r="E952">
            <v>5488</v>
          </cell>
          <cell r="F952">
            <v>143.30428135</v>
          </cell>
          <cell r="G952">
            <v>1335.7204564000001</v>
          </cell>
          <cell r="H952">
            <v>33.888697049999998</v>
          </cell>
          <cell r="I952" t="str">
            <v>Light Vehicle Driver</v>
          </cell>
          <cell r="J952" t="str">
            <v>2037/38</v>
          </cell>
        </row>
        <row r="953">
          <cell r="A953" t="str">
            <v>14 OTAGO</v>
          </cell>
          <cell r="B953">
            <v>2</v>
          </cell>
          <cell r="C953">
            <v>2043</v>
          </cell>
          <cell r="D953">
            <v>734</v>
          </cell>
          <cell r="E953">
            <v>5488</v>
          </cell>
          <cell r="F953">
            <v>139.43080549999999</v>
          </cell>
          <cell r="G953">
            <v>1353.7958186000001</v>
          </cell>
          <cell r="H953">
            <v>33.696872998000003</v>
          </cell>
          <cell r="I953" t="str">
            <v>Light Vehicle Driver</v>
          </cell>
          <cell r="J953" t="str">
            <v>2042/43</v>
          </cell>
        </row>
        <row r="954">
          <cell r="A954" t="str">
            <v>14 OTAGO</v>
          </cell>
          <cell r="B954">
            <v>3</v>
          </cell>
          <cell r="C954">
            <v>2013</v>
          </cell>
          <cell r="D954">
            <v>543</v>
          </cell>
          <cell r="E954">
            <v>2595</v>
          </cell>
          <cell r="F954">
            <v>71.232164202000007</v>
          </cell>
          <cell r="G954">
            <v>849.31688999999994</v>
          </cell>
          <cell r="H954">
            <v>19.901766343999999</v>
          </cell>
          <cell r="I954" t="str">
            <v>Light Vehicle Passenger</v>
          </cell>
          <cell r="J954" t="str">
            <v>2012/13</v>
          </cell>
        </row>
        <row r="955">
          <cell r="A955" t="str">
            <v>14 OTAGO</v>
          </cell>
          <cell r="B955">
            <v>3</v>
          </cell>
          <cell r="C955">
            <v>2018</v>
          </cell>
          <cell r="D955">
            <v>543</v>
          </cell>
          <cell r="E955">
            <v>2595</v>
          </cell>
          <cell r="F955">
            <v>65.037863856000001</v>
          </cell>
          <cell r="G955">
            <v>802.45047210999996</v>
          </cell>
          <cell r="H955">
            <v>18.584077365999999</v>
          </cell>
          <cell r="I955" t="str">
            <v>Light Vehicle Passenger</v>
          </cell>
          <cell r="J955" t="str">
            <v>2017/18</v>
          </cell>
        </row>
        <row r="956">
          <cell r="A956" t="str">
            <v>14 OTAGO</v>
          </cell>
          <cell r="B956">
            <v>3</v>
          </cell>
          <cell r="C956">
            <v>2023</v>
          </cell>
          <cell r="D956">
            <v>543</v>
          </cell>
          <cell r="E956">
            <v>2595</v>
          </cell>
          <cell r="F956">
            <v>65.592450701999994</v>
          </cell>
          <cell r="G956">
            <v>832.79782103000002</v>
          </cell>
          <cell r="H956">
            <v>19.066405707000001</v>
          </cell>
          <cell r="I956" t="str">
            <v>Light Vehicle Passenger</v>
          </cell>
          <cell r="J956" t="str">
            <v>2022/23</v>
          </cell>
        </row>
        <row r="957">
          <cell r="A957" t="str">
            <v>14 OTAGO</v>
          </cell>
          <cell r="B957">
            <v>3</v>
          </cell>
          <cell r="C957">
            <v>2028</v>
          </cell>
          <cell r="D957">
            <v>543</v>
          </cell>
          <cell r="E957">
            <v>2595</v>
          </cell>
          <cell r="F957">
            <v>63.239191171999998</v>
          </cell>
          <cell r="G957">
            <v>824.61281871999995</v>
          </cell>
          <cell r="H957">
            <v>18.662773189999999</v>
          </cell>
          <cell r="I957" t="str">
            <v>Light Vehicle Passenger</v>
          </cell>
          <cell r="J957" t="str">
            <v>2027/28</v>
          </cell>
        </row>
        <row r="958">
          <cell r="A958" t="str">
            <v>14 OTAGO</v>
          </cell>
          <cell r="B958">
            <v>3</v>
          </cell>
          <cell r="C958">
            <v>2033</v>
          </cell>
          <cell r="D958">
            <v>543</v>
          </cell>
          <cell r="E958">
            <v>2595</v>
          </cell>
          <cell r="F958">
            <v>61.196358312999998</v>
          </cell>
          <cell r="G958">
            <v>811.53279221000003</v>
          </cell>
          <cell r="H958">
            <v>18.213916106999999</v>
          </cell>
          <cell r="I958" t="str">
            <v>Light Vehicle Passenger</v>
          </cell>
          <cell r="J958" t="str">
            <v>2032/33</v>
          </cell>
        </row>
        <row r="959">
          <cell r="A959" t="str">
            <v>14 OTAGO</v>
          </cell>
          <cell r="B959">
            <v>3</v>
          </cell>
          <cell r="C959">
            <v>2038</v>
          </cell>
          <cell r="D959">
            <v>543</v>
          </cell>
          <cell r="E959">
            <v>2595</v>
          </cell>
          <cell r="F959">
            <v>58.683979483000002</v>
          </cell>
          <cell r="G959">
            <v>800.01019231999999</v>
          </cell>
          <cell r="H959">
            <v>17.815293070999999</v>
          </cell>
          <cell r="I959" t="str">
            <v>Light Vehicle Passenger</v>
          </cell>
          <cell r="J959" t="str">
            <v>2037/38</v>
          </cell>
        </row>
        <row r="960">
          <cell r="A960" t="str">
            <v>14 OTAGO</v>
          </cell>
          <cell r="B960">
            <v>3</v>
          </cell>
          <cell r="C960">
            <v>2043</v>
          </cell>
          <cell r="D960">
            <v>543</v>
          </cell>
          <cell r="E960">
            <v>2595</v>
          </cell>
          <cell r="F960">
            <v>56.229205485999998</v>
          </cell>
          <cell r="G960">
            <v>787.86059286</v>
          </cell>
          <cell r="H960">
            <v>17.409505217</v>
          </cell>
          <cell r="I960" t="str">
            <v>Light Vehicle Passenger</v>
          </cell>
          <cell r="J960" t="str">
            <v>2042/43</v>
          </cell>
        </row>
        <row r="961">
          <cell r="A961" t="str">
            <v>14 OTAGO</v>
          </cell>
          <cell r="B961">
            <v>4</v>
          </cell>
          <cell r="C961">
            <v>2013</v>
          </cell>
          <cell r="D961">
            <v>21</v>
          </cell>
          <cell r="E961">
            <v>36</v>
          </cell>
          <cell r="F961">
            <v>0.85820748670000002</v>
          </cell>
          <cell r="G961">
            <v>7.2892681777000004</v>
          </cell>
          <cell r="H961">
            <v>0.23496676969999999</v>
          </cell>
          <cell r="J961" t="str">
            <v>2012/13</v>
          </cell>
        </row>
        <row r="962">
          <cell r="A962" t="str">
            <v>14 OTAGO</v>
          </cell>
          <cell r="B962">
            <v>4</v>
          </cell>
          <cell r="C962">
            <v>2018</v>
          </cell>
          <cell r="D962">
            <v>21</v>
          </cell>
          <cell r="E962">
            <v>36</v>
          </cell>
          <cell r="F962">
            <v>0.77659262890000003</v>
          </cell>
          <cell r="G962">
            <v>6.6800776725000004</v>
          </cell>
          <cell r="H962">
            <v>0.2172654836</v>
          </cell>
          <cell r="J962" t="str">
            <v>2017/18</v>
          </cell>
        </row>
        <row r="963">
          <cell r="A963" t="str">
            <v>14 OTAGO</v>
          </cell>
          <cell r="B963">
            <v>4</v>
          </cell>
          <cell r="C963">
            <v>2023</v>
          </cell>
          <cell r="D963">
            <v>21</v>
          </cell>
          <cell r="E963">
            <v>36</v>
          </cell>
          <cell r="F963">
            <v>0.75199531259999997</v>
          </cell>
          <cell r="G963">
            <v>6.8703789972999996</v>
          </cell>
          <cell r="H963">
            <v>0.2236081946</v>
          </cell>
          <cell r="J963" t="str">
            <v>2022/23</v>
          </cell>
        </row>
        <row r="964">
          <cell r="A964" t="str">
            <v>14 OTAGO</v>
          </cell>
          <cell r="B964">
            <v>4</v>
          </cell>
          <cell r="C964">
            <v>2028</v>
          </cell>
          <cell r="D964">
            <v>21</v>
          </cell>
          <cell r="E964">
            <v>36</v>
          </cell>
          <cell r="F964">
            <v>0.69849640930000001</v>
          </cell>
          <cell r="G964">
            <v>6.4443649616999998</v>
          </cell>
          <cell r="H964">
            <v>0.21117821780000001</v>
          </cell>
          <cell r="J964" t="str">
            <v>2027/28</v>
          </cell>
        </row>
        <row r="965">
          <cell r="A965" t="str">
            <v>14 OTAGO</v>
          </cell>
          <cell r="B965">
            <v>4</v>
          </cell>
          <cell r="C965">
            <v>2033</v>
          </cell>
          <cell r="D965">
            <v>21</v>
          </cell>
          <cell r="E965">
            <v>36</v>
          </cell>
          <cell r="F965">
            <v>0.65359314769999999</v>
          </cell>
          <cell r="G965">
            <v>6.0025823186</v>
          </cell>
          <cell r="H965">
            <v>0.19775408880000001</v>
          </cell>
          <cell r="J965" t="str">
            <v>2032/33</v>
          </cell>
        </row>
        <row r="966">
          <cell r="A966" t="str">
            <v>14 OTAGO</v>
          </cell>
          <cell r="B966">
            <v>4</v>
          </cell>
          <cell r="C966">
            <v>2038</v>
          </cell>
          <cell r="D966">
            <v>21</v>
          </cell>
          <cell r="E966">
            <v>36</v>
          </cell>
          <cell r="F966">
            <v>0.57970852279999996</v>
          </cell>
          <cell r="G966">
            <v>5.2623027121000003</v>
          </cell>
          <cell r="H966">
            <v>0.17428121799999999</v>
          </cell>
          <cell r="J966" t="str">
            <v>2037/38</v>
          </cell>
        </row>
        <row r="967">
          <cell r="A967" t="str">
            <v>14 OTAGO</v>
          </cell>
          <cell r="B967">
            <v>4</v>
          </cell>
          <cell r="C967">
            <v>2043</v>
          </cell>
          <cell r="D967">
            <v>21</v>
          </cell>
          <cell r="E967">
            <v>36</v>
          </cell>
          <cell r="F967">
            <v>0.50574271849999997</v>
          </cell>
          <cell r="G967">
            <v>4.4791140186999998</v>
          </cell>
          <cell r="H967">
            <v>0.14912383000000001</v>
          </cell>
          <cell r="J967" t="str">
            <v>2042/43</v>
          </cell>
        </row>
        <row r="968">
          <cell r="A968" t="str">
            <v>14 OTAGO</v>
          </cell>
          <cell r="B968">
            <v>5</v>
          </cell>
          <cell r="C968">
            <v>2013</v>
          </cell>
          <cell r="D968">
            <v>12</v>
          </cell>
          <cell r="E968">
            <v>57</v>
          </cell>
          <cell r="F968">
            <v>2.0937246197000001</v>
          </cell>
          <cell r="G968">
            <v>18.503357486999999</v>
          </cell>
          <cell r="H968">
            <v>0.42545310469999997</v>
          </cell>
          <cell r="I968" t="str">
            <v>Motorcyclist</v>
          </cell>
          <cell r="J968" t="str">
            <v>2012/13</v>
          </cell>
        </row>
        <row r="969">
          <cell r="A969" t="str">
            <v>14 OTAGO</v>
          </cell>
          <cell r="B969">
            <v>5</v>
          </cell>
          <cell r="C969">
            <v>2018</v>
          </cell>
          <cell r="D969">
            <v>12</v>
          </cell>
          <cell r="E969">
            <v>57</v>
          </cell>
          <cell r="F969">
            <v>1.9403006162000001</v>
          </cell>
          <cell r="G969">
            <v>18.927533515</v>
          </cell>
          <cell r="H969">
            <v>0.42004915929999997</v>
          </cell>
          <cell r="I969" t="str">
            <v>Motorcyclist</v>
          </cell>
          <cell r="J969" t="str">
            <v>2017/18</v>
          </cell>
        </row>
        <row r="970">
          <cell r="A970" t="str">
            <v>14 OTAGO</v>
          </cell>
          <cell r="B970">
            <v>5</v>
          </cell>
          <cell r="C970">
            <v>2023</v>
          </cell>
          <cell r="D970">
            <v>12</v>
          </cell>
          <cell r="E970">
            <v>57</v>
          </cell>
          <cell r="F970">
            <v>1.9016865743</v>
          </cell>
          <cell r="G970">
            <v>20.555668219000001</v>
          </cell>
          <cell r="H970">
            <v>0.43950189579999999</v>
          </cell>
          <cell r="I970" t="str">
            <v>Motorcyclist</v>
          </cell>
          <cell r="J970" t="str">
            <v>2022/23</v>
          </cell>
        </row>
        <row r="971">
          <cell r="A971" t="str">
            <v>14 OTAGO</v>
          </cell>
          <cell r="B971">
            <v>5</v>
          </cell>
          <cell r="C971">
            <v>2028</v>
          </cell>
          <cell r="D971">
            <v>12</v>
          </cell>
          <cell r="E971">
            <v>57</v>
          </cell>
          <cell r="F971">
            <v>1.7451137674999999</v>
          </cell>
          <cell r="G971">
            <v>21.055172260999999</v>
          </cell>
          <cell r="H971">
            <v>0.43578319879999999</v>
          </cell>
          <cell r="I971" t="str">
            <v>Motorcyclist</v>
          </cell>
          <cell r="J971" t="str">
            <v>2027/28</v>
          </cell>
        </row>
        <row r="972">
          <cell r="A972" t="str">
            <v>14 OTAGO</v>
          </cell>
          <cell r="B972">
            <v>5</v>
          </cell>
          <cell r="C972">
            <v>2033</v>
          </cell>
          <cell r="D972">
            <v>12</v>
          </cell>
          <cell r="E972">
            <v>57</v>
          </cell>
          <cell r="F972">
            <v>1.5557509677000001</v>
          </cell>
          <cell r="G972">
            <v>20.81068441</v>
          </cell>
          <cell r="H972">
            <v>0.42053984589999999</v>
          </cell>
          <cell r="I972" t="str">
            <v>Motorcyclist</v>
          </cell>
          <cell r="J972" t="str">
            <v>2032/33</v>
          </cell>
        </row>
        <row r="973">
          <cell r="A973" t="str">
            <v>14 OTAGO</v>
          </cell>
          <cell r="B973">
            <v>5</v>
          </cell>
          <cell r="C973">
            <v>2038</v>
          </cell>
          <cell r="D973">
            <v>12</v>
          </cell>
          <cell r="E973">
            <v>57</v>
          </cell>
          <cell r="F973">
            <v>1.3527275229</v>
          </cell>
          <cell r="G973">
            <v>19.810193035000001</v>
          </cell>
          <cell r="H973">
            <v>0.39371196339999998</v>
          </cell>
          <cell r="I973" t="str">
            <v>Motorcyclist</v>
          </cell>
          <cell r="J973" t="str">
            <v>2037/38</v>
          </cell>
        </row>
        <row r="974">
          <cell r="A974" t="str">
            <v>14 OTAGO</v>
          </cell>
          <cell r="B974">
            <v>5</v>
          </cell>
          <cell r="C974">
            <v>2043</v>
          </cell>
          <cell r="D974">
            <v>12</v>
          </cell>
          <cell r="E974">
            <v>57</v>
          </cell>
          <cell r="F974">
            <v>1.1668111465</v>
          </cell>
          <cell r="G974">
            <v>18.664028598000002</v>
          </cell>
          <cell r="H974">
            <v>0.36515099150000002</v>
          </cell>
          <cell r="I974" t="str">
            <v>Motorcyclist</v>
          </cell>
          <cell r="J974" t="str">
            <v>2042/43</v>
          </cell>
        </row>
        <row r="975">
          <cell r="A975" t="str">
            <v>14 OTAGO</v>
          </cell>
          <cell r="B975">
            <v>7</v>
          </cell>
          <cell r="C975">
            <v>2013</v>
          </cell>
          <cell r="D975">
            <v>70</v>
          </cell>
          <cell r="E975">
            <v>148</v>
          </cell>
          <cell r="F975">
            <v>4.2627057848999996</v>
          </cell>
          <cell r="G975">
            <v>27.157477096000001</v>
          </cell>
          <cell r="H975">
            <v>1.347401772</v>
          </cell>
          <cell r="I975" t="str">
            <v>Local Bus</v>
          </cell>
          <cell r="J975" t="str">
            <v>2012/13</v>
          </cell>
        </row>
        <row r="976">
          <cell r="A976" t="str">
            <v>14 OTAGO</v>
          </cell>
          <cell r="B976">
            <v>7</v>
          </cell>
          <cell r="C976">
            <v>2018</v>
          </cell>
          <cell r="D976">
            <v>70</v>
          </cell>
          <cell r="E976">
            <v>148</v>
          </cell>
          <cell r="F976">
            <v>3.7319360836</v>
          </cell>
          <cell r="G976">
            <v>24.968782674</v>
          </cell>
          <cell r="H976">
            <v>1.1953449416999999</v>
          </cell>
          <cell r="I976" t="str">
            <v>Local Bus</v>
          </cell>
          <cell r="J976" t="str">
            <v>2017/18</v>
          </cell>
        </row>
        <row r="977">
          <cell r="A977" t="str">
            <v>14 OTAGO</v>
          </cell>
          <cell r="B977">
            <v>7</v>
          </cell>
          <cell r="C977">
            <v>2023</v>
          </cell>
          <cell r="D977">
            <v>70</v>
          </cell>
          <cell r="E977">
            <v>148</v>
          </cell>
          <cell r="F977">
            <v>3.5728952671999998</v>
          </cell>
          <cell r="G977">
            <v>24.954080253000001</v>
          </cell>
          <cell r="H977">
            <v>1.1643813971000001</v>
          </cell>
          <cell r="I977" t="str">
            <v>Local Bus</v>
          </cell>
          <cell r="J977" t="str">
            <v>2022/23</v>
          </cell>
        </row>
        <row r="978">
          <cell r="A978" t="str">
            <v>14 OTAGO</v>
          </cell>
          <cell r="B978">
            <v>7</v>
          </cell>
          <cell r="C978">
            <v>2028</v>
          </cell>
          <cell r="D978">
            <v>70</v>
          </cell>
          <cell r="E978">
            <v>148</v>
          </cell>
          <cell r="F978">
            <v>3.3080024543</v>
          </cell>
          <cell r="G978">
            <v>23.655818579000002</v>
          </cell>
          <cell r="H978">
            <v>1.0843476504</v>
          </cell>
          <cell r="I978" t="str">
            <v>Local Bus</v>
          </cell>
          <cell r="J978" t="str">
            <v>2027/28</v>
          </cell>
        </row>
        <row r="979">
          <cell r="A979" t="str">
            <v>14 OTAGO</v>
          </cell>
          <cell r="B979">
            <v>7</v>
          </cell>
          <cell r="C979">
            <v>2033</v>
          </cell>
          <cell r="D979">
            <v>70</v>
          </cell>
          <cell r="E979">
            <v>148</v>
          </cell>
          <cell r="F979">
            <v>3.1039717783</v>
          </cell>
          <cell r="G979">
            <v>22.366925536</v>
          </cell>
          <cell r="H979">
            <v>1.0197491756999999</v>
          </cell>
          <cell r="I979" t="str">
            <v>Local Bus</v>
          </cell>
          <cell r="J979" t="str">
            <v>2032/33</v>
          </cell>
        </row>
        <row r="980">
          <cell r="A980" t="str">
            <v>14 OTAGO</v>
          </cell>
          <cell r="B980">
            <v>7</v>
          </cell>
          <cell r="C980">
            <v>2038</v>
          </cell>
          <cell r="D980">
            <v>70</v>
          </cell>
          <cell r="E980">
            <v>148</v>
          </cell>
          <cell r="F980">
            <v>2.8628597602000001</v>
          </cell>
          <cell r="G980">
            <v>20.589366211000002</v>
          </cell>
          <cell r="H980">
            <v>0.94374146830000005</v>
          </cell>
          <cell r="I980" t="str">
            <v>Local Bus</v>
          </cell>
          <cell r="J980" t="str">
            <v>2037/38</v>
          </cell>
        </row>
        <row r="981">
          <cell r="A981" t="str">
            <v>14 OTAGO</v>
          </cell>
          <cell r="B981">
            <v>7</v>
          </cell>
          <cell r="C981">
            <v>2043</v>
          </cell>
          <cell r="D981">
            <v>70</v>
          </cell>
          <cell r="E981">
            <v>148</v>
          </cell>
          <cell r="F981">
            <v>2.6635616125000001</v>
          </cell>
          <cell r="G981">
            <v>19.088198269999999</v>
          </cell>
          <cell r="H981">
            <v>0.88118207770000001</v>
          </cell>
          <cell r="I981" t="str">
            <v>Local Bus</v>
          </cell>
          <cell r="J981" t="str">
            <v>2042/43</v>
          </cell>
        </row>
        <row r="982">
          <cell r="A982" t="str">
            <v>14 OTAGO</v>
          </cell>
          <cell r="B982">
            <v>9</v>
          </cell>
          <cell r="C982">
            <v>2013</v>
          </cell>
          <cell r="D982">
            <v>11</v>
          </cell>
          <cell r="E982">
            <v>38</v>
          </cell>
          <cell r="F982">
            <v>0.77539158779999995</v>
          </cell>
          <cell r="G982">
            <v>0</v>
          </cell>
          <cell r="H982">
            <v>0.25154479130000001</v>
          </cell>
          <cell r="I982" t="str">
            <v>Other Household Travel</v>
          </cell>
          <cell r="J982" t="str">
            <v>2012/13</v>
          </cell>
        </row>
        <row r="983">
          <cell r="A983" t="str">
            <v>14 OTAGO</v>
          </cell>
          <cell r="B983">
            <v>9</v>
          </cell>
          <cell r="C983">
            <v>2018</v>
          </cell>
          <cell r="D983">
            <v>11</v>
          </cell>
          <cell r="E983">
            <v>38</v>
          </cell>
          <cell r="F983">
            <v>0.74411484989999999</v>
          </cell>
          <cell r="G983">
            <v>0</v>
          </cell>
          <cell r="H983">
            <v>0.25487760949999999</v>
          </cell>
          <cell r="I983" t="str">
            <v>Other Household Travel</v>
          </cell>
          <cell r="J983" t="str">
            <v>2017/18</v>
          </cell>
        </row>
        <row r="984">
          <cell r="A984" t="str">
            <v>14 OTAGO</v>
          </cell>
          <cell r="B984">
            <v>9</v>
          </cell>
          <cell r="C984">
            <v>2023</v>
          </cell>
          <cell r="D984">
            <v>11</v>
          </cell>
          <cell r="E984">
            <v>38</v>
          </cell>
          <cell r="F984">
            <v>0.75876270879999996</v>
          </cell>
          <cell r="G984">
            <v>0</v>
          </cell>
          <cell r="H984">
            <v>0.27692901450000001</v>
          </cell>
          <cell r="I984" t="str">
            <v>Other Household Travel</v>
          </cell>
          <cell r="J984" t="str">
            <v>2022/23</v>
          </cell>
        </row>
        <row r="985">
          <cell r="A985" t="str">
            <v>14 OTAGO</v>
          </cell>
          <cell r="B985">
            <v>9</v>
          </cell>
          <cell r="C985">
            <v>2028</v>
          </cell>
          <cell r="D985">
            <v>11</v>
          </cell>
          <cell r="E985">
            <v>38</v>
          </cell>
          <cell r="F985">
            <v>0.70367031800000002</v>
          </cell>
          <cell r="G985">
            <v>0</v>
          </cell>
          <cell r="H985">
            <v>0.2754679827</v>
          </cell>
          <cell r="I985" t="str">
            <v>Other Household Travel</v>
          </cell>
          <cell r="J985" t="str">
            <v>2027/28</v>
          </cell>
        </row>
        <row r="986">
          <cell r="A986" t="str">
            <v>14 OTAGO</v>
          </cell>
          <cell r="B986">
            <v>9</v>
          </cell>
          <cell r="C986">
            <v>2033</v>
          </cell>
          <cell r="D986">
            <v>11</v>
          </cell>
          <cell r="E986">
            <v>38</v>
          </cell>
          <cell r="F986">
            <v>0.64313863940000005</v>
          </cell>
          <cell r="G986">
            <v>0</v>
          </cell>
          <cell r="H986">
            <v>0.27126972160000001</v>
          </cell>
          <cell r="I986" t="str">
            <v>Other Household Travel</v>
          </cell>
          <cell r="J986" t="str">
            <v>2032/33</v>
          </cell>
        </row>
        <row r="987">
          <cell r="A987" t="str">
            <v>14 OTAGO</v>
          </cell>
          <cell r="B987">
            <v>9</v>
          </cell>
          <cell r="C987">
            <v>2038</v>
          </cell>
          <cell r="D987">
            <v>11</v>
          </cell>
          <cell r="E987">
            <v>38</v>
          </cell>
          <cell r="F987">
            <v>0.59688975460000004</v>
          </cell>
          <cell r="G987">
            <v>0</v>
          </cell>
          <cell r="H987">
            <v>0.27286532990000001</v>
          </cell>
          <cell r="I987" t="str">
            <v>Other Household Travel</v>
          </cell>
          <cell r="J987" t="str">
            <v>2037/38</v>
          </cell>
        </row>
        <row r="988">
          <cell r="A988" t="str">
            <v>14 OTAGO</v>
          </cell>
          <cell r="B988">
            <v>9</v>
          </cell>
          <cell r="C988">
            <v>2043</v>
          </cell>
          <cell r="D988">
            <v>11</v>
          </cell>
          <cell r="E988">
            <v>38</v>
          </cell>
          <cell r="F988">
            <v>0.56622938609999995</v>
          </cell>
          <cell r="G988">
            <v>0</v>
          </cell>
          <cell r="H988">
            <v>0.27746174509999999</v>
          </cell>
          <cell r="I988" t="str">
            <v>Other Household Travel</v>
          </cell>
          <cell r="J988" t="str">
            <v>2042/43</v>
          </cell>
        </row>
        <row r="989">
          <cell r="A989" t="str">
            <v>14 OTAGO</v>
          </cell>
          <cell r="B989">
            <v>10</v>
          </cell>
          <cell r="C989">
            <v>2013</v>
          </cell>
          <cell r="D989">
            <v>12</v>
          </cell>
          <cell r="E989">
            <v>16</v>
          </cell>
          <cell r="F989">
            <v>0.45393948140000001</v>
          </cell>
          <cell r="G989">
            <v>32.668222239000002</v>
          </cell>
          <cell r="H989">
            <v>1.0816055304000001</v>
          </cell>
          <cell r="I989" t="str">
            <v>Air/Non-Local PT</v>
          </cell>
          <cell r="J989" t="str">
            <v>2012/13</v>
          </cell>
        </row>
        <row r="990">
          <cell r="A990" t="str">
            <v>14 OTAGO</v>
          </cell>
          <cell r="B990">
            <v>10</v>
          </cell>
          <cell r="C990">
            <v>2018</v>
          </cell>
          <cell r="D990">
            <v>12</v>
          </cell>
          <cell r="E990">
            <v>16</v>
          </cell>
          <cell r="F990">
            <v>0.5068383179</v>
          </cell>
          <cell r="G990">
            <v>36.679901432999998</v>
          </cell>
          <cell r="H990">
            <v>1.1925644358</v>
          </cell>
          <cell r="I990" t="str">
            <v>Air/Non-Local PT</v>
          </cell>
          <cell r="J990" t="str">
            <v>2017/18</v>
          </cell>
        </row>
        <row r="991">
          <cell r="A991" t="str">
            <v>14 OTAGO</v>
          </cell>
          <cell r="B991">
            <v>10</v>
          </cell>
          <cell r="C991">
            <v>2023</v>
          </cell>
          <cell r="D991">
            <v>12</v>
          </cell>
          <cell r="E991">
            <v>16</v>
          </cell>
          <cell r="F991">
            <v>0.61995293709999999</v>
          </cell>
          <cell r="G991">
            <v>44.14202246</v>
          </cell>
          <cell r="H991">
            <v>1.4326702722</v>
          </cell>
          <cell r="I991" t="str">
            <v>Air/Non-Local PT</v>
          </cell>
          <cell r="J991" t="str">
            <v>2022/23</v>
          </cell>
        </row>
        <row r="992">
          <cell r="A992" t="str">
            <v>14 OTAGO</v>
          </cell>
          <cell r="B992">
            <v>10</v>
          </cell>
          <cell r="C992">
            <v>2028</v>
          </cell>
          <cell r="D992">
            <v>12</v>
          </cell>
          <cell r="E992">
            <v>16</v>
          </cell>
          <cell r="F992">
            <v>0.68255454670000004</v>
          </cell>
          <cell r="G992">
            <v>48.043882936999999</v>
          </cell>
          <cell r="H992">
            <v>1.5540176384</v>
          </cell>
          <cell r="I992" t="str">
            <v>Air/Non-Local PT</v>
          </cell>
          <cell r="J992" t="str">
            <v>2027/28</v>
          </cell>
        </row>
        <row r="993">
          <cell r="A993" t="str">
            <v>14 OTAGO</v>
          </cell>
          <cell r="B993">
            <v>10</v>
          </cell>
          <cell r="C993">
            <v>2033</v>
          </cell>
          <cell r="D993">
            <v>12</v>
          </cell>
          <cell r="E993">
            <v>16</v>
          </cell>
          <cell r="F993">
            <v>0.73611331980000005</v>
          </cell>
          <cell r="G993">
            <v>51.443313381999999</v>
          </cell>
          <cell r="H993">
            <v>1.6650593025</v>
          </cell>
          <cell r="I993" t="str">
            <v>Air/Non-Local PT</v>
          </cell>
          <cell r="J993" t="str">
            <v>2032/33</v>
          </cell>
        </row>
        <row r="994">
          <cell r="A994" t="str">
            <v>14 OTAGO</v>
          </cell>
          <cell r="B994">
            <v>10</v>
          </cell>
          <cell r="C994">
            <v>2038</v>
          </cell>
          <cell r="D994">
            <v>12</v>
          </cell>
          <cell r="E994">
            <v>16</v>
          </cell>
          <cell r="F994">
            <v>0.77107800879999999</v>
          </cell>
          <cell r="G994">
            <v>53.079880594999999</v>
          </cell>
          <cell r="H994">
            <v>1.7161221186</v>
          </cell>
          <cell r="I994" t="str">
            <v>Air/Non-Local PT</v>
          </cell>
          <cell r="J994" t="str">
            <v>2037/38</v>
          </cell>
        </row>
        <row r="995">
          <cell r="A995" t="str">
            <v>14 OTAGO</v>
          </cell>
          <cell r="B995">
            <v>10</v>
          </cell>
          <cell r="C995">
            <v>2043</v>
          </cell>
          <cell r="D995">
            <v>12</v>
          </cell>
          <cell r="E995">
            <v>16</v>
          </cell>
          <cell r="F995">
            <v>0.80023892190000001</v>
          </cell>
          <cell r="G995">
            <v>54.281354657000001</v>
          </cell>
          <cell r="H995">
            <v>1.7543960049</v>
          </cell>
          <cell r="I995" t="str">
            <v>Air/Non-Local PT</v>
          </cell>
          <cell r="J995" t="str">
            <v>2042/43</v>
          </cell>
        </row>
        <row r="996">
          <cell r="A996" t="str">
            <v>14 OTAGO</v>
          </cell>
          <cell r="B996">
            <v>11</v>
          </cell>
          <cell r="C996">
            <v>2013</v>
          </cell>
          <cell r="D996">
            <v>8</v>
          </cell>
          <cell r="E996">
            <v>23</v>
          </cell>
          <cell r="F996">
            <v>0.69501361849999999</v>
          </cell>
          <cell r="G996">
            <v>6.1172965614999999</v>
          </cell>
          <cell r="H996">
            <v>0.18529166999999999</v>
          </cell>
          <cell r="I996" t="str">
            <v>Non-Household Travel</v>
          </cell>
          <cell r="J996" t="str">
            <v>2012/13</v>
          </cell>
        </row>
        <row r="997">
          <cell r="A997" t="str">
            <v>14 OTAGO</v>
          </cell>
          <cell r="B997">
            <v>11</v>
          </cell>
          <cell r="C997">
            <v>2018</v>
          </cell>
          <cell r="D997">
            <v>8</v>
          </cell>
          <cell r="E997">
            <v>23</v>
          </cell>
          <cell r="F997">
            <v>0.75556399919999995</v>
          </cell>
          <cell r="G997">
            <v>7.1627835187000004</v>
          </cell>
          <cell r="H997">
            <v>0.21425188049999999</v>
          </cell>
          <cell r="I997" t="str">
            <v>Non-Household Travel</v>
          </cell>
          <cell r="J997" t="str">
            <v>2017/18</v>
          </cell>
        </row>
        <row r="998">
          <cell r="A998" t="str">
            <v>14 OTAGO</v>
          </cell>
          <cell r="B998">
            <v>11</v>
          </cell>
          <cell r="C998">
            <v>2023</v>
          </cell>
          <cell r="D998">
            <v>8</v>
          </cell>
          <cell r="E998">
            <v>23</v>
          </cell>
          <cell r="F998">
            <v>0.91386481070000003</v>
          </cell>
          <cell r="G998">
            <v>9.1738247202000007</v>
          </cell>
          <cell r="H998">
            <v>0.27205334289999999</v>
          </cell>
          <cell r="I998" t="str">
            <v>Non-Household Travel</v>
          </cell>
          <cell r="J998" t="str">
            <v>2022/23</v>
          </cell>
        </row>
        <row r="999">
          <cell r="A999" t="str">
            <v>14 OTAGO</v>
          </cell>
          <cell r="B999">
            <v>11</v>
          </cell>
          <cell r="C999">
            <v>2028</v>
          </cell>
          <cell r="D999">
            <v>8</v>
          </cell>
          <cell r="E999">
            <v>23</v>
          </cell>
          <cell r="F999">
            <v>1.1105821985</v>
          </cell>
          <cell r="G999">
            <v>10.855682245000001</v>
          </cell>
          <cell r="H999">
            <v>0.3308083812</v>
          </cell>
          <cell r="I999" t="str">
            <v>Non-Household Travel</v>
          </cell>
          <cell r="J999" t="str">
            <v>2027/28</v>
          </cell>
        </row>
        <row r="1000">
          <cell r="A1000" t="str">
            <v>14 OTAGO</v>
          </cell>
          <cell r="B1000">
            <v>11</v>
          </cell>
          <cell r="C1000">
            <v>2033</v>
          </cell>
          <cell r="D1000">
            <v>8</v>
          </cell>
          <cell r="E1000">
            <v>23</v>
          </cell>
          <cell r="F1000">
            <v>1.2950984144</v>
          </cell>
          <cell r="G1000">
            <v>12.057101986999999</v>
          </cell>
          <cell r="H1000">
            <v>0.38167088290000001</v>
          </cell>
          <cell r="I1000" t="str">
            <v>Non-Household Travel</v>
          </cell>
          <cell r="J1000" t="str">
            <v>2032/33</v>
          </cell>
        </row>
        <row r="1001">
          <cell r="A1001" t="str">
            <v>14 OTAGO</v>
          </cell>
          <cell r="B1001">
            <v>11</v>
          </cell>
          <cell r="C1001">
            <v>2038</v>
          </cell>
          <cell r="D1001">
            <v>8</v>
          </cell>
          <cell r="E1001">
            <v>23</v>
          </cell>
          <cell r="F1001">
            <v>1.4207710612</v>
          </cell>
          <cell r="G1001">
            <v>12.793049027</v>
          </cell>
          <cell r="H1001">
            <v>0.41609681710000002</v>
          </cell>
          <cell r="I1001" t="str">
            <v>Non-Household Travel</v>
          </cell>
          <cell r="J1001" t="str">
            <v>2037/38</v>
          </cell>
        </row>
        <row r="1002">
          <cell r="A1002" t="str">
            <v>14 OTAGO</v>
          </cell>
          <cell r="B1002">
            <v>11</v>
          </cell>
          <cell r="C1002">
            <v>2043</v>
          </cell>
          <cell r="D1002">
            <v>8</v>
          </cell>
          <cell r="E1002">
            <v>23</v>
          </cell>
          <cell r="F1002">
            <v>1.5602031163000001</v>
          </cell>
          <cell r="G1002">
            <v>13.494495737999999</v>
          </cell>
          <cell r="H1002">
            <v>0.45217250920000002</v>
          </cell>
          <cell r="I1002" t="str">
            <v>Non-Household Travel</v>
          </cell>
          <cell r="J1002" t="str">
            <v>2042/43</v>
          </cell>
        </row>
        <row r="1003">
          <cell r="A1003" t="str">
            <v>15 SOUTHLAND</v>
          </cell>
          <cell r="B1003">
            <v>0</v>
          </cell>
          <cell r="C1003">
            <v>2013</v>
          </cell>
          <cell r="D1003">
            <v>180</v>
          </cell>
          <cell r="E1003">
            <v>617</v>
          </cell>
          <cell r="F1003">
            <v>12.52065131</v>
          </cell>
          <cell r="G1003">
            <v>8.8466785109000003</v>
          </cell>
          <cell r="H1003">
            <v>2.2528617661000001</v>
          </cell>
          <cell r="I1003" t="str">
            <v>Pedestrian</v>
          </cell>
          <cell r="J1003" t="str">
            <v>2012/13</v>
          </cell>
        </row>
        <row r="1004">
          <cell r="A1004" t="str">
            <v>15 SOUTHLAND</v>
          </cell>
          <cell r="B1004">
            <v>0</v>
          </cell>
          <cell r="C1004">
            <v>2018</v>
          </cell>
          <cell r="D1004">
            <v>180</v>
          </cell>
          <cell r="E1004">
            <v>617</v>
          </cell>
          <cell r="F1004">
            <v>11.857773808999999</v>
          </cell>
          <cell r="G1004">
            <v>8.4491983253999994</v>
          </cell>
          <cell r="H1004">
            <v>2.1441394787000001</v>
          </cell>
          <cell r="I1004" t="str">
            <v>Pedestrian</v>
          </cell>
          <cell r="J1004" t="str">
            <v>2017/18</v>
          </cell>
        </row>
        <row r="1005">
          <cell r="A1005" t="str">
            <v>15 SOUTHLAND</v>
          </cell>
          <cell r="B1005">
            <v>0</v>
          </cell>
          <cell r="C1005">
            <v>2023</v>
          </cell>
          <cell r="D1005">
            <v>180</v>
          </cell>
          <cell r="E1005">
            <v>617</v>
          </cell>
          <cell r="F1005">
            <v>12.193084632</v>
          </cell>
          <cell r="G1005">
            <v>8.7026734271000006</v>
          </cell>
          <cell r="H1005">
            <v>2.2012301140999999</v>
          </cell>
          <cell r="I1005" t="str">
            <v>Pedestrian</v>
          </cell>
          <cell r="J1005" t="str">
            <v>2022/23</v>
          </cell>
        </row>
        <row r="1006">
          <cell r="A1006" t="str">
            <v>15 SOUTHLAND</v>
          </cell>
          <cell r="B1006">
            <v>0</v>
          </cell>
          <cell r="C1006">
            <v>2028</v>
          </cell>
          <cell r="D1006">
            <v>180</v>
          </cell>
          <cell r="E1006">
            <v>617</v>
          </cell>
          <cell r="F1006">
            <v>11.977231363</v>
          </cell>
          <cell r="G1006">
            <v>8.5572212483999994</v>
          </cell>
          <cell r="H1006">
            <v>2.1261411383</v>
          </cell>
          <cell r="I1006" t="str">
            <v>Pedestrian</v>
          </cell>
          <cell r="J1006" t="str">
            <v>2027/28</v>
          </cell>
        </row>
        <row r="1007">
          <cell r="A1007" t="str">
            <v>15 SOUTHLAND</v>
          </cell>
          <cell r="B1007">
            <v>0</v>
          </cell>
          <cell r="C1007">
            <v>2033</v>
          </cell>
          <cell r="D1007">
            <v>180</v>
          </cell>
          <cell r="E1007">
            <v>617</v>
          </cell>
          <cell r="F1007">
            <v>11.594054611000001</v>
          </cell>
          <cell r="G1007">
            <v>8.2540177264000008</v>
          </cell>
          <cell r="H1007">
            <v>2.0292054351000002</v>
          </cell>
          <cell r="I1007" t="str">
            <v>Pedestrian</v>
          </cell>
          <cell r="J1007" t="str">
            <v>2032/33</v>
          </cell>
        </row>
        <row r="1008">
          <cell r="A1008" t="str">
            <v>15 SOUTHLAND</v>
          </cell>
          <cell r="B1008">
            <v>0</v>
          </cell>
          <cell r="C1008">
            <v>2038</v>
          </cell>
          <cell r="D1008">
            <v>180</v>
          </cell>
          <cell r="E1008">
            <v>617</v>
          </cell>
          <cell r="F1008">
            <v>11.001923429</v>
          </cell>
          <cell r="G1008">
            <v>7.8912537273999996</v>
          </cell>
          <cell r="H1008">
            <v>1.9062726062999999</v>
          </cell>
          <cell r="I1008" t="str">
            <v>Pedestrian</v>
          </cell>
          <cell r="J1008" t="str">
            <v>2037/38</v>
          </cell>
        </row>
        <row r="1009">
          <cell r="A1009" t="str">
            <v>15 SOUTHLAND</v>
          </cell>
          <cell r="B1009">
            <v>0</v>
          </cell>
          <cell r="C1009">
            <v>2043</v>
          </cell>
          <cell r="D1009">
            <v>180</v>
          </cell>
          <cell r="E1009">
            <v>617</v>
          </cell>
          <cell r="F1009">
            <v>10.361776565</v>
          </cell>
          <cell r="G1009">
            <v>7.4664823552000001</v>
          </cell>
          <cell r="H1009">
            <v>1.7722376385</v>
          </cell>
          <cell r="I1009" t="str">
            <v>Pedestrian</v>
          </cell>
          <cell r="J1009" t="str">
            <v>2042/43</v>
          </cell>
        </row>
        <row r="1010">
          <cell r="A1010" t="str">
            <v>15 SOUTHLAND</v>
          </cell>
          <cell r="B1010">
            <v>1</v>
          </cell>
          <cell r="C1010">
            <v>2013</v>
          </cell>
          <cell r="D1010">
            <v>19</v>
          </cell>
          <cell r="E1010">
            <v>72</v>
          </cell>
          <cell r="F1010">
            <v>1.0312878256</v>
          </cell>
          <cell r="G1010">
            <v>7.5402861329000004</v>
          </cell>
          <cell r="H1010">
            <v>0.50294231479999996</v>
          </cell>
          <cell r="I1010" t="str">
            <v>Cyclist</v>
          </cell>
          <cell r="J1010" t="str">
            <v>2012/13</v>
          </cell>
        </row>
        <row r="1011">
          <cell r="A1011" t="str">
            <v>15 SOUTHLAND</v>
          </cell>
          <cell r="B1011">
            <v>1</v>
          </cell>
          <cell r="C1011">
            <v>2018</v>
          </cell>
          <cell r="D1011">
            <v>19</v>
          </cell>
          <cell r="E1011">
            <v>72</v>
          </cell>
          <cell r="F1011">
            <v>1.0073890549</v>
          </cell>
          <cell r="G1011">
            <v>7.6461719641999997</v>
          </cell>
          <cell r="H1011">
            <v>0.50515623700000001</v>
          </cell>
          <cell r="I1011" t="str">
            <v>Cyclist</v>
          </cell>
          <cell r="J1011" t="str">
            <v>2017/18</v>
          </cell>
        </row>
        <row r="1012">
          <cell r="A1012" t="str">
            <v>15 SOUTHLAND</v>
          </cell>
          <cell r="B1012">
            <v>1</v>
          </cell>
          <cell r="C1012">
            <v>2023</v>
          </cell>
          <cell r="D1012">
            <v>19</v>
          </cell>
          <cell r="E1012">
            <v>72</v>
          </cell>
          <cell r="F1012">
            <v>1.059799597</v>
          </cell>
          <cell r="G1012">
            <v>8.1529892268000008</v>
          </cell>
          <cell r="H1012">
            <v>0.53881469780000002</v>
          </cell>
          <cell r="I1012" t="str">
            <v>Cyclist</v>
          </cell>
          <cell r="J1012" t="str">
            <v>2022/23</v>
          </cell>
        </row>
        <row r="1013">
          <cell r="A1013" t="str">
            <v>15 SOUTHLAND</v>
          </cell>
          <cell r="B1013">
            <v>1</v>
          </cell>
          <cell r="C1013">
            <v>2028</v>
          </cell>
          <cell r="D1013">
            <v>19</v>
          </cell>
          <cell r="E1013">
            <v>72</v>
          </cell>
          <cell r="F1013">
            <v>1.0616554113000001</v>
          </cell>
          <cell r="G1013">
            <v>7.2834445582000003</v>
          </cell>
          <cell r="H1013">
            <v>0.50091971599999996</v>
          </cell>
          <cell r="I1013" t="str">
            <v>Cyclist</v>
          </cell>
          <cell r="J1013" t="str">
            <v>2027/28</v>
          </cell>
        </row>
        <row r="1014">
          <cell r="A1014" t="str">
            <v>15 SOUTHLAND</v>
          </cell>
          <cell r="B1014">
            <v>1</v>
          </cell>
          <cell r="C1014">
            <v>2033</v>
          </cell>
          <cell r="D1014">
            <v>19</v>
          </cell>
          <cell r="E1014">
            <v>72</v>
          </cell>
          <cell r="F1014">
            <v>1.0604580653</v>
          </cell>
          <cell r="G1014">
            <v>6.6417868208000002</v>
          </cell>
          <cell r="H1014">
            <v>0.46887755920000002</v>
          </cell>
          <cell r="I1014" t="str">
            <v>Cyclist</v>
          </cell>
          <cell r="J1014" t="str">
            <v>2032/33</v>
          </cell>
        </row>
        <row r="1015">
          <cell r="A1015" t="str">
            <v>15 SOUTHLAND</v>
          </cell>
          <cell r="B1015">
            <v>1</v>
          </cell>
          <cell r="C1015">
            <v>2038</v>
          </cell>
          <cell r="D1015">
            <v>19</v>
          </cell>
          <cell r="E1015">
            <v>72</v>
          </cell>
          <cell r="F1015">
            <v>1.0033851702000001</v>
          </cell>
          <cell r="G1015">
            <v>6.0825345807</v>
          </cell>
          <cell r="H1015">
            <v>0.43267329360000001</v>
          </cell>
          <cell r="I1015" t="str">
            <v>Cyclist</v>
          </cell>
          <cell r="J1015" t="str">
            <v>2037/38</v>
          </cell>
        </row>
        <row r="1016">
          <cell r="A1016" t="str">
            <v>15 SOUTHLAND</v>
          </cell>
          <cell r="B1016">
            <v>1</v>
          </cell>
          <cell r="C1016">
            <v>2043</v>
          </cell>
          <cell r="D1016">
            <v>19</v>
          </cell>
          <cell r="E1016">
            <v>72</v>
          </cell>
          <cell r="F1016">
            <v>0.94226306670000004</v>
          </cell>
          <cell r="G1016">
            <v>5.5625070072999998</v>
          </cell>
          <cell r="H1016">
            <v>0.3980852621</v>
          </cell>
          <cell r="I1016" t="str">
            <v>Cyclist</v>
          </cell>
          <cell r="J1016" t="str">
            <v>2042/43</v>
          </cell>
        </row>
        <row r="1017">
          <cell r="A1017" t="str">
            <v>15 SOUTHLAND</v>
          </cell>
          <cell r="B1017">
            <v>2</v>
          </cell>
          <cell r="C1017">
            <v>2013</v>
          </cell>
          <cell r="D1017">
            <v>442</v>
          </cell>
          <cell r="E1017">
            <v>3080</v>
          </cell>
          <cell r="F1017">
            <v>66.981547285000005</v>
          </cell>
          <cell r="G1017">
            <v>657.74873722999996</v>
          </cell>
          <cell r="H1017">
            <v>14.603785903</v>
          </cell>
          <cell r="I1017" t="str">
            <v>Light Vehicle Driver</v>
          </cell>
          <cell r="J1017" t="str">
            <v>2012/13</v>
          </cell>
        </row>
        <row r="1018">
          <cell r="A1018" t="str">
            <v>15 SOUTHLAND</v>
          </cell>
          <cell r="B1018">
            <v>2</v>
          </cell>
          <cell r="C1018">
            <v>2018</v>
          </cell>
          <cell r="D1018">
            <v>442</v>
          </cell>
          <cell r="E1018">
            <v>3080</v>
          </cell>
          <cell r="F1018">
            <v>65.392852241</v>
          </cell>
          <cell r="G1018">
            <v>666.29178116000003</v>
          </cell>
          <cell r="H1018">
            <v>14.606166591999999</v>
          </cell>
          <cell r="I1018" t="str">
            <v>Light Vehicle Driver</v>
          </cell>
          <cell r="J1018" t="str">
            <v>2017/18</v>
          </cell>
        </row>
        <row r="1019">
          <cell r="A1019" t="str">
            <v>15 SOUTHLAND</v>
          </cell>
          <cell r="B1019">
            <v>2</v>
          </cell>
          <cell r="C1019">
            <v>2023</v>
          </cell>
          <cell r="D1019">
            <v>442</v>
          </cell>
          <cell r="E1019">
            <v>3080</v>
          </cell>
          <cell r="F1019">
            <v>68.102487831000005</v>
          </cell>
          <cell r="G1019">
            <v>722.62977076000004</v>
          </cell>
          <cell r="H1019">
            <v>15.616930379999999</v>
          </cell>
          <cell r="I1019" t="str">
            <v>Light Vehicle Driver</v>
          </cell>
          <cell r="J1019" t="str">
            <v>2022/23</v>
          </cell>
        </row>
        <row r="1020">
          <cell r="A1020" t="str">
            <v>15 SOUTHLAND</v>
          </cell>
          <cell r="B1020">
            <v>2</v>
          </cell>
          <cell r="C1020">
            <v>2028</v>
          </cell>
          <cell r="D1020">
            <v>442</v>
          </cell>
          <cell r="E1020">
            <v>3080</v>
          </cell>
          <cell r="F1020">
            <v>67.216676777000004</v>
          </cell>
          <cell r="G1020">
            <v>727.88076692000004</v>
          </cell>
          <cell r="H1020">
            <v>15.574776464999999</v>
          </cell>
          <cell r="I1020" t="str">
            <v>Light Vehicle Driver</v>
          </cell>
          <cell r="J1020" t="str">
            <v>2027/28</v>
          </cell>
        </row>
        <row r="1021">
          <cell r="A1021" t="str">
            <v>15 SOUTHLAND</v>
          </cell>
          <cell r="B1021">
            <v>2</v>
          </cell>
          <cell r="C1021">
            <v>2033</v>
          </cell>
          <cell r="D1021">
            <v>442</v>
          </cell>
          <cell r="E1021">
            <v>3080</v>
          </cell>
          <cell r="F1021">
            <v>66.527659761999999</v>
          </cell>
          <cell r="G1021">
            <v>728.78228586</v>
          </cell>
          <cell r="H1021">
            <v>15.487512425</v>
          </cell>
          <cell r="I1021" t="str">
            <v>Light Vehicle Driver</v>
          </cell>
          <cell r="J1021" t="str">
            <v>2032/33</v>
          </cell>
        </row>
        <row r="1022">
          <cell r="A1022" t="str">
            <v>15 SOUTHLAND</v>
          </cell>
          <cell r="B1022">
            <v>2</v>
          </cell>
          <cell r="C1022">
            <v>2038</v>
          </cell>
          <cell r="D1022">
            <v>442</v>
          </cell>
          <cell r="E1022">
            <v>3080</v>
          </cell>
          <cell r="F1022">
            <v>65.170134719000004</v>
          </cell>
          <cell r="G1022">
            <v>719.11388284999998</v>
          </cell>
          <cell r="H1022">
            <v>15.212546103999999</v>
          </cell>
          <cell r="I1022" t="str">
            <v>Light Vehicle Driver</v>
          </cell>
          <cell r="J1022" t="str">
            <v>2037/38</v>
          </cell>
        </row>
        <row r="1023">
          <cell r="A1023" t="str">
            <v>15 SOUTHLAND</v>
          </cell>
          <cell r="B1023">
            <v>2</v>
          </cell>
          <cell r="C1023">
            <v>2043</v>
          </cell>
          <cell r="D1023">
            <v>442</v>
          </cell>
          <cell r="E1023">
            <v>3080</v>
          </cell>
          <cell r="F1023">
            <v>63.642317329000001</v>
          </cell>
          <cell r="G1023">
            <v>706.49431984</v>
          </cell>
          <cell r="H1023">
            <v>14.871700097</v>
          </cell>
          <cell r="I1023" t="str">
            <v>Light Vehicle Driver</v>
          </cell>
          <cell r="J1023" t="str">
            <v>2042/43</v>
          </cell>
        </row>
        <row r="1024">
          <cell r="A1024" t="str">
            <v>15 SOUTHLAND</v>
          </cell>
          <cell r="B1024">
            <v>3</v>
          </cell>
          <cell r="C1024">
            <v>2013</v>
          </cell>
          <cell r="D1024">
            <v>289</v>
          </cell>
          <cell r="E1024">
            <v>1411</v>
          </cell>
          <cell r="F1024">
            <v>28.419434702</v>
          </cell>
          <cell r="G1024">
            <v>380.70733008000002</v>
          </cell>
          <cell r="H1024">
            <v>7.5859087797999996</v>
          </cell>
          <cell r="I1024" t="str">
            <v>Light Vehicle Passenger</v>
          </cell>
          <cell r="J1024" t="str">
            <v>2012/13</v>
          </cell>
        </row>
        <row r="1025">
          <cell r="A1025" t="str">
            <v>15 SOUTHLAND</v>
          </cell>
          <cell r="B1025">
            <v>3</v>
          </cell>
          <cell r="C1025">
            <v>2018</v>
          </cell>
          <cell r="D1025">
            <v>289</v>
          </cell>
          <cell r="E1025">
            <v>1411</v>
          </cell>
          <cell r="F1025">
            <v>25.446795404</v>
          </cell>
          <cell r="G1025">
            <v>367.84409948000001</v>
          </cell>
          <cell r="H1025">
            <v>7.1522637926000003</v>
          </cell>
          <cell r="I1025" t="str">
            <v>Light Vehicle Passenger</v>
          </cell>
          <cell r="J1025" t="str">
            <v>2017/18</v>
          </cell>
        </row>
        <row r="1026">
          <cell r="A1026" t="str">
            <v>15 SOUTHLAND</v>
          </cell>
          <cell r="B1026">
            <v>3</v>
          </cell>
          <cell r="C1026">
            <v>2023</v>
          </cell>
          <cell r="D1026">
            <v>289</v>
          </cell>
          <cell r="E1026">
            <v>1411</v>
          </cell>
          <cell r="F1026">
            <v>25.191038403</v>
          </cell>
          <cell r="G1026">
            <v>392.05091121999999</v>
          </cell>
          <cell r="H1026">
            <v>7.4522843251999999</v>
          </cell>
          <cell r="I1026" t="str">
            <v>Light Vehicle Passenger</v>
          </cell>
          <cell r="J1026" t="str">
            <v>2022/23</v>
          </cell>
        </row>
        <row r="1027">
          <cell r="A1027" t="str">
            <v>15 SOUTHLAND</v>
          </cell>
          <cell r="B1027">
            <v>3</v>
          </cell>
          <cell r="C1027">
            <v>2028</v>
          </cell>
          <cell r="D1027">
            <v>289</v>
          </cell>
          <cell r="E1027">
            <v>1411</v>
          </cell>
          <cell r="F1027">
            <v>24.13937687</v>
          </cell>
          <cell r="G1027">
            <v>389.08664056999999</v>
          </cell>
          <cell r="H1027">
            <v>7.3108640722000002</v>
          </cell>
          <cell r="I1027" t="str">
            <v>Light Vehicle Passenger</v>
          </cell>
          <cell r="J1027" t="str">
            <v>2027/28</v>
          </cell>
        </row>
        <row r="1028">
          <cell r="A1028" t="str">
            <v>15 SOUTHLAND</v>
          </cell>
          <cell r="B1028">
            <v>3</v>
          </cell>
          <cell r="C1028">
            <v>2033</v>
          </cell>
          <cell r="D1028">
            <v>289</v>
          </cell>
          <cell r="E1028">
            <v>1411</v>
          </cell>
          <cell r="F1028">
            <v>22.951022318</v>
          </cell>
          <cell r="G1028">
            <v>378.11002635</v>
          </cell>
          <cell r="H1028">
            <v>7.0438011019999998</v>
          </cell>
          <cell r="I1028" t="str">
            <v>Light Vehicle Passenger</v>
          </cell>
          <cell r="J1028" t="str">
            <v>2032/33</v>
          </cell>
        </row>
        <row r="1029">
          <cell r="A1029" t="str">
            <v>15 SOUTHLAND</v>
          </cell>
          <cell r="B1029">
            <v>3</v>
          </cell>
          <cell r="C1029">
            <v>2038</v>
          </cell>
          <cell r="D1029">
            <v>289</v>
          </cell>
          <cell r="E1029">
            <v>1411</v>
          </cell>
          <cell r="F1029">
            <v>21.530759351</v>
          </cell>
          <cell r="G1029">
            <v>359.64006092</v>
          </cell>
          <cell r="H1029">
            <v>6.6466078489999996</v>
          </cell>
          <cell r="I1029" t="str">
            <v>Light Vehicle Passenger</v>
          </cell>
          <cell r="J1029" t="str">
            <v>2037/38</v>
          </cell>
        </row>
        <row r="1030">
          <cell r="A1030" t="str">
            <v>15 SOUTHLAND</v>
          </cell>
          <cell r="B1030">
            <v>3</v>
          </cell>
          <cell r="C1030">
            <v>2043</v>
          </cell>
          <cell r="D1030">
            <v>289</v>
          </cell>
          <cell r="E1030">
            <v>1411</v>
          </cell>
          <cell r="F1030">
            <v>20.078304930000002</v>
          </cell>
          <cell r="G1030">
            <v>338.69414740000002</v>
          </cell>
          <cell r="H1030">
            <v>6.2101811839999996</v>
          </cell>
          <cell r="I1030" t="str">
            <v>Light Vehicle Passenger</v>
          </cell>
          <cell r="J1030" t="str">
            <v>2042/43</v>
          </cell>
        </row>
        <row r="1031">
          <cell r="A1031" t="str">
            <v>15 SOUTHLAND</v>
          </cell>
          <cell r="B1031">
            <v>4</v>
          </cell>
          <cell r="C1031">
            <v>2013</v>
          </cell>
          <cell r="D1031">
            <v>4</v>
          </cell>
          <cell r="E1031">
            <v>15</v>
          </cell>
          <cell r="F1031">
            <v>0.47613164409999997</v>
          </cell>
          <cell r="G1031">
            <v>1.2430116738999999</v>
          </cell>
          <cell r="H1031">
            <v>6.6688903300000005E-2</v>
          </cell>
          <cell r="J1031" t="str">
            <v>2012/13</v>
          </cell>
        </row>
        <row r="1032">
          <cell r="A1032" t="str">
            <v>15 SOUTHLAND</v>
          </cell>
          <cell r="B1032">
            <v>4</v>
          </cell>
          <cell r="C1032">
            <v>2018</v>
          </cell>
          <cell r="D1032">
            <v>4</v>
          </cell>
          <cell r="E1032">
            <v>15</v>
          </cell>
          <cell r="F1032">
            <v>0.4820430745</v>
          </cell>
          <cell r="G1032">
            <v>1.375836783</v>
          </cell>
          <cell r="H1032">
            <v>7.19539597E-2</v>
          </cell>
          <cell r="J1032" t="str">
            <v>2017/18</v>
          </cell>
        </row>
        <row r="1033">
          <cell r="A1033" t="str">
            <v>15 SOUTHLAND</v>
          </cell>
          <cell r="B1033">
            <v>4</v>
          </cell>
          <cell r="C1033">
            <v>2023</v>
          </cell>
          <cell r="D1033">
            <v>4</v>
          </cell>
          <cell r="E1033">
            <v>15</v>
          </cell>
          <cell r="F1033">
            <v>0.5437090041</v>
          </cell>
          <cell r="G1033">
            <v>1.6434044005999999</v>
          </cell>
          <cell r="H1033">
            <v>8.4505916700000003E-2</v>
          </cell>
          <cell r="J1033" t="str">
            <v>2022/23</v>
          </cell>
        </row>
        <row r="1034">
          <cell r="A1034" t="str">
            <v>15 SOUTHLAND</v>
          </cell>
          <cell r="B1034">
            <v>4</v>
          </cell>
          <cell r="C1034">
            <v>2028</v>
          </cell>
          <cell r="D1034">
            <v>4</v>
          </cell>
          <cell r="E1034">
            <v>15</v>
          </cell>
          <cell r="F1034">
            <v>0.57898426140000003</v>
          </cell>
          <cell r="G1034">
            <v>1.7651994439000001</v>
          </cell>
          <cell r="H1034">
            <v>9.0310212900000006E-2</v>
          </cell>
          <cell r="J1034" t="str">
            <v>2027/28</v>
          </cell>
        </row>
        <row r="1035">
          <cell r="A1035" t="str">
            <v>15 SOUTHLAND</v>
          </cell>
          <cell r="B1035">
            <v>4</v>
          </cell>
          <cell r="C1035">
            <v>2033</v>
          </cell>
          <cell r="D1035">
            <v>4</v>
          </cell>
          <cell r="E1035">
            <v>15</v>
          </cell>
          <cell r="F1035">
            <v>0.61023498229999995</v>
          </cell>
          <cell r="G1035">
            <v>1.8438430937000001</v>
          </cell>
          <cell r="H1035">
            <v>9.4323095100000004E-2</v>
          </cell>
          <cell r="J1035" t="str">
            <v>2032/33</v>
          </cell>
        </row>
        <row r="1036">
          <cell r="A1036" t="str">
            <v>15 SOUTHLAND</v>
          </cell>
          <cell r="B1036">
            <v>4</v>
          </cell>
          <cell r="C1036">
            <v>2038</v>
          </cell>
          <cell r="D1036">
            <v>4</v>
          </cell>
          <cell r="E1036">
            <v>15</v>
          </cell>
          <cell r="F1036">
            <v>0.62554769750000006</v>
          </cell>
          <cell r="G1036">
            <v>1.8685468395</v>
          </cell>
          <cell r="H1036">
            <v>9.5665201399999997E-2</v>
          </cell>
          <cell r="J1036" t="str">
            <v>2037/38</v>
          </cell>
        </row>
        <row r="1037">
          <cell r="A1037" t="str">
            <v>15 SOUTHLAND</v>
          </cell>
          <cell r="B1037">
            <v>4</v>
          </cell>
          <cell r="C1037">
            <v>2043</v>
          </cell>
          <cell r="D1037">
            <v>4</v>
          </cell>
          <cell r="E1037">
            <v>15</v>
          </cell>
          <cell r="F1037">
            <v>0.63542328510000001</v>
          </cell>
          <cell r="G1037">
            <v>1.8718538313999999</v>
          </cell>
          <cell r="H1037">
            <v>9.6013659599999995E-2</v>
          </cell>
          <cell r="J1037" t="str">
            <v>2042/43</v>
          </cell>
        </row>
        <row r="1038">
          <cell r="A1038" t="str">
            <v>15 SOUTHLAND</v>
          </cell>
          <cell r="B1038">
            <v>5</v>
          </cell>
          <cell r="C1038">
            <v>2013</v>
          </cell>
          <cell r="D1038">
            <v>8</v>
          </cell>
          <cell r="E1038">
            <v>32</v>
          </cell>
          <cell r="F1038">
            <v>0.62652592730000001</v>
          </cell>
          <cell r="G1038">
            <v>18.926640866</v>
          </cell>
          <cell r="H1038">
            <v>0.2609239458</v>
          </cell>
          <cell r="I1038" t="str">
            <v>Motorcyclist</v>
          </cell>
          <cell r="J1038" t="str">
            <v>2012/13</v>
          </cell>
        </row>
        <row r="1039">
          <cell r="A1039" t="str">
            <v>15 SOUTHLAND</v>
          </cell>
          <cell r="B1039">
            <v>5</v>
          </cell>
          <cell r="C1039">
            <v>2018</v>
          </cell>
          <cell r="D1039">
            <v>8</v>
          </cell>
          <cell r="E1039">
            <v>32</v>
          </cell>
          <cell r="F1039">
            <v>0.68163207020000005</v>
          </cell>
          <cell r="G1039">
            <v>23.882127985</v>
          </cell>
          <cell r="H1039">
            <v>0.3201199414</v>
          </cell>
          <cell r="I1039" t="str">
            <v>Motorcyclist</v>
          </cell>
          <cell r="J1039" t="str">
            <v>2017/18</v>
          </cell>
        </row>
        <row r="1040">
          <cell r="A1040" t="str">
            <v>15 SOUTHLAND</v>
          </cell>
          <cell r="B1040">
            <v>5</v>
          </cell>
          <cell r="C1040">
            <v>2023</v>
          </cell>
          <cell r="D1040">
            <v>8</v>
          </cell>
          <cell r="E1040">
            <v>32</v>
          </cell>
          <cell r="F1040">
            <v>0.78358841079999997</v>
          </cell>
          <cell r="G1040">
            <v>30.359591551000001</v>
          </cell>
          <cell r="H1040">
            <v>0.39984510919999999</v>
          </cell>
          <cell r="I1040" t="str">
            <v>Motorcyclist</v>
          </cell>
          <cell r="J1040" t="str">
            <v>2022/23</v>
          </cell>
        </row>
        <row r="1041">
          <cell r="A1041" t="str">
            <v>15 SOUTHLAND</v>
          </cell>
          <cell r="B1041">
            <v>5</v>
          </cell>
          <cell r="C1041">
            <v>2028</v>
          </cell>
          <cell r="D1041">
            <v>8</v>
          </cell>
          <cell r="E1041">
            <v>32</v>
          </cell>
          <cell r="F1041">
            <v>0.80952731379999998</v>
          </cell>
          <cell r="G1041">
            <v>32.291606518000002</v>
          </cell>
          <cell r="H1041">
            <v>0.42280207720000001</v>
          </cell>
          <cell r="I1041" t="str">
            <v>Motorcyclist</v>
          </cell>
          <cell r="J1041" t="str">
            <v>2027/28</v>
          </cell>
        </row>
        <row r="1042">
          <cell r="A1042" t="str">
            <v>15 SOUTHLAND</v>
          </cell>
          <cell r="B1042">
            <v>5</v>
          </cell>
          <cell r="C1042">
            <v>2033</v>
          </cell>
          <cell r="D1042">
            <v>8</v>
          </cell>
          <cell r="E1042">
            <v>32</v>
          </cell>
          <cell r="F1042">
            <v>0.79984297199999999</v>
          </cell>
          <cell r="G1042">
            <v>32.572414488</v>
          </cell>
          <cell r="H1042">
            <v>0.4246982567</v>
          </cell>
          <cell r="I1042" t="str">
            <v>Motorcyclist</v>
          </cell>
          <cell r="J1042" t="str">
            <v>2032/33</v>
          </cell>
        </row>
        <row r="1043">
          <cell r="A1043" t="str">
            <v>15 SOUTHLAND</v>
          </cell>
          <cell r="B1043">
            <v>5</v>
          </cell>
          <cell r="C1043">
            <v>2038</v>
          </cell>
          <cell r="D1043">
            <v>8</v>
          </cell>
          <cell r="E1043">
            <v>32</v>
          </cell>
          <cell r="F1043">
            <v>0.76627698050000004</v>
          </cell>
          <cell r="G1043">
            <v>31.700759409</v>
          </cell>
          <cell r="H1043">
            <v>0.41221104790000002</v>
          </cell>
          <cell r="I1043" t="str">
            <v>Motorcyclist</v>
          </cell>
          <cell r="J1043" t="str">
            <v>2037/38</v>
          </cell>
        </row>
        <row r="1044">
          <cell r="A1044" t="str">
            <v>15 SOUTHLAND</v>
          </cell>
          <cell r="B1044">
            <v>5</v>
          </cell>
          <cell r="C1044">
            <v>2043</v>
          </cell>
          <cell r="D1044">
            <v>8</v>
          </cell>
          <cell r="E1044">
            <v>32</v>
          </cell>
          <cell r="F1044">
            <v>0.72578124860000004</v>
          </cell>
          <cell r="G1044">
            <v>30.354533956000001</v>
          </cell>
          <cell r="H1044">
            <v>0.39392368500000002</v>
          </cell>
          <cell r="I1044" t="str">
            <v>Motorcyclist</v>
          </cell>
          <cell r="J1044" t="str">
            <v>2042/43</v>
          </cell>
        </row>
        <row r="1045">
          <cell r="A1045" t="str">
            <v>15 SOUTHLAND</v>
          </cell>
          <cell r="B1045">
            <v>7</v>
          </cell>
          <cell r="C1045">
            <v>2013</v>
          </cell>
          <cell r="D1045">
            <v>37</v>
          </cell>
          <cell r="E1045">
            <v>119</v>
          </cell>
          <cell r="F1045">
            <v>2.6369167839999998</v>
          </cell>
          <cell r="G1045">
            <v>30.182609224</v>
          </cell>
          <cell r="H1045">
            <v>1.2152660816</v>
          </cell>
          <cell r="I1045" t="str">
            <v>Local Bus</v>
          </cell>
          <cell r="J1045" t="str">
            <v>2012/13</v>
          </cell>
        </row>
        <row r="1046">
          <cell r="A1046" t="str">
            <v>15 SOUTHLAND</v>
          </cell>
          <cell r="B1046">
            <v>7</v>
          </cell>
          <cell r="C1046">
            <v>2018</v>
          </cell>
          <cell r="D1046">
            <v>37</v>
          </cell>
          <cell r="E1046">
            <v>119</v>
          </cell>
          <cell r="F1046">
            <v>2.5400170551999999</v>
          </cell>
          <cell r="G1046">
            <v>28.717855183000001</v>
          </cell>
          <cell r="H1046">
            <v>1.1558512283</v>
          </cell>
          <cell r="I1046" t="str">
            <v>Local Bus</v>
          </cell>
          <cell r="J1046" t="str">
            <v>2017/18</v>
          </cell>
        </row>
        <row r="1047">
          <cell r="A1047" t="str">
            <v>15 SOUTHLAND</v>
          </cell>
          <cell r="B1047">
            <v>7</v>
          </cell>
          <cell r="C1047">
            <v>2023</v>
          </cell>
          <cell r="D1047">
            <v>37</v>
          </cell>
          <cell r="E1047">
            <v>119</v>
          </cell>
          <cell r="F1047">
            <v>2.7237699873999999</v>
          </cell>
          <cell r="G1047">
            <v>30.550754956999999</v>
          </cell>
          <cell r="H1047">
            <v>1.2277835051999999</v>
          </cell>
          <cell r="I1047" t="str">
            <v>Local Bus</v>
          </cell>
          <cell r="J1047" t="str">
            <v>2022/23</v>
          </cell>
        </row>
        <row r="1048">
          <cell r="A1048" t="str">
            <v>15 SOUTHLAND</v>
          </cell>
          <cell r="B1048">
            <v>7</v>
          </cell>
          <cell r="C1048">
            <v>2028</v>
          </cell>
          <cell r="D1048">
            <v>37</v>
          </cell>
          <cell r="E1048">
            <v>119</v>
          </cell>
          <cell r="F1048">
            <v>2.7910842603999999</v>
          </cell>
          <cell r="G1048">
            <v>30.785974365000001</v>
          </cell>
          <cell r="H1048">
            <v>1.2509423260000001</v>
          </cell>
          <cell r="I1048" t="str">
            <v>Local Bus</v>
          </cell>
          <cell r="J1048" t="str">
            <v>2027/28</v>
          </cell>
        </row>
        <row r="1049">
          <cell r="A1049" t="str">
            <v>15 SOUTHLAND</v>
          </cell>
          <cell r="B1049">
            <v>7</v>
          </cell>
          <cell r="C1049">
            <v>2033</v>
          </cell>
          <cell r="D1049">
            <v>37</v>
          </cell>
          <cell r="E1049">
            <v>119</v>
          </cell>
          <cell r="F1049">
            <v>2.7348446332999998</v>
          </cell>
          <cell r="G1049">
            <v>29.562617405000001</v>
          </cell>
          <cell r="H1049">
            <v>1.2157783213</v>
          </cell>
          <cell r="I1049" t="str">
            <v>Local Bus</v>
          </cell>
          <cell r="J1049" t="str">
            <v>2032/33</v>
          </cell>
        </row>
        <row r="1050">
          <cell r="A1050" t="str">
            <v>15 SOUTHLAND</v>
          </cell>
          <cell r="B1050">
            <v>7</v>
          </cell>
          <cell r="C1050">
            <v>2038</v>
          </cell>
          <cell r="D1050">
            <v>37</v>
          </cell>
          <cell r="E1050">
            <v>119</v>
          </cell>
          <cell r="F1050">
            <v>2.6345027650000001</v>
          </cell>
          <cell r="G1050">
            <v>27.612833348999999</v>
          </cell>
          <cell r="H1050">
            <v>1.1596359704999999</v>
          </cell>
          <cell r="I1050" t="str">
            <v>Local Bus</v>
          </cell>
          <cell r="J1050" t="str">
            <v>2037/38</v>
          </cell>
        </row>
        <row r="1051">
          <cell r="A1051" t="str">
            <v>15 SOUTHLAND</v>
          </cell>
          <cell r="B1051">
            <v>7</v>
          </cell>
          <cell r="C1051">
            <v>2043</v>
          </cell>
          <cell r="D1051">
            <v>37</v>
          </cell>
          <cell r="E1051">
            <v>119</v>
          </cell>
          <cell r="F1051">
            <v>2.5180137083999998</v>
          </cell>
          <cell r="G1051">
            <v>25.609573316999999</v>
          </cell>
          <cell r="H1051">
            <v>1.0995886842</v>
          </cell>
          <cell r="I1051" t="str">
            <v>Local Bus</v>
          </cell>
          <cell r="J1051" t="str">
            <v>2042/43</v>
          </cell>
        </row>
        <row r="1052">
          <cell r="A1052" t="str">
            <v>15 SOUTHLAND</v>
          </cell>
          <cell r="B1052">
            <v>9</v>
          </cell>
          <cell r="C1052">
            <v>2013</v>
          </cell>
          <cell r="D1052">
            <v>3</v>
          </cell>
          <cell r="E1052">
            <v>20</v>
          </cell>
          <cell r="F1052">
            <v>0.42937289560000003</v>
          </cell>
          <cell r="G1052">
            <v>0</v>
          </cell>
          <cell r="H1052">
            <v>8.5162673699999997E-2</v>
          </cell>
          <cell r="I1052" t="str">
            <v>Other Household Travel</v>
          </cell>
          <cell r="J1052" t="str">
            <v>2012/13</v>
          </cell>
        </row>
        <row r="1053">
          <cell r="A1053" t="str">
            <v>15 SOUTHLAND</v>
          </cell>
          <cell r="B1053">
            <v>9</v>
          </cell>
          <cell r="C1053">
            <v>2018</v>
          </cell>
          <cell r="D1053">
            <v>3</v>
          </cell>
          <cell r="E1053">
            <v>20</v>
          </cell>
          <cell r="F1053">
            <v>0.47008191490000001</v>
          </cell>
          <cell r="G1053">
            <v>0</v>
          </cell>
          <cell r="H1053">
            <v>9.3476014499999996E-2</v>
          </cell>
          <cell r="I1053" t="str">
            <v>Other Household Travel</v>
          </cell>
          <cell r="J1053" t="str">
            <v>2017/18</v>
          </cell>
        </row>
        <row r="1054">
          <cell r="A1054" t="str">
            <v>15 SOUTHLAND</v>
          </cell>
          <cell r="B1054">
            <v>9</v>
          </cell>
          <cell r="C1054">
            <v>2023</v>
          </cell>
          <cell r="D1054">
            <v>3</v>
          </cell>
          <cell r="E1054">
            <v>20</v>
          </cell>
          <cell r="F1054">
            <v>0.54559941469999995</v>
          </cell>
          <cell r="G1054">
            <v>0</v>
          </cell>
          <cell r="H1054">
            <v>0.1082054916</v>
          </cell>
          <cell r="I1054" t="str">
            <v>Other Household Travel</v>
          </cell>
          <cell r="J1054" t="str">
            <v>2022/23</v>
          </cell>
        </row>
        <row r="1055">
          <cell r="A1055" t="str">
            <v>15 SOUTHLAND</v>
          </cell>
          <cell r="B1055">
            <v>9</v>
          </cell>
          <cell r="C1055">
            <v>2028</v>
          </cell>
          <cell r="D1055">
            <v>3</v>
          </cell>
          <cell r="E1055">
            <v>20</v>
          </cell>
          <cell r="F1055">
            <v>0.60142967280000004</v>
          </cell>
          <cell r="G1055">
            <v>0</v>
          </cell>
          <cell r="H1055">
            <v>0.1185834313</v>
          </cell>
          <cell r="I1055" t="str">
            <v>Other Household Travel</v>
          </cell>
          <cell r="J1055" t="str">
            <v>2027/28</v>
          </cell>
        </row>
        <row r="1056">
          <cell r="A1056" t="str">
            <v>15 SOUTHLAND</v>
          </cell>
          <cell r="B1056">
            <v>9</v>
          </cell>
          <cell r="C1056">
            <v>2033</v>
          </cell>
          <cell r="D1056">
            <v>3</v>
          </cell>
          <cell r="E1056">
            <v>20</v>
          </cell>
          <cell r="F1056">
            <v>0.64104500379999996</v>
          </cell>
          <cell r="G1056">
            <v>0</v>
          </cell>
          <cell r="H1056">
            <v>0.125999739</v>
          </cell>
          <cell r="I1056" t="str">
            <v>Other Household Travel</v>
          </cell>
          <cell r="J1056" t="str">
            <v>2032/33</v>
          </cell>
        </row>
        <row r="1057">
          <cell r="A1057" t="str">
            <v>15 SOUTHLAND</v>
          </cell>
          <cell r="B1057">
            <v>9</v>
          </cell>
          <cell r="C1057">
            <v>2038</v>
          </cell>
          <cell r="D1057">
            <v>3</v>
          </cell>
          <cell r="E1057">
            <v>20</v>
          </cell>
          <cell r="F1057">
            <v>0.64430218370000003</v>
          </cell>
          <cell r="G1057">
            <v>0</v>
          </cell>
          <cell r="H1057">
            <v>0.12589583770000001</v>
          </cell>
          <cell r="I1057" t="str">
            <v>Other Household Travel</v>
          </cell>
          <cell r="J1057" t="str">
            <v>2037/38</v>
          </cell>
        </row>
        <row r="1058">
          <cell r="A1058" t="str">
            <v>15 SOUTHLAND</v>
          </cell>
          <cell r="B1058">
            <v>9</v>
          </cell>
          <cell r="C1058">
            <v>2043</v>
          </cell>
          <cell r="D1058">
            <v>3</v>
          </cell>
          <cell r="E1058">
            <v>20</v>
          </cell>
          <cell r="F1058">
            <v>0.63344300090000005</v>
          </cell>
          <cell r="G1058">
            <v>0</v>
          </cell>
          <cell r="H1058">
            <v>0.122681178</v>
          </cell>
          <cell r="I1058" t="str">
            <v>Other Household Travel</v>
          </cell>
          <cell r="J1058" t="str">
            <v>2042/43</v>
          </cell>
        </row>
        <row r="1059">
          <cell r="A1059" t="str">
            <v>15 SOUTHLAND</v>
          </cell>
          <cell r="B1059">
            <v>10</v>
          </cell>
          <cell r="C1059">
            <v>2013</v>
          </cell>
          <cell r="D1059">
            <v>4</v>
          </cell>
          <cell r="E1059">
            <v>5</v>
          </cell>
          <cell r="F1059">
            <v>0.11858970739999999</v>
          </cell>
          <cell r="G1059">
            <v>7.7216256564999997</v>
          </cell>
          <cell r="H1059">
            <v>0.2054826143</v>
          </cell>
          <cell r="I1059" t="str">
            <v>Air/Non-Local PT</v>
          </cell>
          <cell r="J1059" t="str">
            <v>2012/13</v>
          </cell>
        </row>
        <row r="1060">
          <cell r="A1060" t="str">
            <v>15 SOUTHLAND</v>
          </cell>
          <cell r="B1060">
            <v>10</v>
          </cell>
          <cell r="C1060">
            <v>2018</v>
          </cell>
          <cell r="D1060">
            <v>4</v>
          </cell>
          <cell r="E1060">
            <v>5</v>
          </cell>
          <cell r="F1060">
            <v>0.14017953420000001</v>
          </cell>
          <cell r="G1060">
            <v>7.6706527893000001</v>
          </cell>
          <cell r="H1060">
            <v>0.2335711224</v>
          </cell>
          <cell r="I1060" t="str">
            <v>Air/Non-Local PT</v>
          </cell>
          <cell r="J1060" t="str">
            <v>2017/18</v>
          </cell>
        </row>
        <row r="1061">
          <cell r="A1061" t="str">
            <v>15 SOUTHLAND</v>
          </cell>
          <cell r="B1061">
            <v>10</v>
          </cell>
          <cell r="C1061">
            <v>2023</v>
          </cell>
          <cell r="D1061">
            <v>4</v>
          </cell>
          <cell r="E1061">
            <v>5</v>
          </cell>
          <cell r="F1061">
            <v>0.16834918360000001</v>
          </cell>
          <cell r="G1061">
            <v>7.4552565565000002</v>
          </cell>
          <cell r="H1061">
            <v>0.26850282669999997</v>
          </cell>
          <cell r="I1061" t="str">
            <v>Air/Non-Local PT</v>
          </cell>
          <cell r="J1061" t="str">
            <v>2022/23</v>
          </cell>
        </row>
        <row r="1062">
          <cell r="A1062" t="str">
            <v>15 SOUTHLAND</v>
          </cell>
          <cell r="B1062">
            <v>10</v>
          </cell>
          <cell r="C1062">
            <v>2028</v>
          </cell>
          <cell r="D1062">
            <v>4</v>
          </cell>
          <cell r="E1062">
            <v>5</v>
          </cell>
          <cell r="F1062">
            <v>0.1828096055</v>
          </cell>
          <cell r="G1062">
            <v>6.9142893575000004</v>
          </cell>
          <cell r="H1062">
            <v>0.28346629200000001</v>
          </cell>
          <cell r="I1062" t="str">
            <v>Air/Non-Local PT</v>
          </cell>
          <cell r="J1062" t="str">
            <v>2027/28</v>
          </cell>
        </row>
        <row r="1063">
          <cell r="A1063" t="str">
            <v>15 SOUTHLAND</v>
          </cell>
          <cell r="B1063">
            <v>10</v>
          </cell>
          <cell r="C1063">
            <v>2033</v>
          </cell>
          <cell r="D1063">
            <v>4</v>
          </cell>
          <cell r="E1063">
            <v>5</v>
          </cell>
          <cell r="F1063">
            <v>0.18973907910000001</v>
          </cell>
          <cell r="G1063">
            <v>6.8802077532999997</v>
          </cell>
          <cell r="H1063">
            <v>0.29231627329999998</v>
          </cell>
          <cell r="I1063" t="str">
            <v>Air/Non-Local PT</v>
          </cell>
          <cell r="J1063" t="str">
            <v>2032/33</v>
          </cell>
        </row>
        <row r="1064">
          <cell r="A1064" t="str">
            <v>15 SOUTHLAND</v>
          </cell>
          <cell r="B1064">
            <v>10</v>
          </cell>
          <cell r="C1064">
            <v>2038</v>
          </cell>
          <cell r="D1064">
            <v>4</v>
          </cell>
          <cell r="E1064">
            <v>5</v>
          </cell>
          <cell r="F1064">
            <v>0.19881352529999999</v>
          </cell>
          <cell r="G1064">
            <v>6.8584038601000001</v>
          </cell>
          <cell r="H1064">
            <v>0.30517070229999999</v>
          </cell>
          <cell r="I1064" t="str">
            <v>Air/Non-Local PT</v>
          </cell>
          <cell r="J1064" t="str">
            <v>2037/38</v>
          </cell>
        </row>
        <row r="1065">
          <cell r="A1065" t="str">
            <v>15 SOUTHLAND</v>
          </cell>
          <cell r="B1065">
            <v>10</v>
          </cell>
          <cell r="C1065">
            <v>2043</v>
          </cell>
          <cell r="D1065">
            <v>4</v>
          </cell>
          <cell r="E1065">
            <v>5</v>
          </cell>
          <cell r="F1065">
            <v>0.20542291200000001</v>
          </cell>
          <cell r="G1065">
            <v>6.6639593750000001</v>
          </cell>
          <cell r="H1065">
            <v>0.31329442390000001</v>
          </cell>
          <cell r="I1065" t="str">
            <v>Air/Non-Local PT</v>
          </cell>
          <cell r="J1065" t="str">
            <v>2042/43</v>
          </cell>
        </row>
        <row r="1066">
          <cell r="A1066" t="str">
            <v>15 SOUTHLAND</v>
          </cell>
          <cell r="B1066">
            <v>11</v>
          </cell>
          <cell r="C1066">
            <v>2013</v>
          </cell>
          <cell r="D1066">
            <v>3</v>
          </cell>
          <cell r="E1066">
            <v>9</v>
          </cell>
          <cell r="F1066">
            <v>0.1918163457</v>
          </cell>
          <cell r="G1066">
            <v>7.2518167408999998</v>
          </cell>
          <cell r="H1066">
            <v>0.26579174360000002</v>
          </cell>
          <cell r="I1066" t="str">
            <v>Non-Household Travel</v>
          </cell>
          <cell r="J1066" t="str">
            <v>2012/13</v>
          </cell>
        </row>
        <row r="1067">
          <cell r="A1067" t="str">
            <v>15 SOUTHLAND</v>
          </cell>
          <cell r="B1067">
            <v>11</v>
          </cell>
          <cell r="C1067">
            <v>2018</v>
          </cell>
          <cell r="D1067">
            <v>3</v>
          </cell>
          <cell r="E1067">
            <v>9</v>
          </cell>
          <cell r="F1067">
            <v>0.19945907290000001</v>
          </cell>
          <cell r="G1067">
            <v>8.6358146637999997</v>
          </cell>
          <cell r="H1067">
            <v>0.3605622007</v>
          </cell>
          <cell r="I1067" t="str">
            <v>Non-Household Travel</v>
          </cell>
          <cell r="J1067" t="str">
            <v>2017/18</v>
          </cell>
        </row>
        <row r="1068">
          <cell r="A1068" t="str">
            <v>15 SOUTHLAND</v>
          </cell>
          <cell r="B1068">
            <v>11</v>
          </cell>
          <cell r="C1068">
            <v>2023</v>
          </cell>
          <cell r="D1068">
            <v>3</v>
          </cell>
          <cell r="E1068">
            <v>9</v>
          </cell>
          <cell r="F1068">
            <v>0.2354986248</v>
          </cell>
          <cell r="G1068">
            <v>11.021047619999999</v>
          </cell>
          <cell r="H1068">
            <v>0.48015379260000002</v>
          </cell>
          <cell r="I1068" t="str">
            <v>Non-Household Travel</v>
          </cell>
          <cell r="J1068" t="str">
            <v>2022/23</v>
          </cell>
        </row>
        <row r="1069">
          <cell r="A1069" t="str">
            <v>15 SOUTHLAND</v>
          </cell>
          <cell r="B1069">
            <v>11</v>
          </cell>
          <cell r="C1069">
            <v>2028</v>
          </cell>
          <cell r="D1069">
            <v>3</v>
          </cell>
          <cell r="E1069">
            <v>9</v>
          </cell>
          <cell r="F1069">
            <v>0.28145962619999998</v>
          </cell>
          <cell r="G1069">
            <v>12.674949406</v>
          </cell>
          <cell r="H1069">
            <v>0.52486054110000002</v>
          </cell>
          <cell r="I1069" t="str">
            <v>Non-Household Travel</v>
          </cell>
          <cell r="J1069" t="str">
            <v>2027/28</v>
          </cell>
        </row>
        <row r="1070">
          <cell r="A1070" t="str">
            <v>15 SOUTHLAND</v>
          </cell>
          <cell r="B1070">
            <v>11</v>
          </cell>
          <cell r="C1070">
            <v>2033</v>
          </cell>
          <cell r="D1070">
            <v>3</v>
          </cell>
          <cell r="E1070">
            <v>9</v>
          </cell>
          <cell r="F1070">
            <v>0.30903531779999999</v>
          </cell>
          <cell r="G1070">
            <v>13.787263346</v>
          </cell>
          <cell r="H1070">
            <v>0.56404974119999995</v>
          </cell>
          <cell r="I1070" t="str">
            <v>Non-Household Travel</v>
          </cell>
          <cell r="J1070" t="str">
            <v>2032/33</v>
          </cell>
        </row>
        <row r="1071">
          <cell r="A1071" t="str">
            <v>15 SOUTHLAND</v>
          </cell>
          <cell r="B1071">
            <v>11</v>
          </cell>
          <cell r="C1071">
            <v>2038</v>
          </cell>
          <cell r="D1071">
            <v>3</v>
          </cell>
          <cell r="E1071">
            <v>9</v>
          </cell>
          <cell r="F1071">
            <v>0.31178584069999998</v>
          </cell>
          <cell r="G1071">
            <v>14.245192634</v>
          </cell>
          <cell r="H1071">
            <v>0.60851904580000005</v>
          </cell>
          <cell r="I1071" t="str">
            <v>Non-Household Travel</v>
          </cell>
          <cell r="J1071" t="str">
            <v>2037/38</v>
          </cell>
        </row>
        <row r="1072">
          <cell r="A1072" t="str">
            <v>15 SOUTHLAND</v>
          </cell>
          <cell r="B1072">
            <v>11</v>
          </cell>
          <cell r="C1072">
            <v>2043</v>
          </cell>
          <cell r="D1072">
            <v>3</v>
          </cell>
          <cell r="E1072">
            <v>9</v>
          </cell>
          <cell r="F1072">
            <v>0.30976673220000001</v>
          </cell>
          <cell r="G1072">
            <v>14.558027216999999</v>
          </cell>
          <cell r="H1072">
            <v>0.6490158788</v>
          </cell>
          <cell r="I1072" t="str">
            <v>Non-Household Travel</v>
          </cell>
          <cell r="J1072" t="str">
            <v>2042/43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5"/>
  <sheetViews>
    <sheetView workbookViewId="0">
      <selection activeCell="A6" sqref="A6"/>
    </sheetView>
  </sheetViews>
  <sheetFormatPr defaultRowHeight="12.75" x14ac:dyDescent="0.2"/>
  <sheetData>
    <row r="3" spans="1:1" x14ac:dyDescent="0.2">
      <c r="A3" t="s">
        <v>117</v>
      </c>
    </row>
    <row r="5" spans="1:1" x14ac:dyDescent="0.2">
      <c r="A5" t="s">
        <v>125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K190"/>
  <sheetViews>
    <sheetView topLeftCell="A92" workbookViewId="0">
      <selection activeCell="K7" sqref="K7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13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OFFSET(Northland_Reference,0,6)</f>
        <v>17.849116999</v>
      </c>
      <c r="C5" s="4">
        <f ca="1">OFFSET(Northland_Reference,1,6)</f>
        <v>16.287674259999999</v>
      </c>
      <c r="D5" s="4">
        <f ca="1">OFFSET(Northland_Reference,2,6)</f>
        <v>16.015147476999999</v>
      </c>
      <c r="E5" s="4">
        <f ca="1">OFFSET(Northland_Reference,3,6)</f>
        <v>15.006773715</v>
      </c>
      <c r="F5" s="4">
        <f ca="1">OFFSET(Northland_Reference,4,6)</f>
        <v>13.867542179000001</v>
      </c>
      <c r="G5" s="4">
        <f ca="1">OFFSET(Northland_Reference,5,6)</f>
        <v>12.622053044999999</v>
      </c>
      <c r="H5" s="4">
        <f ca="1">OFFSET(Northland_Reference,6,6)</f>
        <v>11.44996671</v>
      </c>
      <c r="I5" s="1">
        <f ca="1">H5*('Updated Population'!I$4/'Updated Population'!H$4)</f>
        <v>11.504272705730074</v>
      </c>
      <c r="J5" s="1">
        <f ca="1">I5*('Updated Population'!J$4/'Updated Population'!I$4)</f>
        <v>11.522042501641094</v>
      </c>
      <c r="K5" s="1">
        <f ca="1">J5*('Updated Population'!K$4/'Updated Population'!J$4)</f>
        <v>11.515039884337501</v>
      </c>
    </row>
    <row r="6" spans="1:11" x14ac:dyDescent="0.2">
      <c r="A6" t="str">
        <f ca="1">OFFSET(Northland_Reference,7,2)</f>
        <v>Cyclist</v>
      </c>
      <c r="B6" s="4">
        <f ca="1">OFFSET(Northland_Reference,7,6)</f>
        <v>1.0072239942000001</v>
      </c>
      <c r="C6" s="4">
        <f ca="1">OFFSET(Northland_Reference,8,6)</f>
        <v>0.91412754689999998</v>
      </c>
      <c r="D6" s="4">
        <f ca="1">OFFSET(Northland_Reference,9,6)</f>
        <v>0.92269632989999995</v>
      </c>
      <c r="E6" s="4">
        <f ca="1">OFFSET(Northland_Reference,10,6)</f>
        <v>0.83605250600000003</v>
      </c>
      <c r="F6" s="4">
        <f ca="1">OFFSET(Northland_Reference,11,6)</f>
        <v>0.71153155840000004</v>
      </c>
      <c r="G6" s="4">
        <f ca="1">OFFSET(Northland_Reference,12,6)</f>
        <v>0.52121459130000003</v>
      </c>
      <c r="H6" s="4">
        <f ca="1">OFFSET(Northland_Reference,13,6)</f>
        <v>0.35445561450000002</v>
      </c>
      <c r="I6" s="1">
        <f ca="1">H6*('Updated Population'!I$4/'Updated Population'!H$4)</f>
        <v>0.35613676044348352</v>
      </c>
      <c r="J6" s="1">
        <f ca="1">I6*('Updated Population'!J$4/'Updated Population'!I$4)</f>
        <v>0.35668685845588027</v>
      </c>
      <c r="K6" s="1">
        <f ca="1">J6*('Updated Population'!K$4/'Updated Population'!J$4)</f>
        <v>0.35647007904661915</v>
      </c>
    </row>
    <row r="7" spans="1:11" x14ac:dyDescent="0.2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OFFSET(Northland_Reference,15,6)</f>
        <v>979.62097317999996</v>
      </c>
      <c r="D7" s="4">
        <f ca="1">OFFSET(Northland_Reference,16,6)</f>
        <v>1020.5107126</v>
      </c>
      <c r="E7" s="4">
        <f ca="1">OFFSET(Northland_Reference,17,6)</f>
        <v>1022.0614009</v>
      </c>
      <c r="F7" s="4">
        <f ca="1">OFFSET(Northland_Reference,18,6)</f>
        <v>1019.0959518</v>
      </c>
      <c r="G7" s="4">
        <f ca="1">OFFSET(Northland_Reference,19,6)</f>
        <v>1000.5854423</v>
      </c>
      <c r="H7" s="4">
        <f ca="1">OFFSET(Northland_Reference,20,6)</f>
        <v>978.35266875000002</v>
      </c>
      <c r="I7" s="1">
        <f ca="1">H7*('Updated Population'!I$4/'Updated Population'!H$4)</f>
        <v>982.9928932325081</v>
      </c>
      <c r="J7" s="1">
        <f ca="1">I7*('Updated Population'!J$4/'Updated Population'!I$4)</f>
        <v>984.5112493721382</v>
      </c>
      <c r="K7" s="1">
        <f ca="1">J7*('Updated Population'!K$4/'Updated Population'!J$4)</f>
        <v>983.9129044598144</v>
      </c>
    </row>
    <row r="8" spans="1:11" x14ac:dyDescent="0.2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OFFSET(Northland_Reference,22,6)</f>
        <v>617.22502659999998</v>
      </c>
      <c r="D8" s="4">
        <f ca="1">OFFSET(Northland_Reference,23,6)</f>
        <v>627.50926823999998</v>
      </c>
      <c r="E8" s="4">
        <f ca="1">OFFSET(Northland_Reference,24,6)</f>
        <v>622.67475233000005</v>
      </c>
      <c r="F8" s="4">
        <f ca="1">OFFSET(Northland_Reference,25,6)</f>
        <v>616.53674136999996</v>
      </c>
      <c r="G8" s="4">
        <f ca="1">OFFSET(Northland_Reference,26,6)</f>
        <v>608.74768255000004</v>
      </c>
      <c r="H8" s="4">
        <f ca="1">OFFSET(Northland_Reference,27,6)</f>
        <v>599.76318430000003</v>
      </c>
      <c r="I8" s="1">
        <f ca="1">H8*('Updated Population'!I$4/'Updated Population'!H$4)</f>
        <v>602.60779841553324</v>
      </c>
      <c r="J8" s="1">
        <f ca="1">I8*('Updated Population'!J$4/'Updated Population'!I$4)</f>
        <v>603.53860194098331</v>
      </c>
      <c r="K8" s="1">
        <f ca="1">J8*('Updated Population'!K$4/'Updated Population'!J$4)</f>
        <v>603.17179632845955</v>
      </c>
    </row>
    <row r="9" spans="1:11" x14ac:dyDescent="0.2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OFFSET(Northland_Reference,29,6)</f>
        <v>0.72084069399999995</v>
      </c>
      <c r="D9" s="4">
        <f ca="1">OFFSET(Northland_Reference,30,6)</f>
        <v>0.80620093960000005</v>
      </c>
      <c r="E9" s="4">
        <f ca="1">OFFSET(Northland_Reference,31,6)</f>
        <v>0.93070394209999996</v>
      </c>
      <c r="F9" s="4">
        <f ca="1">OFFSET(Northland_Reference,32,6)</f>
        <v>1.0030765751999999</v>
      </c>
      <c r="G9" s="4">
        <f ca="1">OFFSET(Northland_Reference,33,6)</f>
        <v>0.97754679119999999</v>
      </c>
      <c r="H9" s="4">
        <f ca="1">OFFSET(Northland_Reference,34,6)</f>
        <v>0.94618356910000001</v>
      </c>
      <c r="I9" s="1">
        <f ca="1">H9*('Updated Population'!I$4/'Updated Population'!H$4)</f>
        <v>0.95067121890412865</v>
      </c>
      <c r="J9" s="1">
        <f ca="1">I9*('Updated Population'!J$4/'Updated Population'!I$4)</f>
        <v>0.95213965015315427</v>
      </c>
      <c r="K9" s="1">
        <f ca="1">J9*('Updated Population'!K$4/'Updated Population'!J$4)</f>
        <v>0.95156097934989603</v>
      </c>
    </row>
    <row r="10" spans="1:11" x14ac:dyDescent="0.2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OFFSET(Northland_Reference,36,6)</f>
        <v>8.6137890520999996</v>
      </c>
      <c r="D10" s="4">
        <f ca="1">OFFSET(Northland_Reference,37,6)</f>
        <v>8.2723490345999995</v>
      </c>
      <c r="E10" s="4">
        <f ca="1">OFFSET(Northland_Reference,38,6)</f>
        <v>7.8239587547999996</v>
      </c>
      <c r="F10" s="4">
        <f ca="1">OFFSET(Northland_Reference,39,6)</f>
        <v>7.4618017327999997</v>
      </c>
      <c r="G10" s="4">
        <f ca="1">OFFSET(Northland_Reference,40,6)</f>
        <v>7.2477340133999997</v>
      </c>
      <c r="H10" s="4">
        <f ca="1">OFFSET(Northland_Reference,41,6)</f>
        <v>6.9506554740000004</v>
      </c>
      <c r="I10" s="1">
        <f ca="1">H10*('Updated Population'!I$4/'Updated Population'!H$4)</f>
        <v>6.9836217066583535</v>
      </c>
      <c r="J10" s="1">
        <f ca="1">I10*('Updated Population'!J$4/'Updated Population'!I$4)</f>
        <v>6.9944087886079389</v>
      </c>
      <c r="K10" s="1">
        <f ca="1">J10*('Updated Population'!K$4/'Updated Population'!J$4)</f>
        <v>6.990157878406511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OFFSET(Northland_Reference,43,6)</f>
        <v>35.365298054</v>
      </c>
      <c r="D12" s="4">
        <f ca="1">OFFSET(Northland_Reference,44,6)</f>
        <v>31.667425569999999</v>
      </c>
      <c r="E12" s="4">
        <f ca="1">OFFSET(Northland_Reference,45,6)</f>
        <v>28.427366441</v>
      </c>
      <c r="F12" s="4">
        <f ca="1">OFFSET(Northland_Reference,46,6)</f>
        <v>25.624081072999999</v>
      </c>
      <c r="G12" s="4">
        <f ca="1">OFFSET(Northland_Reference,47,6)</f>
        <v>23.373778296000001</v>
      </c>
      <c r="H12" s="4">
        <f ca="1">OFFSET(Northland_Reference,48,6)</f>
        <v>21.369433756999999</v>
      </c>
      <c r="I12" s="1">
        <f ca="1">H12*('Updated Population'!I$4/'Updated Population'!H$4)</f>
        <v>21.470786748476229</v>
      </c>
      <c r="J12" s="1">
        <f ca="1">I12*('Updated Population'!J$4/'Updated Population'!I$4)</f>
        <v>21.503951078662823</v>
      </c>
      <c r="K12" s="1">
        <f ca="1">J12*('Updated Population'!K$4/'Updated Population'!J$4)</f>
        <v>21.490881873276919</v>
      </c>
    </row>
    <row r="13" spans="1:11" x14ac:dyDescent="0.2">
      <c r="A13" t="str">
        <f ca="1">OFFSET(Northland_Reference,49,2)</f>
        <v>Local Ferry</v>
      </c>
      <c r="B13" s="4">
        <f ca="1">OFFSET(Northland_Reference,49,6)</f>
        <v>0</v>
      </c>
      <c r="C13" s="4">
        <f ca="1">OFFSET(Northland_Reference,50,6)</f>
        <v>0</v>
      </c>
      <c r="D13" s="4">
        <f ca="1">OFFSET(Northland_Reference,51,6)</f>
        <v>0</v>
      </c>
      <c r="E13" s="4">
        <f ca="1">OFFSET(Northland_Reference,52,6)</f>
        <v>0</v>
      </c>
      <c r="F13" s="4">
        <f ca="1">OFFSET(Northland_Reference,53,6)</f>
        <v>0</v>
      </c>
      <c r="G13" s="4">
        <f ca="1">OFFSET(Northland_Reference,54,6)</f>
        <v>0</v>
      </c>
      <c r="H13" s="4">
        <f ca="1">OFFSET(Northland_Reference,55,6)</f>
        <v>0</v>
      </c>
      <c r="I13" s="1">
        <f ca="1">H13*('Updated Population'!I$4/'Updated Population'!H$4)</f>
        <v>0</v>
      </c>
      <c r="J13" s="1">
        <f ca="1">I13*('Updated Population'!J$4/'Updated Population'!I$4)</f>
        <v>0</v>
      </c>
      <c r="K13" s="1">
        <f ca="1">J13*('Updated Population'!K$4/'Updated Population'!J$4)</f>
        <v>0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OFFSET(Northland_Reference,57,6)</f>
        <v>0</v>
      </c>
      <c r="D14" s="4">
        <f ca="1">OFFSET(Northland_Reference,58,6)</f>
        <v>0</v>
      </c>
      <c r="E14" s="4">
        <f ca="1">OFFSET(Northland_Reference,59,6)</f>
        <v>0</v>
      </c>
      <c r="F14" s="4">
        <f ca="1">OFFSET(Northland_Reference,60,6)</f>
        <v>0</v>
      </c>
      <c r="G14" s="4">
        <f ca="1">OFFSET(Northland_Reference,61,6)</f>
        <v>0</v>
      </c>
      <c r="H14" s="4">
        <f ca="1">OFFSET(Northland_Reference,62,6)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OFFSET(Auckland_Reference,1,6)</f>
        <v>342.14627918999997</v>
      </c>
      <c r="D16" s="4">
        <f ca="1">OFFSET(Auckland_Reference,2,6)</f>
        <v>339.64112280000001</v>
      </c>
      <c r="E16" s="4">
        <f ca="1">OFFSET(Auckland_Reference,3,6)</f>
        <v>350.86382373999999</v>
      </c>
      <c r="F16" s="4">
        <f ca="1">OFFSET(Auckland_Reference,4,6)</f>
        <v>358.90277834</v>
      </c>
      <c r="G16" s="4">
        <f ca="1">OFFSET(Auckland_Reference,5,6)</f>
        <v>367.55161035999998</v>
      </c>
      <c r="H16" s="4">
        <f ca="1">OFFSET(Auckland_Reference,6,6)</f>
        <v>373.36967542999997</v>
      </c>
      <c r="I16" s="1">
        <f ca="1">H16*('Updated Population'!I$15/'Updated Population'!H$15)</f>
        <v>393.27345729560284</v>
      </c>
      <c r="J16" s="1">
        <f ca="1">I16*('Updated Population'!J$15/'Updated Population'!I$15)</f>
        <v>418.539992411892</v>
      </c>
      <c r="K16" s="1">
        <f ca="1">J16*('Updated Population'!K$15/'Updated Population'!J$15)</f>
        <v>444.80675832968603</v>
      </c>
    </row>
    <row r="17" spans="1:11" x14ac:dyDescent="0.2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OFFSET(Auckland_Reference,8,6)</f>
        <v>69.554132730999996</v>
      </c>
      <c r="D17" s="4">
        <f ca="1">OFFSET(Auckland_Reference,9,6)</f>
        <v>72.501759723000006</v>
      </c>
      <c r="E17" s="4">
        <f ca="1">OFFSET(Auckland_Reference,10,6)</f>
        <v>79.077059535999993</v>
      </c>
      <c r="F17" s="4">
        <f ca="1">OFFSET(Auckland_Reference,11,6)</f>
        <v>86.793581868999993</v>
      </c>
      <c r="G17" s="4">
        <f ca="1">OFFSET(Auckland_Reference,12,6)</f>
        <v>97.377299633999996</v>
      </c>
      <c r="H17" s="4">
        <f ca="1">OFFSET(Auckland_Reference,13,6)</f>
        <v>107.99120861</v>
      </c>
      <c r="I17" s="1">
        <f ca="1">H17*('Updated Population'!I$15/'Updated Population'!H$15)</f>
        <v>113.74805926237505</v>
      </c>
      <c r="J17" s="1">
        <f ca="1">I17*('Updated Population'!J$15/'Updated Population'!I$15)</f>
        <v>121.05600054457121</v>
      </c>
      <c r="K17" s="1">
        <f ca="1">J17*('Updated Population'!K$15/'Updated Population'!J$15)</f>
        <v>128.65324259287553</v>
      </c>
    </row>
    <row r="18" spans="1:11" x14ac:dyDescent="0.2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OFFSET(Auckland_Reference,15,6)</f>
        <v>11346.306594</v>
      </c>
      <c r="D18" s="4">
        <f ca="1">OFFSET(Auckland_Reference,16,6)</f>
        <v>11427.259187</v>
      </c>
      <c r="E18" s="4">
        <f ca="1">OFFSET(Auckland_Reference,17,6)</f>
        <v>12291.857877</v>
      </c>
      <c r="F18" s="4">
        <f ca="1">OFFSET(Auckland_Reference,18,6)</f>
        <v>13107.91568</v>
      </c>
      <c r="G18" s="4">
        <f ca="1">OFFSET(Auckland_Reference,19,6)</f>
        <v>13880.377645</v>
      </c>
      <c r="H18" s="4">
        <f ca="1">OFFSET(Auckland_Reference,20,6)</f>
        <v>14572.244902</v>
      </c>
      <c r="I18" s="1">
        <f ca="1">H18*('Updated Population'!I$15/'Updated Population'!H$15)</f>
        <v>15349.069595884197</v>
      </c>
      <c r="J18" s="1">
        <f ca="1">I18*('Updated Population'!J$15/'Updated Population'!I$15)</f>
        <v>16335.197184086195</v>
      </c>
      <c r="K18" s="1">
        <f ca="1">J18*('Updated Population'!K$15/'Updated Population'!J$15)</f>
        <v>17360.362779810541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OFFSET(Auckland_Reference,22,6)</f>
        <v>5623.5282719999996</v>
      </c>
      <c r="D19" s="4">
        <f ca="1">OFFSET(Auckland_Reference,23,6)</f>
        <v>5652.8861268999999</v>
      </c>
      <c r="E19" s="4">
        <f ca="1">OFFSET(Auckland_Reference,24,6)</f>
        <v>6047.8683154999999</v>
      </c>
      <c r="F19" s="4">
        <f ca="1">OFFSET(Auckland_Reference,25,6)</f>
        <v>6395.0218324999996</v>
      </c>
      <c r="G19" s="4">
        <f ca="1">OFFSET(Auckland_Reference,26,6)</f>
        <v>6742.7096505</v>
      </c>
      <c r="H19" s="4">
        <f ca="1">OFFSET(Auckland_Reference,27,6)</f>
        <v>7053.9001761</v>
      </c>
      <c r="I19" s="1">
        <f ca="1">H19*('Updated Population'!I$15/'Updated Population'!H$15)</f>
        <v>7429.9330990874869</v>
      </c>
      <c r="J19" s="1">
        <f ca="1">I19*('Updated Population'!J$15/'Updated Population'!I$15)</f>
        <v>7907.2820329583719</v>
      </c>
      <c r="K19" s="1">
        <f ca="1">J19*('Updated Population'!K$15/'Updated Population'!J$15)</f>
        <v>8403.5278636346829</v>
      </c>
    </row>
    <row r="20" spans="1:11" x14ac:dyDescent="0.2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OFFSET(Auckland_Reference,29,6)</f>
        <v>54.044127932999999</v>
      </c>
      <c r="D20" s="4">
        <f ca="1">OFFSET(Auckland_Reference,30,6)</f>
        <v>63.944659346000002</v>
      </c>
      <c r="E20" s="4">
        <f ca="1">OFFSET(Auckland_Reference,31,6)</f>
        <v>77.114565757999998</v>
      </c>
      <c r="F20" s="4">
        <f ca="1">OFFSET(Auckland_Reference,32,6)</f>
        <v>89.255331509000001</v>
      </c>
      <c r="G20" s="4">
        <f ca="1">OFFSET(Auckland_Reference,33,6)</f>
        <v>99.976288936000003</v>
      </c>
      <c r="H20" s="4">
        <f ca="1">OFFSET(Auckland_Reference,34,6)</f>
        <v>109.97842145</v>
      </c>
      <c r="I20" s="1">
        <f ca="1">H20*('Updated Population'!I$15/'Updated Population'!H$15)</f>
        <v>115.84120746212898</v>
      </c>
      <c r="J20" s="1">
        <f ca="1">I20*('Updated Population'!J$15/'Updated Population'!I$15)</f>
        <v>123.28362667949106</v>
      </c>
      <c r="K20" s="1">
        <f ca="1">J20*('Updated Population'!K$15/'Updated Population'!J$15)</f>
        <v>131.0206702648029</v>
      </c>
    </row>
    <row r="21" spans="1:11" x14ac:dyDescent="0.2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OFFSET(Auckland_Reference,36,6)</f>
        <v>53.812978743999999</v>
      </c>
      <c r="D21" s="4">
        <f ca="1">OFFSET(Auckland_Reference,37,6)</f>
        <v>54.652051385999997</v>
      </c>
      <c r="E21" s="4">
        <f ca="1">OFFSET(Auckland_Reference,38,6)</f>
        <v>59.548941352999996</v>
      </c>
      <c r="F21" s="4">
        <f ca="1">OFFSET(Auckland_Reference,39,6)</f>
        <v>63.769774656000003</v>
      </c>
      <c r="G21" s="4">
        <f ca="1">OFFSET(Auckland_Reference,40,6)</f>
        <v>66.351752641999994</v>
      </c>
      <c r="H21" s="4">
        <f ca="1">OFFSET(Auckland_Reference,41,6)</f>
        <v>68.538371632999997</v>
      </c>
      <c r="I21" s="1">
        <f ca="1">H21*('Updated Population'!I$15/'Updated Population'!H$15)</f>
        <v>72.192050247461054</v>
      </c>
      <c r="J21" s="1">
        <f ca="1">I21*('Updated Population'!J$15/'Updated Population'!I$15)</f>
        <v>76.830153681233725</v>
      </c>
      <c r="K21" s="1">
        <f ca="1">J21*('Updated Population'!K$15/'Updated Population'!J$15)</f>
        <v>81.651866537258925</v>
      </c>
    </row>
    <row r="22" spans="1:11" x14ac:dyDescent="0.2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152.76838634999999</v>
      </c>
      <c r="D22" s="4">
        <f ca="1">OFFSET(Auckland_Reference,44,6)</f>
        <v>154.57224120000001</v>
      </c>
      <c r="E22" s="4">
        <f ca="1">OFFSET(Auckland_Reference,45,6)</f>
        <v>162.57925829999999</v>
      </c>
      <c r="F22" s="4">
        <f ca="1">OFFSET(Auckland_Reference,46,6)</f>
        <v>168.90382101</v>
      </c>
      <c r="G22" s="4">
        <f ca="1">OFFSET(Auckland_Reference,47,6)</f>
        <v>173.60056195999999</v>
      </c>
      <c r="H22" s="4">
        <f ca="1">OFFSET(Auckland_Reference,48,6)</f>
        <v>177.04672131000001</v>
      </c>
      <c r="I22" s="1">
        <f ca="1">H22*('Updated Population'!I$15/'Updated Population'!H$15)</f>
        <v>186.48481859767085</v>
      </c>
      <c r="J22" s="1">
        <f ca="1">I22*('Updated Population'!J$15/'Updated Population'!I$15)</f>
        <v>198.46585909339706</v>
      </c>
      <c r="K22" s="1">
        <f ca="1">J22*('Updated Population'!K$15/'Updated Population'!J$15)</f>
        <v>210.92119516161657</v>
      </c>
    </row>
    <row r="23" spans="1:11" x14ac:dyDescent="0.2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512.43965706999995</v>
      </c>
      <c r="D23" s="4">
        <f ca="1">OFFSET(Auckland_Reference,51,6)</f>
        <v>500.69665226000001</v>
      </c>
      <c r="E23" s="4">
        <f ca="1">OFFSET(Auckland_Reference,52,6)</f>
        <v>506.64409809</v>
      </c>
      <c r="F23" s="4">
        <f ca="1">OFFSET(Auckland_Reference,53,6)</f>
        <v>502.64275629000002</v>
      </c>
      <c r="G23" s="4">
        <f ca="1">OFFSET(Auckland_Reference,54,6)</f>
        <v>500.86888120999998</v>
      </c>
      <c r="H23" s="4">
        <f ca="1">OFFSET(Auckland_Reference,55,6)</f>
        <v>494.76567552</v>
      </c>
      <c r="I23" s="1">
        <f ca="1">H23*('Updated Population'!I$15/'Updated Population'!H$15)</f>
        <v>521.14089752697305</v>
      </c>
      <c r="J23" s="1">
        <f ca="1">I23*('Updated Population'!J$15/'Updated Population'!I$15)</f>
        <v>554.62249803580801</v>
      </c>
      <c r="K23" s="1">
        <f ca="1">J23*('Updated Population'!K$15/'Updated Population'!J$15)</f>
        <v>589.42954059510544</v>
      </c>
    </row>
    <row r="24" spans="1:11" x14ac:dyDescent="0.2">
      <c r="A24" t="str">
        <f ca="1">OFFSET(Auckland_Reference,56,2)</f>
        <v>Local Ferry</v>
      </c>
      <c r="B24" s="4">
        <f ca="1">OFFSET(Auckland_Reference,56,6)</f>
        <v>0</v>
      </c>
      <c r="C24" s="4">
        <f ca="1">OFFSET(Auckland_Reference,57,6)</f>
        <v>0</v>
      </c>
      <c r="D24" s="4">
        <f ca="1">OFFSET(Auckland_Reference,58,6)</f>
        <v>0</v>
      </c>
      <c r="E24" s="4">
        <f ca="1">OFFSET(Auckland_Reference,59,6)</f>
        <v>0</v>
      </c>
      <c r="F24" s="4">
        <f ca="1">OFFSET(Auckland_Reference,60,6)</f>
        <v>0</v>
      </c>
      <c r="G24" s="4">
        <f ca="1">OFFSET(Auckland_Reference,61,6)</f>
        <v>0</v>
      </c>
      <c r="H24" s="4">
        <f ca="1">OFFSET(Auckland_Reference,62,6)</f>
        <v>0</v>
      </c>
      <c r="I24" s="1">
        <f ca="1">H24*('Updated Population'!I$15/'Updated Population'!H$15)</f>
        <v>0</v>
      </c>
      <c r="J24" s="1">
        <f ca="1">I24*('Updated Population'!J$15/'Updated Population'!I$15)</f>
        <v>0</v>
      </c>
      <c r="K24" s="1">
        <f ca="1">J24*('Updated Population'!K$15/'Updated Population'!J$15)</f>
        <v>0</v>
      </c>
    </row>
    <row r="25" spans="1:11" x14ac:dyDescent="0.2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OFFSET(Auckland_Reference,64,6)</f>
        <v>1.8041545906000001</v>
      </c>
      <c r="D25" s="4">
        <f ca="1">OFFSET(Auckland_Reference,65,6)</f>
        <v>1.3832028404000001</v>
      </c>
      <c r="E25" s="4">
        <f ca="1">OFFSET(Auckland_Reference,66,6)</f>
        <v>1.5365870468</v>
      </c>
      <c r="F25" s="4">
        <f ca="1">OFFSET(Auckland_Reference,67,6)</f>
        <v>1.5698518249</v>
      </c>
      <c r="G25" s="4">
        <f ca="1">OFFSET(Auckland_Reference,68,6)</f>
        <v>1.4976773827000001</v>
      </c>
      <c r="H25" s="4">
        <f ca="1">OFFSET(Auckland_Reference,69,6)</f>
        <v>1.4005667673</v>
      </c>
      <c r="I25" s="1">
        <f ca="1">H25*('Updated Population'!I$15/'Updated Population'!H$15)</f>
        <v>1.4752288977808621</v>
      </c>
      <c r="J25" s="1">
        <f ca="1">I25*('Updated Population'!J$15/'Updated Population'!I$15)</f>
        <v>1.5700075360511989</v>
      </c>
      <c r="K25" s="1">
        <f ca="1">J25*('Updated Population'!K$15/'Updated Population'!J$15)</f>
        <v>1.6685381930643652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OFFSET(Waikato_Reference,1,6)</f>
        <v>59.053394075</v>
      </c>
      <c r="D27" s="4">
        <f ca="1">OFFSET(Waikato_Reference,2,6)</f>
        <v>62.690442572999999</v>
      </c>
      <c r="E27" s="4">
        <f ca="1">OFFSET(Waikato_Reference,3,6)</f>
        <v>66.420171280000005</v>
      </c>
      <c r="F27" s="4">
        <f ca="1">OFFSET(Waikato_Reference,4,6)</f>
        <v>69.153630092</v>
      </c>
      <c r="G27" s="4">
        <f ca="1">OFFSET(Waikato_Reference,5,6)</f>
        <v>71.819578628000002</v>
      </c>
      <c r="H27" s="4">
        <f ca="1">OFFSET(Waikato_Reference,6,6)</f>
        <v>73.886317947999999</v>
      </c>
      <c r="I27" s="1">
        <f ca="1">H27*('Updated Population'!I$26/'Updated Population'!H$26)</f>
        <v>77.825087623378423</v>
      </c>
      <c r="J27" s="1">
        <f ca="1">I27*('Updated Population'!J$26/'Updated Population'!I$26)</f>
        <v>82.825095309852813</v>
      </c>
      <c r="K27" s="1">
        <f ca="1">J27*('Updated Population'!K$26/'Updated Population'!J$26)</f>
        <v>88.02303918634118</v>
      </c>
    </row>
    <row r="28" spans="1:11" x14ac:dyDescent="0.2">
      <c r="A28" t="str">
        <f ca="1">OFFSET(Waikato_Reference,7,2)</f>
        <v>Cyclist</v>
      </c>
      <c r="B28" s="4">
        <f ca="1">OFFSET(Waikato_Reference,7,6)</f>
        <v>21.829422874999999</v>
      </c>
      <c r="C28" s="4">
        <f ca="1">OFFSET(Waikato_Reference,8,6)</f>
        <v>24.274784031999999</v>
      </c>
      <c r="D28" s="4">
        <f ca="1">OFFSET(Waikato_Reference,9,6)</f>
        <v>25.670477012999999</v>
      </c>
      <c r="E28" s="4">
        <f ca="1">OFFSET(Waikato_Reference,10,6)</f>
        <v>26.714640275000001</v>
      </c>
      <c r="F28" s="4">
        <f ca="1">OFFSET(Waikato_Reference,11,6)</f>
        <v>27.683568758</v>
      </c>
      <c r="G28" s="4">
        <f ca="1">OFFSET(Waikato_Reference,12,6)</f>
        <v>28.752894631</v>
      </c>
      <c r="H28" s="4">
        <f ca="1">OFFSET(Waikato_Reference,13,6)</f>
        <v>29.695336135000002</v>
      </c>
      <c r="I28" s="1">
        <f ca="1">H28*('Updated Population'!I$26/'Updated Population'!H$26)</f>
        <v>31.278350321077376</v>
      </c>
      <c r="J28" s="1">
        <f ca="1">I28*('Updated Population'!J$26/'Updated Population'!I$26)</f>
        <v>33.287882167446234</v>
      </c>
      <c r="K28" s="1">
        <f ca="1">J28*('Updated Population'!K$26/'Updated Population'!J$26)</f>
        <v>35.376965706997083</v>
      </c>
    </row>
    <row r="29" spans="1:11" x14ac:dyDescent="0.2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OFFSET(Waikato_Reference,15,6)</f>
        <v>4343.5554576000004</v>
      </c>
      <c r="D29" s="4">
        <f ca="1">OFFSET(Waikato_Reference,16,6)</f>
        <v>4689.3432284999999</v>
      </c>
      <c r="E29" s="4">
        <f ca="1">OFFSET(Waikato_Reference,17,6)</f>
        <v>5140.4926567000002</v>
      </c>
      <c r="F29" s="4">
        <f ca="1">OFFSET(Waikato_Reference,18,6)</f>
        <v>5548.5474339000002</v>
      </c>
      <c r="G29" s="4">
        <f ca="1">OFFSET(Waikato_Reference,19,6)</f>
        <v>5907.0401615000001</v>
      </c>
      <c r="H29" s="4">
        <f ca="1">OFFSET(Waikato_Reference,20,6)</f>
        <v>6215.4401115000001</v>
      </c>
      <c r="I29" s="1">
        <f ca="1">H29*('Updated Population'!I$26/'Updated Population'!H$26)</f>
        <v>6546.7759759767814</v>
      </c>
      <c r="J29" s="1">
        <f ca="1">I29*('Updated Population'!J$26/'Updated Population'!I$26)</f>
        <v>6967.384949267248</v>
      </c>
      <c r="K29" s="1">
        <f ca="1">J29*('Updated Population'!K$26/'Updated Population'!J$26)</f>
        <v>7404.6446444924068</v>
      </c>
    </row>
    <row r="30" spans="1:11" x14ac:dyDescent="0.2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OFFSET(Waikato_Reference,22,6)</f>
        <v>2197.6002308000002</v>
      </c>
      <c r="D30" s="4">
        <f ca="1">OFFSET(Waikato_Reference,23,6)</f>
        <v>2378.6851882000001</v>
      </c>
      <c r="E30" s="4">
        <f ca="1">OFFSET(Waikato_Reference,24,6)</f>
        <v>2575.8605008</v>
      </c>
      <c r="F30" s="4">
        <f ca="1">OFFSET(Waikato_Reference,25,6)</f>
        <v>2752.2911417</v>
      </c>
      <c r="G30" s="4">
        <f ca="1">OFFSET(Waikato_Reference,26,6)</f>
        <v>2904.4295310000002</v>
      </c>
      <c r="H30" s="4">
        <f ca="1">OFFSET(Waikato_Reference,27,6)</f>
        <v>3028.7773551999999</v>
      </c>
      <c r="I30" s="1">
        <f ca="1">H30*('Updated Population'!I$26/'Updated Population'!H$26)</f>
        <v>3190.2369695298212</v>
      </c>
      <c r="J30" s="1">
        <f ca="1">I30*('Updated Population'!J$26/'Updated Population'!I$26)</f>
        <v>3395.1992748280445</v>
      </c>
      <c r="K30" s="1">
        <f ca="1">J30*('Updated Population'!K$26/'Updated Population'!J$26)</f>
        <v>3608.2754592142855</v>
      </c>
    </row>
    <row r="31" spans="1:11" x14ac:dyDescent="0.2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OFFSET(Waikato_Reference,29,6)</f>
        <v>3.3921897734000002</v>
      </c>
      <c r="D31" s="4">
        <f ca="1">OFFSET(Waikato_Reference,30,6)</f>
        <v>3.9944006884999999</v>
      </c>
      <c r="E31" s="4">
        <f ca="1">OFFSET(Waikato_Reference,31,6)</f>
        <v>4.6186236064999999</v>
      </c>
      <c r="F31" s="4">
        <f ca="1">OFFSET(Waikato_Reference,32,6)</f>
        <v>5.1394591243000001</v>
      </c>
      <c r="G31" s="4">
        <f ca="1">OFFSET(Waikato_Reference,33,6)</f>
        <v>5.5417410549000001</v>
      </c>
      <c r="H31" s="4">
        <f ca="1">OFFSET(Waikato_Reference,34,6)</f>
        <v>5.9011988817000001</v>
      </c>
      <c r="I31" s="1">
        <f ca="1">H31*('Updated Population'!I$26/'Updated Population'!H$26)</f>
        <v>6.2157830137713184</v>
      </c>
      <c r="J31" s="1">
        <f ca="1">I31*('Updated Population'!J$26/'Updated Population'!I$26)</f>
        <v>6.6151267703336627</v>
      </c>
      <c r="K31" s="1">
        <f ca="1">J31*('Updated Population'!K$26/'Updated Population'!J$26)</f>
        <v>7.0302794189290427</v>
      </c>
    </row>
    <row r="32" spans="1:11" x14ac:dyDescent="0.2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OFFSET(Waikato_Reference,36,6)</f>
        <v>40.581188613000002</v>
      </c>
      <c r="D32" s="4">
        <f ca="1">OFFSET(Waikato_Reference,37,6)</f>
        <v>41.354829643999999</v>
      </c>
      <c r="E32" s="4">
        <f ca="1">OFFSET(Waikato_Reference,38,6)</f>
        <v>39.889506296999997</v>
      </c>
      <c r="F32" s="4">
        <f ca="1">OFFSET(Waikato_Reference,39,6)</f>
        <v>36.594631223999997</v>
      </c>
      <c r="G32" s="4">
        <f ca="1">OFFSET(Waikato_Reference,40,6)</f>
        <v>32.065139791</v>
      </c>
      <c r="H32" s="4">
        <f ca="1">OFFSET(Waikato_Reference,41,6)</f>
        <v>27.543527197</v>
      </c>
      <c r="I32" s="1">
        <f ca="1">H32*('Updated Population'!I$26/'Updated Population'!H$26)</f>
        <v>29.011831650239319</v>
      </c>
      <c r="J32" s="1">
        <f ca="1">I32*('Updated Population'!J$26/'Updated Population'!I$26)</f>
        <v>30.875747074940005</v>
      </c>
      <c r="K32" s="1">
        <f ca="1">J32*('Updated Population'!K$26/'Updated Population'!J$26)</f>
        <v>32.813449649742793</v>
      </c>
    </row>
    <row r="33" spans="1:11" x14ac:dyDescent="0.2">
      <c r="A33" t="str">
        <f ca="1">OFFSET(Waikato_Reference,42,2)</f>
        <v>Local Train</v>
      </c>
      <c r="B33" s="4">
        <f ca="1">OFFSET(Waikato_Reference,42,6)</f>
        <v>2.9773519310999998</v>
      </c>
      <c r="C33" s="4">
        <f ca="1">OFFSET(Waikato_Reference,43,6)</f>
        <v>3.3095310429000002</v>
      </c>
      <c r="D33" s="4">
        <f ca="1">OFFSET(Waikato_Reference,44,6)</f>
        <v>3.9171368637000001</v>
      </c>
      <c r="E33" s="4">
        <f ca="1">OFFSET(Waikato_Reference,45,6)</f>
        <v>4.4838528404</v>
      </c>
      <c r="F33" s="4">
        <f ca="1">OFFSET(Waikato_Reference,46,6)</f>
        <v>4.8566827988999997</v>
      </c>
      <c r="G33" s="4">
        <f ca="1">OFFSET(Waikato_Reference,47,6)</f>
        <v>5.2129100055000004</v>
      </c>
      <c r="H33" s="4">
        <f ca="1">OFFSET(Waikato_Reference,48,6)</f>
        <v>5.4658111734999997</v>
      </c>
      <c r="I33" s="1">
        <f ca="1">H33*('Updated Population'!I$26/'Updated Population'!H$26)</f>
        <v>5.7571854346545184</v>
      </c>
      <c r="J33" s="1">
        <f ca="1">I33*('Updated Population'!J$26/'Updated Population'!I$26)</f>
        <v>6.1270657946360698</v>
      </c>
      <c r="K33" s="1">
        <f ca="1">J33*('Updated Population'!K$26/'Updated Population'!J$26)</f>
        <v>6.511588673950901</v>
      </c>
    </row>
    <row r="34" spans="1:11" x14ac:dyDescent="0.2">
      <c r="A34" t="str">
        <f ca="1">OFFSET(Waikato_Reference,49,2)</f>
        <v>Local Bus</v>
      </c>
      <c r="B34" s="4">
        <f ca="1">OFFSET(Waikato_Reference,49,6)</f>
        <v>54.303948532</v>
      </c>
      <c r="C34" s="4">
        <f ca="1">OFFSET(Waikato_Reference,50,6)</f>
        <v>53.813466423000001</v>
      </c>
      <c r="D34" s="4">
        <f ca="1">OFFSET(Waikato_Reference,51,6)</f>
        <v>53.920888531999999</v>
      </c>
      <c r="E34" s="4">
        <f ca="1">OFFSET(Waikato_Reference,52,6)</f>
        <v>55.459936601000003</v>
      </c>
      <c r="F34" s="4">
        <f ca="1">OFFSET(Waikato_Reference,53,6)</f>
        <v>56.827104564000003</v>
      </c>
      <c r="G34" s="4">
        <f ca="1">OFFSET(Waikato_Reference,54,6)</f>
        <v>59.107489768000001</v>
      </c>
      <c r="H34" s="4">
        <f ca="1">OFFSET(Waikato_Reference,55,6)</f>
        <v>61.434728213</v>
      </c>
      <c r="I34" s="1">
        <f ca="1">H34*('Updated Population'!I$26/'Updated Population'!H$26)</f>
        <v>64.70972216615354</v>
      </c>
      <c r="J34" s="1">
        <f ca="1">I34*('Updated Population'!J$26/'Updated Population'!I$26)</f>
        <v>68.867110459580871</v>
      </c>
      <c r="K34" s="1">
        <f ca="1">J34*('Updated Population'!K$26/'Updated Population'!J$26)</f>
        <v>73.189078019843294</v>
      </c>
    </row>
    <row r="35" spans="1:11" x14ac:dyDescent="0.2">
      <c r="A35" t="str">
        <f ca="1">OFFSET(Waikato_Reference,56,2)</f>
        <v>Local Ferry</v>
      </c>
      <c r="B35" s="4">
        <f ca="1">OFFSET(Waikato_Reference,56,6)</f>
        <v>0</v>
      </c>
      <c r="C35" s="4">
        <f ca="1">OFFSET(Waikato_Reference,57,6)</f>
        <v>0</v>
      </c>
      <c r="D35" s="4">
        <f ca="1">OFFSET(Waikato_Reference,58,6)</f>
        <v>0</v>
      </c>
      <c r="E35" s="4">
        <f ca="1">OFFSET(Waikato_Reference,59,6)</f>
        <v>0</v>
      </c>
      <c r="F35" s="4">
        <f ca="1">OFFSET(Waikato_Reference,60,6)</f>
        <v>0</v>
      </c>
      <c r="G35" s="4">
        <f ca="1">OFFSET(Waikato_Reference,61,6)</f>
        <v>0</v>
      </c>
      <c r="H35" s="4">
        <f ca="1">OFFSET(Waikato_Reference,62,6)</f>
        <v>0</v>
      </c>
      <c r="I35" s="1">
        <f ca="1">H35*('Updated Population'!I$26/'Updated Population'!H$26)</f>
        <v>0</v>
      </c>
      <c r="J35" s="1">
        <f ca="1">I35*('Updated Population'!J$26/'Updated Population'!I$26)</f>
        <v>0</v>
      </c>
      <c r="K35" s="1">
        <f ca="1">J35*('Updated Population'!K$26/'Updated Population'!J$26)</f>
        <v>0</v>
      </c>
    </row>
    <row r="36" spans="1:11" x14ac:dyDescent="0.2">
      <c r="A36" t="str">
        <f ca="1">OFFSET(Waikato_Reference,63,2)</f>
        <v>Other Household Travel</v>
      </c>
      <c r="B36" s="4">
        <f ca="1">OFFSET(Waikato_Reference,63,6)</f>
        <v>0</v>
      </c>
      <c r="C36" s="4">
        <f ca="1">OFFSET(Waikato_Reference,64,6)</f>
        <v>0</v>
      </c>
      <c r="D36" s="4">
        <f ca="1">OFFSET(Waikato_Reference,65,6)</f>
        <v>0</v>
      </c>
      <c r="E36" s="4">
        <f ca="1">OFFSET(Waikato_Reference,66,6)</f>
        <v>0</v>
      </c>
      <c r="F36" s="4">
        <f ca="1">OFFSET(Waikato_Reference,67,6)</f>
        <v>0</v>
      </c>
      <c r="G36" s="4">
        <f ca="1">OFFSET(Waikato_Reference,68,6)</f>
        <v>0</v>
      </c>
      <c r="H36" s="4">
        <f ca="1">OFFSET(Waikato_Reference,69,6)</f>
        <v>0</v>
      </c>
      <c r="I36" s="1">
        <f ca="1">H36*('Updated Population'!I$26/'Updated Population'!H$26)</f>
        <v>0</v>
      </c>
      <c r="J36" s="1">
        <f ca="1">I36*('Updated Population'!J$26/'Updated Population'!I$26)</f>
        <v>0</v>
      </c>
      <c r="K36" s="1">
        <f ca="1">J36*('Updated Population'!K$26/'Updated Population'!J$26)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OFFSET(BOP_Reference,0,6)</f>
        <v>35.579183637</v>
      </c>
      <c r="C38" s="4">
        <f ca="1">OFFSET(BOP_Reference,1,6)</f>
        <v>36.550679711999997</v>
      </c>
      <c r="D38" s="4">
        <f ca="1">OFFSET(BOP_Reference,2,6)</f>
        <v>38.541227867000003</v>
      </c>
      <c r="E38" s="4">
        <f ca="1">OFFSET(BOP_Reference,3,6)</f>
        <v>40.175542599000003</v>
      </c>
      <c r="F38" s="4">
        <f ca="1">OFFSET(BOP_Reference,4,6)</f>
        <v>41.465039760000003</v>
      </c>
      <c r="G38" s="4">
        <f ca="1">OFFSET(BOP_Reference,5,6)</f>
        <v>43.002514327999997</v>
      </c>
      <c r="H38" s="4">
        <f ca="1">OFFSET(BOP_Reference,6,6)</f>
        <v>44.398519757000003</v>
      </c>
      <c r="I38" s="1">
        <f ca="1">H38*('Updated Population'!I$37/'Updated Population'!H$37)</f>
        <v>46.765338785302866</v>
      </c>
      <c r="J38" s="1">
        <f ca="1">I38*('Updated Population'!J$37/'Updated Population'!I$37)</f>
        <v>49.769859056692219</v>
      </c>
      <c r="K38" s="1">
        <f ca="1">J38*('Updated Population'!K$37/'Updated Population'!J$37)</f>
        <v>52.893319804302706</v>
      </c>
    </row>
    <row r="39" spans="1:11" x14ac:dyDescent="0.2">
      <c r="A39" t="str">
        <f ca="1">OFFSET(BOP_Reference,7,2)</f>
        <v>Cyclist</v>
      </c>
      <c r="B39" s="4">
        <f ca="1">OFFSET(BOP_Reference,7,6)</f>
        <v>8.5028812633000008</v>
      </c>
      <c r="C39" s="4">
        <f ca="1">OFFSET(BOP_Reference,8,6)</f>
        <v>8.6485852841999993</v>
      </c>
      <c r="D39" s="4">
        <f ca="1">OFFSET(BOP_Reference,9,6)</f>
        <v>9.2925703774000006</v>
      </c>
      <c r="E39" s="4">
        <f ca="1">OFFSET(BOP_Reference,10,6)</f>
        <v>10.117998124</v>
      </c>
      <c r="F39" s="4">
        <f ca="1">OFFSET(BOP_Reference,11,6)</f>
        <v>10.840179726000001</v>
      </c>
      <c r="G39" s="4">
        <f ca="1">OFFSET(BOP_Reference,12,6)</f>
        <v>11.768116671</v>
      </c>
      <c r="H39" s="4">
        <f ca="1">OFFSET(BOP_Reference,13,6)</f>
        <v>12.739463131999999</v>
      </c>
      <c r="I39" s="1">
        <f ca="1">H39*('Updated Population'!I$37/'Updated Population'!H$37)</f>
        <v>13.418584956696115</v>
      </c>
      <c r="J39" s="1">
        <f ca="1">I39*('Updated Population'!J$37/'Updated Population'!I$37)</f>
        <v>14.28068521220467</v>
      </c>
      <c r="K39" s="1">
        <f ca="1">J39*('Updated Population'!K$37/'Updated Population'!J$37)</f>
        <v>15.176913583245335</v>
      </c>
    </row>
    <row r="40" spans="1:11" x14ac:dyDescent="0.2">
      <c r="A40" t="str">
        <f ca="1">OFFSET(BOP_Reference,14,2)</f>
        <v>Light Vehicle Driver</v>
      </c>
      <c r="B40" s="4">
        <f ca="1">OFFSET(BOP_Reference,14,6)</f>
        <v>1972.0747595</v>
      </c>
      <c r="C40" s="4">
        <f ca="1">OFFSET(BOP_Reference,15,6)</f>
        <v>2199.1335918999998</v>
      </c>
      <c r="D40" s="4">
        <f ca="1">OFFSET(BOP_Reference,16,6)</f>
        <v>2448.4970898000001</v>
      </c>
      <c r="E40" s="4">
        <f ca="1">OFFSET(BOP_Reference,17,6)</f>
        <v>2772.5101733000001</v>
      </c>
      <c r="F40" s="4">
        <f ca="1">OFFSET(BOP_Reference,18,6)</f>
        <v>3049.6628753</v>
      </c>
      <c r="G40" s="4">
        <f ca="1">OFFSET(BOP_Reference,19,6)</f>
        <v>3264.6283297999998</v>
      </c>
      <c r="H40" s="4">
        <f ca="1">OFFSET(BOP_Reference,20,6)</f>
        <v>3459.3979097000001</v>
      </c>
      <c r="I40" s="1">
        <f ca="1">H40*('Updated Population'!I$37/'Updated Population'!H$37)</f>
        <v>3643.8132650758557</v>
      </c>
      <c r="J40" s="1">
        <f ca="1">I40*('Updated Population'!J$37/'Updated Population'!I$37)</f>
        <v>3877.916365886033</v>
      </c>
      <c r="K40" s="1">
        <f ca="1">J40*('Updated Population'!K$37/'Updated Population'!J$37)</f>
        <v>4121.2869476183241</v>
      </c>
    </row>
    <row r="41" spans="1:11" x14ac:dyDescent="0.2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OFFSET(BOP_Reference,22,6)</f>
        <v>1548.2250696999999</v>
      </c>
      <c r="D41" s="4">
        <f ca="1">OFFSET(BOP_Reference,23,6)</f>
        <v>1739.2012608</v>
      </c>
      <c r="E41" s="4">
        <f ca="1">OFFSET(BOP_Reference,24,6)</f>
        <v>1942.4205881</v>
      </c>
      <c r="F41" s="4">
        <f ca="1">OFFSET(BOP_Reference,25,6)</f>
        <v>2116.3626675</v>
      </c>
      <c r="G41" s="4">
        <f ca="1">OFFSET(BOP_Reference,26,6)</f>
        <v>2281.1483194000002</v>
      </c>
      <c r="H41" s="4">
        <f ca="1">OFFSET(BOP_Reference,27,6)</f>
        <v>2438.6724073999999</v>
      </c>
      <c r="I41" s="1">
        <f ca="1">H41*('Updated Population'!I$37/'Updated Population'!H$37)</f>
        <v>2568.6744049715844</v>
      </c>
      <c r="J41" s="1">
        <f ca="1">I41*('Updated Population'!J$37/'Updated Population'!I$37)</f>
        <v>2733.7033456527874</v>
      </c>
      <c r="K41" s="1">
        <f ca="1">J41*('Updated Population'!K$37/'Updated Population'!J$37)</f>
        <v>2905.2653162428933</v>
      </c>
    </row>
    <row r="42" spans="1:11" x14ac:dyDescent="0.2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OFFSET(BOP_Reference,29,6)</f>
        <v>0.91316791100000005</v>
      </c>
      <c r="D42" s="4">
        <f ca="1">OFFSET(BOP_Reference,30,6)</f>
        <v>0.93489858449999996</v>
      </c>
      <c r="E42" s="4">
        <f ca="1">OFFSET(BOP_Reference,31,6)</f>
        <v>0.98196069480000003</v>
      </c>
      <c r="F42" s="4">
        <f ca="1">OFFSET(BOP_Reference,32,6)</f>
        <v>1.0018092452</v>
      </c>
      <c r="G42" s="4">
        <f ca="1">OFFSET(BOP_Reference,33,6)</f>
        <v>1.0270649344</v>
      </c>
      <c r="H42" s="4">
        <f ca="1">OFFSET(BOP_Reference,34,6)</f>
        <v>1.0446343888</v>
      </c>
      <c r="I42" s="1">
        <f ca="1">H42*('Updated Population'!I$37/'Updated Population'!H$37)</f>
        <v>1.1003222937698849</v>
      </c>
      <c r="J42" s="1">
        <f ca="1">I42*('Updated Population'!J$37/'Updated Population'!I$37)</f>
        <v>1.1710144072574113</v>
      </c>
      <c r="K42" s="1">
        <f ca="1">J42*('Updated Population'!K$37/'Updated Population'!J$37)</f>
        <v>1.2445050219643676</v>
      </c>
    </row>
    <row r="43" spans="1:11" x14ac:dyDescent="0.2">
      <c r="A43" t="str">
        <f ca="1">OFFSET(BOP_Reference,35,2)</f>
        <v>Motorcyclist</v>
      </c>
      <c r="B43" s="4">
        <f ca="1">OFFSET(BOP_Reference,35,6)</f>
        <v>35.608960758999999</v>
      </c>
      <c r="C43" s="4">
        <f ca="1">OFFSET(BOP_Reference,36,6)</f>
        <v>41.347645206000003</v>
      </c>
      <c r="D43" s="4">
        <f ca="1">OFFSET(BOP_Reference,37,6)</f>
        <v>43.713429290999997</v>
      </c>
      <c r="E43" s="4">
        <f ca="1">OFFSET(BOP_Reference,38,6)</f>
        <v>48.926216367000002</v>
      </c>
      <c r="F43" s="4">
        <f ca="1">OFFSET(BOP_Reference,39,6)</f>
        <v>52.552415062000001</v>
      </c>
      <c r="G43" s="4">
        <f ca="1">OFFSET(BOP_Reference,40,6)</f>
        <v>55.181821820000003</v>
      </c>
      <c r="H43" s="4">
        <f ca="1">OFFSET(BOP_Reference,41,6)</f>
        <v>57.091918905999997</v>
      </c>
      <c r="I43" s="1">
        <f ca="1">H43*('Updated Population'!I$37/'Updated Population'!H$37)</f>
        <v>60.135404156603208</v>
      </c>
      <c r="J43" s="1">
        <f ca="1">I43*('Updated Population'!J$37/'Updated Population'!I$37)</f>
        <v>63.998907458614752</v>
      </c>
      <c r="K43" s="1">
        <f ca="1">J43*('Updated Population'!K$37/'Updated Population'!J$37)</f>
        <v>68.015355950245763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OFFSET(BOP_Reference,42,6)</f>
        <v>52.669440211999998</v>
      </c>
      <c r="C45" s="4">
        <f ca="1">OFFSET(BOP_Reference,43,6)</f>
        <v>52.004413630999998</v>
      </c>
      <c r="D45" s="4">
        <f ca="1">OFFSET(BOP_Reference,44,6)</f>
        <v>55.953030867999999</v>
      </c>
      <c r="E45" s="4">
        <f ca="1">OFFSET(BOP_Reference,45,6)</f>
        <v>57.770672953999998</v>
      </c>
      <c r="F45" s="4">
        <f ca="1">OFFSET(BOP_Reference,46,6)</f>
        <v>59.641243056999997</v>
      </c>
      <c r="G45" s="4">
        <f ca="1">OFFSET(BOP_Reference,47,6)</f>
        <v>61.636426614999998</v>
      </c>
      <c r="H45" s="4">
        <f ca="1">OFFSET(BOP_Reference,48,6)</f>
        <v>63.459278947000001</v>
      </c>
      <c r="I45" s="1">
        <f ca="1">H45*('Updated Population'!I$37/'Updated Population'!H$37)</f>
        <v>66.842198687482082</v>
      </c>
      <c r="J45" s="1">
        <f ca="1">I45*('Updated Population'!J$37/'Updated Population'!I$37)</f>
        <v>71.136591632281835</v>
      </c>
      <c r="K45" s="1">
        <f ca="1">J45*('Updated Population'!K$37/'Updated Population'!J$37)</f>
        <v>75.600987471320323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OFFSET(BOP_Reference,49,6)</f>
        <v>0</v>
      </c>
      <c r="C47" s="4">
        <f ca="1">OFFSET(BOP_Reference,50,6)</f>
        <v>0</v>
      </c>
      <c r="D47" s="4">
        <f ca="1">OFFSET(BOP_Reference,51,6)</f>
        <v>0</v>
      </c>
      <c r="E47" s="4">
        <f ca="1">OFFSET(BOP_Reference,52,6)</f>
        <v>0</v>
      </c>
      <c r="F47" s="4">
        <f ca="1">OFFSET(BOP_Reference,53,6)</f>
        <v>0</v>
      </c>
      <c r="G47" s="4">
        <f ca="1">OFFSET(BOP_Reference,54,6)</f>
        <v>0</v>
      </c>
      <c r="H47" s="4">
        <f ca="1">OFFSET(BOP_Reference,55,6)</f>
        <v>0</v>
      </c>
      <c r="I47" s="1">
        <f ca="1">H47*('Updated Population'!I$37/'Updated Population'!H$37)</f>
        <v>0</v>
      </c>
      <c r="J47" s="1">
        <f ca="1">I47*('Updated Population'!J$37/'Updated Population'!I$37)</f>
        <v>0</v>
      </c>
      <c r="K47" s="1">
        <f ca="1">J47*('Updated Population'!K$37/'Updated Population'!J$37)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OFFSET(Gisborne_Reference,1,6)</f>
        <v>6.7095778239000001</v>
      </c>
      <c r="D49" s="4">
        <f ca="1">OFFSET(Gisborne_Reference,2,6)</f>
        <v>6.5445717515000004</v>
      </c>
      <c r="E49" s="4">
        <f ca="1">OFFSET(Gisborne_Reference,3,6)</f>
        <v>6.3607804584999998</v>
      </c>
      <c r="F49" s="4">
        <f ca="1">OFFSET(Gisborne_Reference,4,6)</f>
        <v>6.2530206583999997</v>
      </c>
      <c r="G49" s="4">
        <f ca="1">OFFSET(Gisborne_Reference,5,6)</f>
        <v>6.0895447840000001</v>
      </c>
      <c r="H49" s="4">
        <f ca="1">OFFSET(Gisborne_Reference,6,6)</f>
        <v>5.9826703909000001</v>
      </c>
      <c r="I49" s="1">
        <f ca="1">H49*('Updated Population'!I$48/'Updated Population'!H$48)</f>
        <v>5.9265200560653613</v>
      </c>
      <c r="J49" s="1">
        <f ca="1">I49*('Updated Population'!J$48/'Updated Population'!I$48)</f>
        <v>5.8522086441872982</v>
      </c>
      <c r="K49" s="1">
        <f ca="1">J49*('Updated Population'!K$48/'Updated Population'!J$48)</f>
        <v>5.7664099310101768</v>
      </c>
    </row>
    <row r="50" spans="1:11" x14ac:dyDescent="0.2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OFFSET(Gisborne_Reference,8,6)</f>
        <v>3.0706241145000002</v>
      </c>
      <c r="D50" s="4">
        <f ca="1">OFFSET(Gisborne_Reference,9,6)</f>
        <v>2.8096854634000001</v>
      </c>
      <c r="E50" s="4">
        <f ca="1">OFFSET(Gisborne_Reference,10,6)</f>
        <v>2.3433885093</v>
      </c>
      <c r="F50" s="4">
        <f ca="1">OFFSET(Gisborne_Reference,11,6)</f>
        <v>1.9614999001</v>
      </c>
      <c r="G50" s="4">
        <f ca="1">OFFSET(Gisborne_Reference,12,6)</f>
        <v>1.6595701759999999</v>
      </c>
      <c r="H50" s="4">
        <f ca="1">OFFSET(Gisborne_Reference,13,6)</f>
        <v>1.4420517204000001</v>
      </c>
      <c r="I50" s="1">
        <f ca="1">H50*('Updated Population'!I$48/'Updated Population'!H$48)</f>
        <v>1.4285173483455929</v>
      </c>
      <c r="J50" s="1">
        <f ca="1">I50*('Updated Population'!J$48/'Updated Population'!I$48)</f>
        <v>1.4106054641296228</v>
      </c>
      <c r="K50" s="1">
        <f ca="1">J50*('Updated Population'!K$48/'Updated Population'!J$48)</f>
        <v>1.3899247022187931</v>
      </c>
    </row>
    <row r="51" spans="1:11" x14ac:dyDescent="0.2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OFFSET(Gisborne_Reference,15,6)</f>
        <v>231.43338102999999</v>
      </c>
      <c r="D51" s="4">
        <f ca="1">OFFSET(Gisborne_Reference,16,6)</f>
        <v>236.77251361</v>
      </c>
      <c r="E51" s="4">
        <f ca="1">OFFSET(Gisborne_Reference,17,6)</f>
        <v>230.58090272000001</v>
      </c>
      <c r="F51" s="4">
        <f ca="1">OFFSET(Gisborne_Reference,18,6)</f>
        <v>223.58153055</v>
      </c>
      <c r="G51" s="4">
        <f ca="1">OFFSET(Gisborne_Reference,19,6)</f>
        <v>216.34732116000001</v>
      </c>
      <c r="H51" s="4">
        <f ca="1">OFFSET(Gisborne_Reference,20,6)</f>
        <v>208.96470134</v>
      </c>
      <c r="I51" s="1">
        <f ca="1">H51*('Updated Population'!I$48/'Updated Population'!H$48)</f>
        <v>207.00346376844524</v>
      </c>
      <c r="J51" s="1">
        <f ca="1">I51*('Updated Population'!J$48/'Updated Population'!I$48)</f>
        <v>204.4078900572689</v>
      </c>
      <c r="K51" s="1">
        <f ca="1">J51*('Updated Population'!K$48/'Updated Population'!J$48)</f>
        <v>201.41108406546891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OFFSET(Gisborne_Reference,22,6)</f>
        <v>150.74468472999999</v>
      </c>
      <c r="D52" s="4">
        <f ca="1">OFFSET(Gisborne_Reference,23,6)</f>
        <v>144.13316021</v>
      </c>
      <c r="E52" s="4">
        <f ca="1">OFFSET(Gisborne_Reference,24,6)</f>
        <v>132.43366549999999</v>
      </c>
      <c r="F52" s="4">
        <f ca="1">OFFSET(Gisborne_Reference,25,6)</f>
        <v>120.93791216</v>
      </c>
      <c r="G52" s="4">
        <f ca="1">OFFSET(Gisborne_Reference,26,6)</f>
        <v>112.36454981</v>
      </c>
      <c r="H52" s="4">
        <f ca="1">OFFSET(Gisborne_Reference,27,6)</f>
        <v>104.96033989999999</v>
      </c>
      <c r="I52" s="1">
        <f ca="1">H52*('Updated Population'!I$48/'Updated Population'!H$48)</f>
        <v>103.9752349477521</v>
      </c>
      <c r="J52" s="1">
        <f ca="1">I52*('Updated Population'!J$48/'Updated Population'!I$48)</f>
        <v>102.67151093497108</v>
      </c>
      <c r="K52" s="1">
        <f ca="1">J52*('Updated Population'!K$48/'Updated Population'!J$48)</f>
        <v>101.16625299668468</v>
      </c>
    </row>
    <row r="53" spans="1:11" x14ac:dyDescent="0.2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OFFSET(Gisborne_Reference,29,6)</f>
        <v>0.17738402719999999</v>
      </c>
      <c r="D53" s="4">
        <f ca="1">OFFSET(Gisborne_Reference,30,6)</f>
        <v>0.29374220420000002</v>
      </c>
      <c r="E53" s="4">
        <f ca="1">OFFSET(Gisborne_Reference,31,6)</f>
        <v>0.47067490249999999</v>
      </c>
      <c r="F53" s="4">
        <f ca="1">OFFSET(Gisborne_Reference,32,6)</f>
        <v>0.68066178990000004</v>
      </c>
      <c r="G53" s="4">
        <f ca="1">OFFSET(Gisborne_Reference,33,6)</f>
        <v>0.83941530450000001</v>
      </c>
      <c r="H53" s="4">
        <f ca="1">OFFSET(Gisborne_Reference,34,6)</f>
        <v>1.0061207832000001</v>
      </c>
      <c r="I53" s="1">
        <f ca="1">H53*('Updated Population'!I$48/'Updated Population'!H$48)</f>
        <v>0.9966778396364202</v>
      </c>
      <c r="J53" s="1">
        <f ca="1">I53*('Updated Population'!J$48/'Updated Population'!I$48)</f>
        <v>0.98418070189786477</v>
      </c>
      <c r="K53" s="1">
        <f ca="1">J53*('Updated Population'!K$48/'Updated Population'!J$48)</f>
        <v>0.96975171569955754</v>
      </c>
    </row>
    <row r="54" spans="1:11" x14ac:dyDescent="0.2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OFFSET(Gisborne_Reference,36,6)</f>
        <v>0.87975729199999997</v>
      </c>
      <c r="D54" s="4">
        <f ca="1">OFFSET(Gisborne_Reference,37,6)</f>
        <v>0.86347665600000001</v>
      </c>
      <c r="E54" s="4">
        <f ca="1">OFFSET(Gisborne_Reference,38,6)</f>
        <v>0.77706692990000004</v>
      </c>
      <c r="F54" s="4">
        <f ca="1">OFFSET(Gisborne_Reference,39,6)</f>
        <v>0.68142617589999999</v>
      </c>
      <c r="G54" s="4">
        <f ca="1">OFFSET(Gisborne_Reference,40,6)</f>
        <v>0.59209425569999996</v>
      </c>
      <c r="H54" s="4">
        <f ca="1">OFFSET(Gisborne_Reference,41,6)</f>
        <v>0.50905765780000001</v>
      </c>
      <c r="I54" s="1">
        <f ca="1">H54*('Updated Population'!I$48/'Updated Population'!H$48)</f>
        <v>0.50427989869445333</v>
      </c>
      <c r="J54" s="1">
        <f ca="1">I54*('Updated Population'!J$48/'Updated Population'!I$48)</f>
        <v>0.49795683711713534</v>
      </c>
      <c r="K54" s="1">
        <f ca="1">J54*('Updated Population'!K$48/'Updated Population'!J$48)</f>
        <v>0.49065633598328817</v>
      </c>
    </row>
    <row r="55" spans="1:11" x14ac:dyDescent="0.2">
      <c r="A55" t="str">
        <f ca="1">OFFSET(Gisborne_Reference,42,2)</f>
        <v>Local Train</v>
      </c>
      <c r="B55" s="4">
        <f ca="1">OFFSET(Gisborne_Reference,42,6)</f>
        <v>0</v>
      </c>
      <c r="C55" s="4">
        <f ca="1">OFFSET(Gisborne_Reference,43,6)</f>
        <v>0</v>
      </c>
      <c r="D55" s="4">
        <f ca="1">OFFSET(Gisborne_Reference,44,6)</f>
        <v>0</v>
      </c>
      <c r="E55" s="4">
        <f ca="1">OFFSET(Gisborne_Reference,45,6)</f>
        <v>0</v>
      </c>
      <c r="F55" s="4">
        <f ca="1">OFFSET(Gisborne_Reference,46,6)</f>
        <v>0</v>
      </c>
      <c r="G55" s="4">
        <f ca="1">OFFSET(Gisborne_Reference,47,6)</f>
        <v>0</v>
      </c>
      <c r="H55" s="4">
        <f ca="1">OFFSET(Gisborne_Reference,48,6)</f>
        <v>0</v>
      </c>
      <c r="I55" s="1">
        <f ca="1">H55*('Updated Population'!I$48/'Updated Population'!H$48)</f>
        <v>0</v>
      </c>
      <c r="J55" s="1">
        <f ca="1">I55*('Updated Population'!J$48/'Updated Population'!I$48)</f>
        <v>0</v>
      </c>
      <c r="K55" s="1">
        <f ca="1">J55*('Updated Population'!K$48/'Updated Population'!J$48)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OFFSET(Gisborne_Reference,50,6)</f>
        <v>3.9560555215000002</v>
      </c>
      <c r="D56" s="4">
        <f ca="1">OFFSET(Gisborne_Reference,51,6)</f>
        <v>3.6206602275000002</v>
      </c>
      <c r="E56" s="4">
        <f ca="1">OFFSET(Gisborne_Reference,52,6)</f>
        <v>3.2354607871000001</v>
      </c>
      <c r="F56" s="4">
        <f ca="1">OFFSET(Gisborne_Reference,53,6)</f>
        <v>2.8607936544000001</v>
      </c>
      <c r="G56" s="4">
        <f ca="1">OFFSET(Gisborne_Reference,54,6)</f>
        <v>2.6895364703000002</v>
      </c>
      <c r="H56" s="4">
        <f ca="1">OFFSET(Gisborne_Reference,55,6)</f>
        <v>2.5386672350000001</v>
      </c>
      <c r="I56" s="1">
        <f ca="1">H56*('Updated Population'!I$48/'Updated Population'!H$48)</f>
        <v>2.5148405813545311</v>
      </c>
      <c r="J56" s="1">
        <f ca="1">I56*('Updated Population'!J$48/'Updated Population'!I$48)</f>
        <v>2.4833075143133687</v>
      </c>
      <c r="K56" s="1">
        <f ca="1">J56*('Updated Population'!K$48/'Updated Population'!J$48)</f>
        <v>2.4468999625486534</v>
      </c>
    </row>
    <row r="57" spans="1:11" x14ac:dyDescent="0.2">
      <c r="A57" t="str">
        <f ca="1">OFFSET(Gisborne_Reference,56,2)</f>
        <v>Local Ferry</v>
      </c>
      <c r="B57" s="4">
        <f ca="1">OFFSET(Gisborne_Reference,56,6)</f>
        <v>0</v>
      </c>
      <c r="C57" s="4">
        <f ca="1">OFFSET(Gisborne_Reference,57,6)</f>
        <v>0</v>
      </c>
      <c r="D57" s="4">
        <f ca="1">OFFSET(Gisborne_Reference,58,6)</f>
        <v>0</v>
      </c>
      <c r="E57" s="4">
        <f ca="1">OFFSET(Gisborne_Reference,59,6)</f>
        <v>0</v>
      </c>
      <c r="F57" s="4">
        <f ca="1">OFFSET(Gisborne_Reference,60,6)</f>
        <v>0</v>
      </c>
      <c r="G57" s="4">
        <f ca="1">OFFSET(Gisborne_Reference,61,6)</f>
        <v>0</v>
      </c>
      <c r="H57" s="4">
        <f ca="1">OFFSET(Gisborne_Reference,62,6)</f>
        <v>0</v>
      </c>
      <c r="I57" s="1">
        <f ca="1">H57*('Updated Population'!I$48/'Updated Population'!H$48)</f>
        <v>0</v>
      </c>
      <c r="J57" s="1">
        <f ca="1">I57*('Updated Population'!J$48/'Updated Population'!I$48)</f>
        <v>0</v>
      </c>
      <c r="K57" s="1">
        <f ca="1">J57*('Updated Population'!K$48/'Updated Population'!J$48)</f>
        <v>0</v>
      </c>
    </row>
    <row r="58" spans="1:11" x14ac:dyDescent="0.2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OFFSET(Gisborne_Reference,64,6)</f>
        <v>0</v>
      </c>
      <c r="D58" s="4">
        <f ca="1">OFFSET(Gisborne_Reference,65,6)</f>
        <v>0</v>
      </c>
      <c r="E58" s="4">
        <f ca="1">OFFSET(Gisborne_Reference,66,6)</f>
        <v>0</v>
      </c>
      <c r="F58" s="4">
        <f ca="1">OFFSET(Gisborne_Reference,67,6)</f>
        <v>0</v>
      </c>
      <c r="G58" s="4">
        <f ca="1">OFFSET(Gisborne_Reference,68,6)</f>
        <v>0</v>
      </c>
      <c r="H58" s="4">
        <f ca="1">OFFSET(Gisborne_Reference,69,6)</f>
        <v>0</v>
      </c>
      <c r="I58" s="1">
        <f ca="1">H58*('Updated Population'!I$48/'Updated Population'!H$48)</f>
        <v>0</v>
      </c>
      <c r="J58" s="1">
        <f ca="1">I58*('Updated Population'!J$48/'Updated Population'!I$48)</f>
        <v>0</v>
      </c>
      <c r="K58" s="1">
        <f ca="1">J58*('Updated Population'!K$48/'Updated Population'!J$48)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OFFSET(Hawkes_Bay_Reference,1,6)</f>
        <v>21.746599830000001</v>
      </c>
      <c r="D60" s="4">
        <f ca="1">OFFSET(Hawkes_Bay_Reference,2,6)</f>
        <v>22.596554269999999</v>
      </c>
      <c r="E60" s="4">
        <f ca="1">OFFSET(Hawkes_Bay_Reference,3,6)</f>
        <v>22.121791979000001</v>
      </c>
      <c r="F60" s="4">
        <f ca="1">OFFSET(Hawkes_Bay_Reference,4,6)</f>
        <v>21.554506726</v>
      </c>
      <c r="G60" s="4">
        <f ca="1">OFFSET(Hawkes_Bay_Reference,5,6)</f>
        <v>21.142325306</v>
      </c>
      <c r="H60" s="4">
        <f ca="1">OFFSET(Hawkes_Bay_Reference,6,6)</f>
        <v>20.689245753000002</v>
      </c>
      <c r="I60" s="1">
        <f ca="1">H60*('Updated Population'!I$59/'Updated Population'!H$59)</f>
        <v>20.546107712304245</v>
      </c>
      <c r="J60" s="1">
        <f ca="1">I60*('Updated Population'!J$59/'Updated Population'!I$59)</f>
        <v>20.339010648370493</v>
      </c>
      <c r="K60" s="1">
        <f ca="1">J60*('Updated Population'!K$59/'Updated Population'!J$59)</f>
        <v>20.090731776633746</v>
      </c>
    </row>
    <row r="61" spans="1:11" x14ac:dyDescent="0.2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OFFSET(Hawkes_Bay_Reference,8,6)</f>
        <v>9.5686196717000005</v>
      </c>
      <c r="D61" s="4">
        <f ca="1">OFFSET(Hawkes_Bay_Reference,9,6)</f>
        <v>10.3123857</v>
      </c>
      <c r="E61" s="4">
        <f ca="1">OFFSET(Hawkes_Bay_Reference,10,6)</f>
        <v>10.561035244999999</v>
      </c>
      <c r="F61" s="4">
        <f ca="1">OFFSET(Hawkes_Bay_Reference,11,6)</f>
        <v>10.720975509000001</v>
      </c>
      <c r="G61" s="4">
        <f ca="1">OFFSET(Hawkes_Bay_Reference,12,6)</f>
        <v>10.588288277</v>
      </c>
      <c r="H61" s="4">
        <f ca="1">OFFSET(Hawkes_Bay_Reference,13,6)</f>
        <v>10.343207591000001</v>
      </c>
      <c r="I61" s="1">
        <f ca="1">H61*('Updated Population'!I$59/'Updated Population'!H$59)</f>
        <v>10.271648362270236</v>
      </c>
      <c r="J61" s="1">
        <f ca="1">I61*('Updated Population'!J$59/'Updated Population'!I$59)</f>
        <v>10.168113997154833</v>
      </c>
      <c r="K61" s="1">
        <f ca="1">J61*('Updated Population'!K$59/'Updated Population'!J$59)</f>
        <v>10.043991545254425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OFFSET(Hawkes_Bay_Reference,15,6)</f>
        <v>1001.2096487</v>
      </c>
      <c r="D62" s="4">
        <f ca="1">OFFSET(Hawkes_Bay_Reference,16,6)</f>
        <v>1072.1660652999999</v>
      </c>
      <c r="E62" s="4">
        <f ca="1">OFFSET(Hawkes_Bay_Reference,17,6)</f>
        <v>1102.3103787</v>
      </c>
      <c r="F62" s="4">
        <f ca="1">OFFSET(Hawkes_Bay_Reference,18,6)</f>
        <v>1116.1093768000001</v>
      </c>
      <c r="G62" s="4">
        <f ca="1">OFFSET(Hawkes_Bay_Reference,19,6)</f>
        <v>1106.1066840000001</v>
      </c>
      <c r="H62" s="4">
        <f ca="1">OFFSET(Hawkes_Bay_Reference,20,6)</f>
        <v>1091.5939119</v>
      </c>
      <c r="I62" s="1">
        <f ca="1">H62*('Updated Population'!I$59/'Updated Population'!H$59)</f>
        <v>1084.0417461202433</v>
      </c>
      <c r="J62" s="1">
        <f ca="1">I62*('Updated Population'!J$59/'Updated Population'!I$59)</f>
        <v>1073.1150116775598</v>
      </c>
      <c r="K62" s="1">
        <f ca="1">J62*('Updated Population'!K$59/'Updated Population'!J$59)</f>
        <v>1060.0154667218458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OFFSET(Hawkes_Bay_Reference,22,6)</f>
        <v>595.01570763999996</v>
      </c>
      <c r="D63" s="4">
        <f ca="1">OFFSET(Hawkes_Bay_Reference,23,6)</f>
        <v>634.56914041000005</v>
      </c>
      <c r="E63" s="4">
        <f ca="1">OFFSET(Hawkes_Bay_Reference,24,6)</f>
        <v>640.46610392000002</v>
      </c>
      <c r="F63" s="4">
        <f ca="1">OFFSET(Hawkes_Bay_Reference,25,6)</f>
        <v>631.43287674999999</v>
      </c>
      <c r="G63" s="4">
        <f ca="1">OFFSET(Hawkes_Bay_Reference,26,6)</f>
        <v>614.96116789999996</v>
      </c>
      <c r="H63" s="4">
        <f ca="1">OFFSET(Hawkes_Bay_Reference,27,6)</f>
        <v>596.36011757999995</v>
      </c>
      <c r="I63" s="1">
        <f ca="1">H63*('Updated Population'!I$59/'Updated Population'!H$59)</f>
        <v>592.23421469312859</v>
      </c>
      <c r="J63" s="1">
        <f ca="1">I63*('Updated Population'!J$59/'Updated Population'!I$59)</f>
        <v>586.26471581083626</v>
      </c>
      <c r="K63" s="1">
        <f ca="1">J63*('Updated Population'!K$59/'Updated Population'!J$59)</f>
        <v>579.10816603085755</v>
      </c>
    </row>
    <row r="64" spans="1:11" x14ac:dyDescent="0.2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OFFSET(Hawkes_Bay_Reference,29,6)</f>
        <v>1.6247499005999999</v>
      </c>
      <c r="D64" s="4">
        <f ca="1">OFFSET(Hawkes_Bay_Reference,30,6)</f>
        <v>1.6325766732</v>
      </c>
      <c r="E64" s="4">
        <f ca="1">OFFSET(Hawkes_Bay_Reference,31,6)</f>
        <v>1.6226645195</v>
      </c>
      <c r="F64" s="4">
        <f ca="1">OFFSET(Hawkes_Bay_Reference,32,6)</f>
        <v>1.5874506062</v>
      </c>
      <c r="G64" s="4">
        <f ca="1">OFFSET(Hawkes_Bay_Reference,33,6)</f>
        <v>1.4540046515</v>
      </c>
      <c r="H64" s="4">
        <f ca="1">OFFSET(Hawkes_Bay_Reference,34,6)</f>
        <v>1.2925164807</v>
      </c>
      <c r="I64" s="1">
        <f ca="1">H64*('Updated Population'!I$59/'Updated Population'!H$59)</f>
        <v>1.2835742370424443</v>
      </c>
      <c r="J64" s="1">
        <f ca="1">I64*('Updated Population'!J$59/'Updated Population'!I$59)</f>
        <v>1.2706362898869692</v>
      </c>
      <c r="K64" s="1">
        <f ca="1">J64*('Updated Population'!K$59/'Updated Population'!J$59)</f>
        <v>1.2551255971647457</v>
      </c>
    </row>
    <row r="65" spans="1:11" x14ac:dyDescent="0.2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OFFSET(Hawkes_Bay_Reference,36,6)</f>
        <v>2.9542272621999999</v>
      </c>
      <c r="D65" s="4">
        <f ca="1">OFFSET(Hawkes_Bay_Reference,37,6)</f>
        <v>2.9146494843999999</v>
      </c>
      <c r="E65" s="4">
        <f ca="1">OFFSET(Hawkes_Bay_Reference,38,6)</f>
        <v>2.6259315085999999</v>
      </c>
      <c r="F65" s="4">
        <f ca="1">OFFSET(Hawkes_Bay_Reference,39,6)</f>
        <v>2.3340800031</v>
      </c>
      <c r="G65" s="4">
        <f ca="1">OFFSET(Hawkes_Bay_Reference,40,6)</f>
        <v>2.122583691</v>
      </c>
      <c r="H65" s="4">
        <f ca="1">OFFSET(Hawkes_Bay_Reference,41,6)</f>
        <v>1.9429965157</v>
      </c>
      <c r="I65" s="1">
        <f ca="1">H65*('Updated Population'!I$59/'Updated Population'!H$59)</f>
        <v>1.9295539418306431</v>
      </c>
      <c r="J65" s="1">
        <f ca="1">I65*('Updated Population'!J$59/'Updated Population'!I$59)</f>
        <v>1.9101047613994702</v>
      </c>
      <c r="K65" s="1">
        <f ca="1">J65*('Updated Population'!K$59/'Updated Population'!J$59)</f>
        <v>1.886788059163649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OFFSET(Hawkes_Bay_Reference,43,6)</f>
        <v>35.820083236999999</v>
      </c>
      <c r="D67" s="4">
        <f ca="1">OFFSET(Hawkes_Bay_Reference,44,6)</f>
        <v>35.956778356000001</v>
      </c>
      <c r="E67" s="4">
        <f ca="1">OFFSET(Hawkes_Bay_Reference,45,6)</f>
        <v>36.433417120000001</v>
      </c>
      <c r="F67" s="4">
        <f ca="1">OFFSET(Hawkes_Bay_Reference,46,6)</f>
        <v>35.806194775000002</v>
      </c>
      <c r="G67" s="4">
        <f ca="1">OFFSET(Hawkes_Bay_Reference,47,6)</f>
        <v>35.890975459000003</v>
      </c>
      <c r="H67" s="4">
        <f ca="1">OFFSET(Hawkes_Bay_Reference,48,6)</f>
        <v>35.774455017000001</v>
      </c>
      <c r="I67" s="1">
        <f ca="1">H67*('Updated Population'!I$59/'Updated Population'!H$59)</f>
        <v>35.526950324986309</v>
      </c>
      <c r="J67" s="1">
        <f ca="1">I67*('Updated Population'!J$59/'Updated Population'!I$59)</f>
        <v>35.168851983156884</v>
      </c>
      <c r="K67" s="1">
        <f ca="1">J67*('Updated Population'!K$59/'Updated Population'!J$59)</f>
        <v>34.739544823550553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OFFSET(Hawkes_Bay_Reference,50,6)</f>
        <v>0</v>
      </c>
      <c r="D69" s="4">
        <f ca="1">OFFSET(Hawkes_Bay_Reference,51,6)</f>
        <v>0</v>
      </c>
      <c r="E69" s="4">
        <f ca="1">OFFSET(Hawkes_Bay_Reference,52,6)</f>
        <v>0</v>
      </c>
      <c r="F69" s="4">
        <f ca="1">OFFSET(Hawkes_Bay_Reference,53,6)</f>
        <v>0</v>
      </c>
      <c r="G69" s="4">
        <f ca="1">OFFSET(Hawkes_Bay_Reference,54,6)</f>
        <v>0</v>
      </c>
      <c r="H69" s="4">
        <f ca="1">OFFSET(Hawkes_Bay_Reference,55,6)</f>
        <v>0</v>
      </c>
      <c r="I69" s="1">
        <f ca="1">H69*('Updated Population'!I$59/'Updated Population'!H$59)</f>
        <v>0</v>
      </c>
      <c r="J69" s="1">
        <f ca="1">I69*('Updated Population'!J$59/'Updated Population'!I$59)</f>
        <v>0</v>
      </c>
      <c r="K69" s="1">
        <f ca="1">J69*('Updated Population'!K$59/'Updated Population'!J$59)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OFFSET(Taranaki_Reference,0,6)</f>
        <v>16.820589198</v>
      </c>
      <c r="C71" s="4">
        <f ca="1">OFFSET(Taranaki_Reference,1,6)</f>
        <v>16.476627296</v>
      </c>
      <c r="D71" s="4">
        <f ca="1">OFFSET(Taranaki_Reference,2,6)</f>
        <v>17.421651743000002</v>
      </c>
      <c r="E71" s="4">
        <f ca="1">OFFSET(Taranaki_Reference,3,6)</f>
        <v>17.337091392000001</v>
      </c>
      <c r="F71" s="4">
        <f ca="1">OFFSET(Taranaki_Reference,4,6)</f>
        <v>17.158422262999999</v>
      </c>
      <c r="G71" s="4">
        <f ca="1">OFFSET(Taranaki_Reference,5,6)</f>
        <v>16.988851086</v>
      </c>
      <c r="H71" s="4">
        <f ca="1">OFFSET(Taranaki_Reference,6,6)</f>
        <v>16.808457581999999</v>
      </c>
      <c r="I71" s="1">
        <f ca="1">H71*('Updated Population'!I$70/'Updated Population'!H$70)</f>
        <v>16.918961086255251</v>
      </c>
      <c r="J71" s="1">
        <f ca="1">I71*('Updated Population'!J$70/'Updated Population'!I$70)</f>
        <v>16.975981038916927</v>
      </c>
      <c r="K71" s="1">
        <f ca="1">J71*('Updated Population'!K$70/'Updated Population'!J$70)</f>
        <v>16.996587726943932</v>
      </c>
    </row>
    <row r="72" spans="1:11" x14ac:dyDescent="0.2">
      <c r="A72" t="str">
        <f ca="1">OFFSET(Taranaki_Reference,7,2)</f>
        <v>Cyclist</v>
      </c>
      <c r="B72" s="4">
        <f ca="1">OFFSET(Taranaki_Reference,7,6)</f>
        <v>5.5737915155</v>
      </c>
      <c r="C72" s="4">
        <f ca="1">OFFSET(Taranaki_Reference,8,6)</f>
        <v>5.3359230288999999</v>
      </c>
      <c r="D72" s="4">
        <f ca="1">OFFSET(Taranaki_Reference,9,6)</f>
        <v>5.5277498181000002</v>
      </c>
      <c r="E72" s="4">
        <f ca="1">OFFSET(Taranaki_Reference,10,6)</f>
        <v>5.1984312132000001</v>
      </c>
      <c r="F72" s="4">
        <f ca="1">OFFSET(Taranaki_Reference,11,6)</f>
        <v>5.0721984837000003</v>
      </c>
      <c r="G72" s="4">
        <f ca="1">OFFSET(Taranaki_Reference,12,6)</f>
        <v>5.0969302025000003</v>
      </c>
      <c r="H72" s="4">
        <f ca="1">OFFSET(Taranaki_Reference,13,6)</f>
        <v>5.1721720060000003</v>
      </c>
      <c r="I72" s="1">
        <f ca="1">H72*('Updated Population'!I$70/'Updated Population'!H$70)</f>
        <v>5.2061753122811174</v>
      </c>
      <c r="J72" s="1">
        <f ca="1">I72*('Updated Population'!J$70/'Updated Population'!I$70)</f>
        <v>5.2237210627761534</v>
      </c>
      <c r="K72" s="1">
        <f ca="1">J72*('Updated Population'!K$70/'Updated Population'!J$70)</f>
        <v>5.2300619976554952</v>
      </c>
    </row>
    <row r="73" spans="1:11" x14ac:dyDescent="0.2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OFFSET(Taranaki_Reference,15,6)</f>
        <v>940.88617249000004</v>
      </c>
      <c r="D73" s="4">
        <f ca="1">OFFSET(Taranaki_Reference,16,6)</f>
        <v>1025.2692817</v>
      </c>
      <c r="E73" s="4">
        <f ca="1">OFFSET(Taranaki_Reference,17,6)</f>
        <v>1038.9268886</v>
      </c>
      <c r="F73" s="4">
        <f ca="1">OFFSET(Taranaki_Reference,18,6)</f>
        <v>1028.3137004</v>
      </c>
      <c r="G73" s="4">
        <f ca="1">OFFSET(Taranaki_Reference,19,6)</f>
        <v>1022.490081</v>
      </c>
      <c r="H73" s="4">
        <f ca="1">OFFSET(Taranaki_Reference,20,6)</f>
        <v>1011.0955106</v>
      </c>
      <c r="I73" s="1">
        <f ca="1">H73*('Updated Population'!I$70/'Updated Population'!H$70)</f>
        <v>1017.7427354576636</v>
      </c>
      <c r="J73" s="1">
        <f ca="1">I73*('Updated Population'!J$70/'Updated Population'!I$70)</f>
        <v>1021.1727121744198</v>
      </c>
      <c r="K73" s="1">
        <f ca="1">J73*('Updated Population'!K$70/'Updated Population'!J$70)</f>
        <v>1022.4122863382473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OFFSET(Taranaki_Reference,22,6)</f>
        <v>608.73691880000001</v>
      </c>
      <c r="D74" s="4">
        <f ca="1">OFFSET(Taranaki_Reference,23,6)</f>
        <v>619.51150198000005</v>
      </c>
      <c r="E74" s="4">
        <f ca="1">OFFSET(Taranaki_Reference,24,6)</f>
        <v>609.72579507</v>
      </c>
      <c r="F74" s="4">
        <f ca="1">OFFSET(Taranaki_Reference,25,6)</f>
        <v>600.51011625000001</v>
      </c>
      <c r="G74" s="4">
        <f ca="1">OFFSET(Taranaki_Reference,26,6)</f>
        <v>584.99400001000004</v>
      </c>
      <c r="H74" s="4">
        <f ca="1">OFFSET(Taranaki_Reference,27,6)</f>
        <v>568.52799573000004</v>
      </c>
      <c r="I74" s="1">
        <f ca="1">H74*('Updated Population'!I$70/'Updated Population'!H$70)</f>
        <v>572.26565788542939</v>
      </c>
      <c r="J74" s="1">
        <f ca="1">I74*('Updated Population'!J$70/'Updated Population'!I$70)</f>
        <v>574.19429644403681</v>
      </c>
      <c r="K74" s="1">
        <f ca="1">J74*('Updated Population'!K$70/'Updated Population'!J$70)</f>
        <v>574.89129549855875</v>
      </c>
    </row>
    <row r="75" spans="1:11" x14ac:dyDescent="0.2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OFFSET(Taranaki_Reference,29,6)</f>
        <v>1.3356170152</v>
      </c>
      <c r="D75" s="4">
        <f ca="1">OFFSET(Taranaki_Reference,30,6)</f>
        <v>1.5818231103</v>
      </c>
      <c r="E75" s="4">
        <f ca="1">OFFSET(Taranaki_Reference,31,6)</f>
        <v>1.7330735669999999</v>
      </c>
      <c r="F75" s="4">
        <f ca="1">OFFSET(Taranaki_Reference,32,6)</f>
        <v>1.7837627894000001</v>
      </c>
      <c r="G75" s="4">
        <f ca="1">OFFSET(Taranaki_Reference,33,6)</f>
        <v>1.8219587241999999</v>
      </c>
      <c r="H75" s="4">
        <f ca="1">OFFSET(Taranaki_Reference,34,6)</f>
        <v>1.8348403943</v>
      </c>
      <c r="I75" s="1">
        <f ca="1">H75*('Updated Population'!I$70/'Updated Population'!H$70)</f>
        <v>1.8469031485610672</v>
      </c>
      <c r="J75" s="1">
        <f ca="1">I75*('Updated Population'!J$70/'Updated Population'!I$70)</f>
        <v>1.8531275455299332</v>
      </c>
      <c r="K75" s="1">
        <f ca="1">J75*('Updated Population'!K$70/'Updated Population'!J$70)</f>
        <v>1.855377007349986</v>
      </c>
    </row>
    <row r="76" spans="1:11" x14ac:dyDescent="0.2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OFFSET(Taranaki_Reference,36,6)</f>
        <v>6.7265298340999999</v>
      </c>
      <c r="D76" s="4">
        <f ca="1">OFFSET(Taranaki_Reference,37,6)</f>
        <v>6.8784173278000003</v>
      </c>
      <c r="E76" s="4">
        <f ca="1">OFFSET(Taranaki_Reference,38,6)</f>
        <v>6.5711368293000003</v>
      </c>
      <c r="F76" s="4">
        <f ca="1">OFFSET(Taranaki_Reference,39,6)</f>
        <v>6.0828833970999998</v>
      </c>
      <c r="G76" s="4">
        <f ca="1">OFFSET(Taranaki_Reference,40,6)</f>
        <v>5.5846944226000002</v>
      </c>
      <c r="H76" s="4">
        <f ca="1">OFFSET(Taranaki_Reference,41,6)</f>
        <v>5.1220485657000001</v>
      </c>
      <c r="I76" s="1">
        <f ca="1">H76*('Updated Population'!I$70/'Updated Population'!H$70)</f>
        <v>5.1557223464567521</v>
      </c>
      <c r="J76" s="1">
        <f ca="1">I76*('Updated Population'!J$70/'Updated Population'!I$70)</f>
        <v>5.1730980613504123</v>
      </c>
      <c r="K76" s="1">
        <f ca="1">J76*('Updated Population'!K$70/'Updated Population'!J$70)</f>
        <v>5.1793775463262124</v>
      </c>
    </row>
    <row r="77" spans="1:11" x14ac:dyDescent="0.2">
      <c r="A77" t="str">
        <f ca="1">OFFSET(Taranaki_Reference,42,2)</f>
        <v>Local Train</v>
      </c>
      <c r="B77" s="4">
        <f ca="1">OFFSET(Taranaki_Reference,42,6)</f>
        <v>0.36455468079999997</v>
      </c>
      <c r="C77" s="4">
        <f ca="1">OFFSET(Taranaki_Reference,43,6)</f>
        <v>0.32494070110000001</v>
      </c>
      <c r="D77" s="4">
        <f ca="1">OFFSET(Taranaki_Reference,44,6)</f>
        <v>0.29598412099999999</v>
      </c>
      <c r="E77" s="4">
        <f ca="1">OFFSET(Taranaki_Reference,45,6)</f>
        <v>0.28759549169999998</v>
      </c>
      <c r="F77" s="4">
        <f ca="1">OFFSET(Taranaki_Reference,46,6)</f>
        <v>0.3127402883</v>
      </c>
      <c r="G77" s="4">
        <f ca="1">OFFSET(Taranaki_Reference,47,6)</f>
        <v>0.361781136</v>
      </c>
      <c r="H77" s="4">
        <f ca="1">OFFSET(Taranaki_Reference,48,6)</f>
        <v>0.4094471884</v>
      </c>
      <c r="I77" s="1">
        <f ca="1">H77*('Updated Population'!I$70/'Updated Population'!H$70)</f>
        <v>0.41213900880677623</v>
      </c>
      <c r="J77" s="1">
        <f ca="1">I77*('Updated Population'!J$70/'Updated Population'!I$70)</f>
        <v>0.41352799165580489</v>
      </c>
      <c r="K77" s="1">
        <f ca="1">J77*('Updated Population'!K$70/'Updated Population'!J$70)</f>
        <v>0.41402996219258564</v>
      </c>
    </row>
    <row r="78" spans="1:11" x14ac:dyDescent="0.2">
      <c r="A78" t="str">
        <f ca="1">OFFSET(Taranaki_Reference,49,2)</f>
        <v>Local Bus</v>
      </c>
      <c r="B78" s="4">
        <f ca="1">OFFSET(Taranaki_Reference,49,6)</f>
        <v>14.084735078</v>
      </c>
      <c r="C78" s="4">
        <f ca="1">OFFSET(Taranaki_Reference,50,6)</f>
        <v>14.233859721</v>
      </c>
      <c r="D78" s="4">
        <f ca="1">OFFSET(Taranaki_Reference,51,6)</f>
        <v>15.706100074</v>
      </c>
      <c r="E78" s="4">
        <f ca="1">OFFSET(Taranaki_Reference,52,6)</f>
        <v>15.793887137</v>
      </c>
      <c r="F78" s="4">
        <f ca="1">OFFSET(Taranaki_Reference,53,6)</f>
        <v>15.563459943</v>
      </c>
      <c r="G78" s="4">
        <f ca="1">OFFSET(Taranaki_Reference,54,6)</f>
        <v>16.310720518</v>
      </c>
      <c r="H78" s="4">
        <f ca="1">OFFSET(Taranaki_Reference,55,6)</f>
        <v>17.010189947000001</v>
      </c>
      <c r="I78" s="1">
        <f ca="1">H78*('Updated Population'!I$70/'Updated Population'!H$70)</f>
        <v>17.122019696280738</v>
      </c>
      <c r="J78" s="1">
        <f ca="1">I78*('Updated Population'!J$70/'Updated Population'!I$70)</f>
        <v>17.17972399310942</v>
      </c>
      <c r="K78" s="1">
        <f ca="1">J78*('Updated Population'!K$70/'Updated Population'!J$70)</f>
        <v>17.200577999243407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OFFSET(Taranaki_Reference,57,6)</f>
        <v>0</v>
      </c>
      <c r="D80" s="4">
        <f ca="1">OFFSET(Taranaki_Reference,58,6)</f>
        <v>0</v>
      </c>
      <c r="E80" s="4">
        <f ca="1">OFFSET(Taranaki_Reference,59,6)</f>
        <v>0</v>
      </c>
      <c r="F80" s="4">
        <f ca="1">OFFSET(Taranaki_Reference,60,6)</f>
        <v>0</v>
      </c>
      <c r="G80" s="4">
        <f ca="1">OFFSET(Taranaki_Reference,61,6)</f>
        <v>0</v>
      </c>
      <c r="H80" s="4">
        <f ca="1">OFFSET(Taranaki_Reference,62,6)</f>
        <v>0</v>
      </c>
      <c r="I80" s="1">
        <f ca="1">H80*('Updated Population'!I$70/'Updated Population'!H$70)</f>
        <v>0</v>
      </c>
      <c r="J80" s="1">
        <f ca="1">I80*('Updated Population'!J$70/'Updated Population'!I$70)</f>
        <v>0</v>
      </c>
      <c r="K80" s="1">
        <f ca="1">J80*('Updated Population'!K$70/'Updated Population'!J$70)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OFFSET(Manawatu_Reference,0,6)</f>
        <v>32.265609755</v>
      </c>
      <c r="C82" s="4">
        <f ca="1">OFFSET(Manawatu_Reference,1,6)</f>
        <v>29.466502982000002</v>
      </c>
      <c r="D82" s="4">
        <f ca="1">OFFSET(Manawatu_Reference,2,6)</f>
        <v>29.060687991999998</v>
      </c>
      <c r="E82" s="4">
        <f ca="1">OFFSET(Manawatu_Reference,3,6)</f>
        <v>26.171112049000001</v>
      </c>
      <c r="F82" s="4">
        <f ca="1">OFFSET(Manawatu_Reference,4,6)</f>
        <v>23.859221262999998</v>
      </c>
      <c r="G82" s="4">
        <f ca="1">OFFSET(Manawatu_Reference,5,6)</f>
        <v>22.061413252000001</v>
      </c>
      <c r="H82" s="4">
        <f ca="1">OFFSET(Manawatu_Reference,6,6)</f>
        <v>20.637633812000001</v>
      </c>
      <c r="I82" s="1">
        <f ca="1">H82*('Updated Population'!I$81/'Updated Population'!H$81)</f>
        <v>20.467651797425248</v>
      </c>
      <c r="J82" s="1">
        <f ca="1">I82*('Updated Population'!J$81/'Updated Population'!I$81)</f>
        <v>20.234454403975143</v>
      </c>
      <c r="K82" s="1">
        <f ca="1">J82*('Updated Population'!K$81/'Updated Population'!J$81)</f>
        <v>19.960924232966455</v>
      </c>
    </row>
    <row r="83" spans="1:11" x14ac:dyDescent="0.2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OFFSET(Manawatu_Reference,8,6)</f>
        <v>21.746357148000001</v>
      </c>
      <c r="D83" s="4">
        <f ca="1">OFFSET(Manawatu_Reference,9,6)</f>
        <v>24.594026543999998</v>
      </c>
      <c r="E83" s="4">
        <f ca="1">OFFSET(Manawatu_Reference,10,6)</f>
        <v>25.002217221999999</v>
      </c>
      <c r="F83" s="4">
        <f ca="1">OFFSET(Manawatu_Reference,11,6)</f>
        <v>25.166609346000001</v>
      </c>
      <c r="G83" s="4">
        <f ca="1">OFFSET(Manawatu_Reference,12,6)</f>
        <v>25.141745562000001</v>
      </c>
      <c r="H83" s="4">
        <f ca="1">OFFSET(Manawatu_Reference,13,6)</f>
        <v>24.912906242999998</v>
      </c>
      <c r="I83" s="1">
        <f ca="1">H83*('Updated Population'!I$81/'Updated Population'!H$81)</f>
        <v>24.707710917282242</v>
      </c>
      <c r="J83" s="1">
        <f ca="1">I83*('Updated Population'!J$81/'Updated Population'!I$81)</f>
        <v>24.426204575418751</v>
      </c>
      <c r="K83" s="1">
        <f ca="1">J83*('Updated Population'!K$81/'Updated Population'!J$81)</f>
        <v>24.096010156472872</v>
      </c>
    </row>
    <row r="84" spans="1:11" x14ac:dyDescent="0.2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OFFSET(Manawatu_Reference,15,6)</f>
        <v>1784.8302051999999</v>
      </c>
      <c r="D84" s="4">
        <f ca="1">OFFSET(Manawatu_Reference,16,6)</f>
        <v>1915.0687966999999</v>
      </c>
      <c r="E84" s="4">
        <f ca="1">OFFSET(Manawatu_Reference,17,6)</f>
        <v>1934.6960892</v>
      </c>
      <c r="F84" s="4">
        <f ca="1">OFFSET(Manawatu_Reference,18,6)</f>
        <v>1932.9971674000001</v>
      </c>
      <c r="G84" s="4">
        <f ca="1">OFFSET(Manawatu_Reference,19,6)</f>
        <v>1894.8841007000001</v>
      </c>
      <c r="H84" s="4">
        <f ca="1">OFFSET(Manawatu_Reference,20,6)</f>
        <v>1844.1645357</v>
      </c>
      <c r="I84" s="1">
        <f ca="1">H84*('Updated Population'!I$81/'Updated Population'!H$81)</f>
        <v>1828.9750616623644</v>
      </c>
      <c r="J84" s="1">
        <f ca="1">I84*('Updated Population'!J$81/'Updated Population'!I$81)</f>
        <v>1808.1367055438302</v>
      </c>
      <c r="K84" s="1">
        <f ca="1">J84*('Updated Population'!K$81/'Updated Population'!J$81)</f>
        <v>1783.694240607522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OFFSET(Manawatu_Reference,22,6)</f>
        <v>838.49369779000006</v>
      </c>
      <c r="D85" s="4">
        <f ca="1">OFFSET(Manawatu_Reference,23,6)</f>
        <v>874.44551280999997</v>
      </c>
      <c r="E85" s="4">
        <f ca="1">OFFSET(Manawatu_Reference,24,6)</f>
        <v>865.97740577000002</v>
      </c>
      <c r="F85" s="4">
        <f ca="1">OFFSET(Manawatu_Reference,25,6)</f>
        <v>866.16679366000005</v>
      </c>
      <c r="G85" s="4">
        <f ca="1">OFFSET(Manawatu_Reference,26,6)</f>
        <v>858.15119822999998</v>
      </c>
      <c r="H85" s="4">
        <f ca="1">OFFSET(Manawatu_Reference,27,6)</f>
        <v>847.51422621999995</v>
      </c>
      <c r="I85" s="1">
        <f ca="1">H85*('Updated Population'!I$81/'Updated Population'!H$81)</f>
        <v>840.5336693952213</v>
      </c>
      <c r="J85" s="1">
        <f ca="1">I85*('Updated Population'!J$81/'Updated Population'!I$81)</f>
        <v>830.95708177540098</v>
      </c>
      <c r="K85" s="1">
        <f ca="1">J85*('Updated Population'!K$81/'Updated Population'!J$81)</f>
        <v>819.72417041831238</v>
      </c>
    </row>
    <row r="86" spans="1:11" x14ac:dyDescent="0.2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OFFSET(Manawatu_Reference,29,6)</f>
        <v>6.4853087409999999</v>
      </c>
      <c r="D86" s="4">
        <f ca="1">OFFSET(Manawatu_Reference,30,6)</f>
        <v>7.7098291944000001</v>
      </c>
      <c r="E86" s="4">
        <f ca="1">OFFSET(Manawatu_Reference,31,6)</f>
        <v>7.9096511380000001</v>
      </c>
      <c r="F86" s="4">
        <f ca="1">OFFSET(Manawatu_Reference,32,6)</f>
        <v>8.0022172043000008</v>
      </c>
      <c r="G86" s="4">
        <f ca="1">OFFSET(Manawatu_Reference,33,6)</f>
        <v>8.5590025595999997</v>
      </c>
      <c r="H86" s="4">
        <f ca="1">OFFSET(Manawatu_Reference,34,6)</f>
        <v>9.0861207010000005</v>
      </c>
      <c r="I86" s="1">
        <f ca="1">H86*('Updated Population'!I$81/'Updated Population'!H$81)</f>
        <v>9.0112828045873172</v>
      </c>
      <c r="J86" s="1">
        <f ca="1">I86*('Updated Population'!J$81/'Updated Population'!I$81)</f>
        <v>8.9086131049818231</v>
      </c>
      <c r="K86" s="1">
        <f ca="1">J86*('Updated Population'!K$81/'Updated Population'!J$81)</f>
        <v>8.7881861136033361</v>
      </c>
    </row>
    <row r="87" spans="1:11" x14ac:dyDescent="0.2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OFFSET(Manawatu_Reference,36,6)</f>
        <v>3.8648928841000001</v>
      </c>
      <c r="D87" s="4">
        <f ca="1">OFFSET(Manawatu_Reference,37,6)</f>
        <v>4.1787028065999996</v>
      </c>
      <c r="E87" s="4">
        <f ca="1">OFFSET(Manawatu_Reference,38,6)</f>
        <v>3.9622549995999998</v>
      </c>
      <c r="F87" s="4">
        <f ca="1">OFFSET(Manawatu_Reference,39,6)</f>
        <v>3.7119609078</v>
      </c>
      <c r="G87" s="4">
        <f ca="1">OFFSET(Manawatu_Reference,40,6)</f>
        <v>3.5263935580000001</v>
      </c>
      <c r="H87" s="4">
        <f ca="1">OFFSET(Manawatu_Reference,41,6)</f>
        <v>3.3161715956000002</v>
      </c>
      <c r="I87" s="1">
        <f ca="1">H87*('Updated Population'!I$81/'Updated Population'!H$81)</f>
        <v>3.2888579251651704</v>
      </c>
      <c r="J87" s="1">
        <f ca="1">I87*('Updated Population'!J$81/'Updated Population'!I$81)</f>
        <v>3.2513864505100898</v>
      </c>
      <c r="K87" s="1">
        <f ca="1">J87*('Updated Population'!K$81/'Updated Population'!J$81)</f>
        <v>3.2074340772922265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OFFSET(Manawatu_Reference,43,6)</f>
        <v>31.694402836999998</v>
      </c>
      <c r="D89" s="4">
        <f ca="1">OFFSET(Manawatu_Reference,44,6)</f>
        <v>27.914601403999999</v>
      </c>
      <c r="E89" s="4">
        <f ca="1">OFFSET(Manawatu_Reference,45,6)</f>
        <v>24.353701634</v>
      </c>
      <c r="F89" s="4">
        <f ca="1">OFFSET(Manawatu_Reference,46,6)</f>
        <v>21.535918241000001</v>
      </c>
      <c r="G89" s="4">
        <f ca="1">OFFSET(Manawatu_Reference,47,6)</f>
        <v>19.159372230999999</v>
      </c>
      <c r="H89" s="4">
        <f ca="1">OFFSET(Manawatu_Reference,48,6)</f>
        <v>17.011265295000001</v>
      </c>
      <c r="I89" s="1">
        <f ca="1">H89*('Updated Population'!I$81/'Updated Population'!H$81)</f>
        <v>16.871151889962825</v>
      </c>
      <c r="J89" s="1">
        <f ca="1">I89*('Updated Population'!J$81/'Updated Population'!I$81)</f>
        <v>16.678931078109116</v>
      </c>
      <c r="K89" s="1">
        <f ca="1">J89*('Updated Population'!K$81/'Updated Population'!J$81)</f>
        <v>16.453464614870008</v>
      </c>
    </row>
    <row r="90" spans="1:11" x14ac:dyDescent="0.2">
      <c r="A90" t="str">
        <f ca="1">OFFSET(Manawatu_Reference,49,2)</f>
        <v>Local Ferry</v>
      </c>
      <c r="B90" s="4">
        <f ca="1">OFFSET(Manawatu_Reference,49,6)</f>
        <v>0</v>
      </c>
      <c r="C90" s="4">
        <f ca="1">OFFSET(Manawatu_Reference,50,6)</f>
        <v>0</v>
      </c>
      <c r="D90" s="4">
        <f ca="1">OFFSET(Manawatu_Reference,51,6)</f>
        <v>0</v>
      </c>
      <c r="E90" s="4">
        <f ca="1">OFFSET(Manawatu_Reference,52,6)</f>
        <v>0</v>
      </c>
      <c r="F90" s="4">
        <f ca="1">OFFSET(Manawatu_Reference,53,6)</f>
        <v>0</v>
      </c>
      <c r="G90" s="4">
        <f ca="1">OFFSET(Manawatu_Reference,54,6)</f>
        <v>0</v>
      </c>
      <c r="H90" s="4">
        <f ca="1">OFFSET(Manawatu_Reference,55,6)</f>
        <v>0</v>
      </c>
      <c r="I90" s="1">
        <f ca="1">H90*('Updated Population'!I$81/'Updated Population'!H$81)</f>
        <v>0</v>
      </c>
      <c r="J90" s="1">
        <f ca="1">I90*('Updated Population'!J$81/'Updated Population'!I$81)</f>
        <v>0</v>
      </c>
      <c r="K90" s="1">
        <f ca="1">J90*('Updated Population'!K$81/'Updated Population'!J$81)</f>
        <v>0</v>
      </c>
    </row>
    <row r="91" spans="1:11" x14ac:dyDescent="0.2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OFFSET(Manawatu_Reference,57,6)</f>
        <v>0</v>
      </c>
      <c r="D91" s="4">
        <f ca="1">OFFSET(Manawatu_Reference,58,6)</f>
        <v>0</v>
      </c>
      <c r="E91" s="4">
        <f ca="1">OFFSET(Manawatu_Reference,59,6)</f>
        <v>0</v>
      </c>
      <c r="F91" s="4">
        <f ca="1">OFFSET(Manawatu_Reference,60,6)</f>
        <v>0</v>
      </c>
      <c r="G91" s="4">
        <f ca="1">OFFSET(Manawatu_Reference,61,6)</f>
        <v>0</v>
      </c>
      <c r="H91" s="4">
        <f ca="1">OFFSET(Manawatu_Reference,62,6)</f>
        <v>0</v>
      </c>
      <c r="I91" s="1">
        <f ca="1">H91*('Updated Population'!I$81/'Updated Population'!H$81)</f>
        <v>0</v>
      </c>
      <c r="J91" s="1">
        <f ca="1">I91*('Updated Population'!J$81/'Updated Population'!I$81)</f>
        <v>0</v>
      </c>
      <c r="K91" s="1">
        <f ca="1">J91*('Updated Population'!K$81/'Updated Population'!J$81)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OFFSET(Wellington_Reference,1,6)</f>
        <v>123.96942556</v>
      </c>
      <c r="D93" s="4">
        <f ca="1">OFFSET(Wellington_Reference,2,6)</f>
        <v>129.98584789</v>
      </c>
      <c r="E93" s="4">
        <f ca="1">OFFSET(Wellington_Reference,3,6)</f>
        <v>130.26183119999999</v>
      </c>
      <c r="F93" s="4">
        <f ca="1">OFFSET(Wellington_Reference,4,6)</f>
        <v>130.43973721</v>
      </c>
      <c r="G93" s="4">
        <f ca="1">OFFSET(Wellington_Reference,5,6)</f>
        <v>130.84280457</v>
      </c>
      <c r="H93" s="4">
        <f ca="1">OFFSET(Wellington_Reference,6,6)</f>
        <v>130.93685808999999</v>
      </c>
      <c r="I93" s="1">
        <f ca="1">H93*('Updated Population'!I$92/'Updated Population'!H$92)</f>
        <v>131.80278660101638</v>
      </c>
      <c r="J93" s="1">
        <f ca="1">I93*('Updated Population'!J$92/'Updated Population'!I$92)</f>
        <v>132.25211617352474</v>
      </c>
      <c r="K93" s="1">
        <f ca="1">J93*('Updated Population'!K$92/'Updated Population'!J$92)</f>
        <v>132.41779028860793</v>
      </c>
    </row>
    <row r="94" spans="1:11" x14ac:dyDescent="0.2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OFFSET(Wellington_Reference,8,6)</f>
        <v>51.455130435000001</v>
      </c>
      <c r="D94" s="4">
        <f ca="1">OFFSET(Wellington_Reference,9,6)</f>
        <v>55.006635909000003</v>
      </c>
      <c r="E94" s="4">
        <f ca="1">OFFSET(Wellington_Reference,10,6)</f>
        <v>56.273331108999997</v>
      </c>
      <c r="F94" s="4">
        <f ca="1">OFFSET(Wellington_Reference,11,6)</f>
        <v>59.975755483999997</v>
      </c>
      <c r="G94" s="4">
        <f ca="1">OFFSET(Wellington_Reference,12,6)</f>
        <v>65.351235028999994</v>
      </c>
      <c r="H94" s="4">
        <f ca="1">OFFSET(Wellington_Reference,13,6)</f>
        <v>70.795868893000005</v>
      </c>
      <c r="I94" s="1">
        <f ca="1">H94*('Updated Population'!I$92/'Updated Population'!H$92)</f>
        <v>71.264065260553679</v>
      </c>
      <c r="J94" s="1">
        <f ca="1">I94*('Updated Population'!J$92/'Updated Population'!I$92)</f>
        <v>71.507011959971067</v>
      </c>
      <c r="K94" s="1">
        <f ca="1">J94*('Updated Population'!K$92/'Updated Population'!J$92)</f>
        <v>71.596589815293754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OFFSET(Wellington_Reference,15,6)</f>
        <v>3389.5387887000002</v>
      </c>
      <c r="D95" s="4">
        <f ca="1">OFFSET(Wellington_Reference,16,6)</f>
        <v>3580.9944003999999</v>
      </c>
      <c r="E95" s="4">
        <f ca="1">OFFSET(Wellington_Reference,17,6)</f>
        <v>3686.3797288000001</v>
      </c>
      <c r="F95" s="4">
        <f ca="1">OFFSET(Wellington_Reference,18,6)</f>
        <v>3774.6531451000001</v>
      </c>
      <c r="G95" s="4">
        <f ca="1">OFFSET(Wellington_Reference,19,6)</f>
        <v>3815.8583039</v>
      </c>
      <c r="H95" s="4">
        <f ca="1">OFFSET(Wellington_Reference,20,6)</f>
        <v>3836.1299755</v>
      </c>
      <c r="I95" s="1">
        <f ca="1">H95*('Updated Population'!I$92/'Updated Population'!H$92)</f>
        <v>3861.4995648288264</v>
      </c>
      <c r="J95" s="1">
        <f ca="1">I95*('Updated Population'!J$92/'Updated Population'!I$92)</f>
        <v>3874.6638232899013</v>
      </c>
      <c r="K95" s="1">
        <f ca="1">J95*('Updated Population'!K$92/'Updated Population'!J$92)</f>
        <v>3879.5176700088919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OFFSET(Wellington_Reference,22,6)</f>
        <v>1855.0981509999999</v>
      </c>
      <c r="D96" s="4">
        <f ca="1">OFFSET(Wellington_Reference,23,6)</f>
        <v>1882.7146579</v>
      </c>
      <c r="E96" s="4">
        <f ca="1">OFFSET(Wellington_Reference,24,6)</f>
        <v>1862.0886949000001</v>
      </c>
      <c r="F96" s="4">
        <f ca="1">OFFSET(Wellington_Reference,25,6)</f>
        <v>1848.1684035000001</v>
      </c>
      <c r="G96" s="4">
        <f ca="1">OFFSET(Wellington_Reference,26,6)</f>
        <v>1823.1036879000001</v>
      </c>
      <c r="H96" s="4">
        <f ca="1">OFFSET(Wellington_Reference,27,6)</f>
        <v>1795.2926726000001</v>
      </c>
      <c r="I96" s="1">
        <f ca="1">H96*('Updated Population'!I$92/'Updated Population'!H$92)</f>
        <v>1807.165533561385</v>
      </c>
      <c r="J96" s="1">
        <f ca="1">I96*('Updated Population'!J$92/'Updated Population'!I$92)</f>
        <v>1813.3263510796446</v>
      </c>
      <c r="K96" s="1">
        <f ca="1">J96*('Updated Population'!K$92/'Updated Population'!J$92)</f>
        <v>1815.5979309020649</v>
      </c>
    </row>
    <row r="97" spans="1:11" x14ac:dyDescent="0.2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OFFSET(Wellington_Reference,29,6)</f>
        <v>19.232101614000001</v>
      </c>
      <c r="D97" s="4">
        <f ca="1">OFFSET(Wellington_Reference,30,6)</f>
        <v>20.761453255999999</v>
      </c>
      <c r="E97" s="4">
        <f ca="1">OFFSET(Wellington_Reference,31,6)</f>
        <v>22.193646449999999</v>
      </c>
      <c r="F97" s="4">
        <f ca="1">OFFSET(Wellington_Reference,32,6)</f>
        <v>23.359180929000001</v>
      </c>
      <c r="G97" s="4">
        <f ca="1">OFFSET(Wellington_Reference,33,6)</f>
        <v>23.777106331999999</v>
      </c>
      <c r="H97" s="4">
        <f ca="1">OFFSET(Wellington_Reference,34,6)</f>
        <v>23.879346567999999</v>
      </c>
      <c r="I97" s="1">
        <f ca="1">H97*('Updated Population'!I$92/'Updated Population'!H$92)</f>
        <v>24.037268541379412</v>
      </c>
      <c r="J97" s="1">
        <f ca="1">I97*('Updated Population'!J$92/'Updated Population'!I$92)</f>
        <v>24.119214119894846</v>
      </c>
      <c r="K97" s="1">
        <f ca="1">J97*('Updated Population'!K$92/'Updated Population'!J$92)</f>
        <v>24.149428603953254</v>
      </c>
    </row>
    <row r="98" spans="1:11" x14ac:dyDescent="0.2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OFFSET(Wellington_Reference,36,6)</f>
        <v>22.907917955999999</v>
      </c>
      <c r="D98" s="4">
        <f ca="1">OFFSET(Wellington_Reference,37,6)</f>
        <v>22.712486507000001</v>
      </c>
      <c r="E98" s="4">
        <f ca="1">OFFSET(Wellington_Reference,38,6)</f>
        <v>22.602515806</v>
      </c>
      <c r="F98" s="4">
        <f ca="1">OFFSET(Wellington_Reference,39,6)</f>
        <v>22.950346429</v>
      </c>
      <c r="G98" s="4">
        <f ca="1">OFFSET(Wellington_Reference,40,6)</f>
        <v>22.714475229000001</v>
      </c>
      <c r="H98" s="4">
        <f ca="1">OFFSET(Wellington_Reference,41,6)</f>
        <v>22.185977841</v>
      </c>
      <c r="I98" s="1">
        <f ca="1">H98*('Updated Population'!I$92/'Updated Population'!H$92)</f>
        <v>22.33270100999566</v>
      </c>
      <c r="J98" s="1">
        <f ca="1">I98*('Updated Population'!J$92/'Updated Population'!I$92)</f>
        <v>22.408835538381272</v>
      </c>
      <c r="K98" s="1">
        <f ca="1">J98*('Updated Population'!K$92/'Updated Population'!J$92)</f>
        <v>22.436907406758753</v>
      </c>
    </row>
    <row r="99" spans="1:11" x14ac:dyDescent="0.2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248.44248303000001</v>
      </c>
      <c r="D99" s="4">
        <f ca="1">OFFSET(Wellington_Reference,44,6)</f>
        <v>265.06830047</v>
      </c>
      <c r="E99" s="4">
        <f ca="1">OFFSET(Wellington_Reference,45,6)</f>
        <v>263.58451653999998</v>
      </c>
      <c r="F99" s="4">
        <f ca="1">OFFSET(Wellington_Reference,46,6)</f>
        <v>256.17808224999999</v>
      </c>
      <c r="G99" s="4">
        <f ca="1">OFFSET(Wellington_Reference,47,6)</f>
        <v>248.81406132000001</v>
      </c>
      <c r="H99" s="4">
        <f ca="1">OFFSET(Wellington_Reference,48,6)</f>
        <v>240.12026714999999</v>
      </c>
      <c r="I99" s="1">
        <f ca="1">H99*('Updated Population'!I$92/'Updated Population'!H$92)</f>
        <v>241.70826145833402</v>
      </c>
      <c r="J99" s="1">
        <f ca="1">I99*('Updated Population'!J$92/'Updated Population'!I$92)</f>
        <v>242.53227036280109</v>
      </c>
      <c r="K99" s="1">
        <f ca="1">J99*('Updated Population'!K$92/'Updated Population'!J$92)</f>
        <v>242.83609400233178</v>
      </c>
    </row>
    <row r="100" spans="1:11" x14ac:dyDescent="0.2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181.7900128</v>
      </c>
      <c r="D100" s="4">
        <f ca="1">OFFSET(Wellington_Reference,51,6)</f>
        <v>187.11115660999999</v>
      </c>
      <c r="E100" s="4">
        <f ca="1">OFFSET(Wellington_Reference,52,6)</f>
        <v>182.32258335</v>
      </c>
      <c r="F100" s="4">
        <f ca="1">OFFSET(Wellington_Reference,53,6)</f>
        <v>177.10118631</v>
      </c>
      <c r="G100" s="4">
        <f ca="1">OFFSET(Wellington_Reference,54,6)</f>
        <v>171.97027491</v>
      </c>
      <c r="H100" s="4">
        <f ca="1">OFFSET(Wellington_Reference,55,6)</f>
        <v>166.55157001000001</v>
      </c>
      <c r="I100" s="1">
        <f ca="1">H100*('Updated Population'!I$92/'Updated Population'!H$92)</f>
        <v>167.65303032552913</v>
      </c>
      <c r="J100" s="1">
        <f ca="1">I100*('Updated Population'!J$92/'Updated Population'!I$92)</f>
        <v>168.22457715233438</v>
      </c>
      <c r="K100" s="1">
        <f ca="1">J100*('Updated Population'!K$92/'Updated Population'!J$92)</f>
        <v>168.4353144831336</v>
      </c>
    </row>
    <row r="101" spans="1:11" x14ac:dyDescent="0.2">
      <c r="A101" t="str">
        <f ca="1">OFFSET(Wellington_Reference,56,2)</f>
        <v>Local Ferry</v>
      </c>
      <c r="B101" s="4">
        <f ca="1">OFFSET(Wellington_Reference,56,6)</f>
        <v>0</v>
      </c>
      <c r="C101" s="4">
        <f ca="1">OFFSET(Wellington_Reference,57,6)</f>
        <v>0</v>
      </c>
      <c r="D101" s="4">
        <f ca="1">OFFSET(Wellington_Reference,58,6)</f>
        <v>0</v>
      </c>
      <c r="E101" s="4">
        <f ca="1">OFFSET(Wellington_Reference,59,6)</f>
        <v>0</v>
      </c>
      <c r="F101" s="4">
        <f ca="1">OFFSET(Wellington_Reference,60,6)</f>
        <v>0</v>
      </c>
      <c r="G101" s="4">
        <f ca="1">OFFSET(Wellington_Reference,61,6)</f>
        <v>0</v>
      </c>
      <c r="H101" s="4">
        <f ca="1">OFFSET(Wellington_Reference,62,6)</f>
        <v>0</v>
      </c>
      <c r="I101" s="1">
        <f ca="1">H101*('Updated Population'!I$92/'Updated Population'!H$92)</f>
        <v>0</v>
      </c>
      <c r="J101" s="1">
        <f ca="1">I101*('Updated Population'!J$92/'Updated Population'!I$92)</f>
        <v>0</v>
      </c>
      <c r="K101" s="1">
        <f ca="1">J101*('Updated Population'!K$92/'Updated Population'!J$92)</f>
        <v>0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OFFSET(Wellington_Reference,64,6)</f>
        <v>0</v>
      </c>
      <c r="D102" s="4">
        <f ca="1">OFFSET(Wellington_Reference,65,6)</f>
        <v>0</v>
      </c>
      <c r="E102" s="4">
        <f ca="1">OFFSET(Wellington_Reference,66,6)</f>
        <v>0</v>
      </c>
      <c r="F102" s="4">
        <f ca="1">OFFSET(Wellington_Reference,67,6)</f>
        <v>0</v>
      </c>
      <c r="G102" s="4">
        <f ca="1">OFFSET(Wellington_Reference,68,6)</f>
        <v>0</v>
      </c>
      <c r="H102" s="4">
        <f ca="1">OFFSET(Wellington_Reference,69,6)</f>
        <v>0</v>
      </c>
      <c r="I102" s="1">
        <f ca="1">H102*('Updated Population'!I$92/'Updated Population'!H$92)</f>
        <v>0</v>
      </c>
      <c r="J102" s="1">
        <f ca="1">I102*('Updated Population'!J$92/'Updated Population'!I$92)</f>
        <v>0</v>
      </c>
      <c r="K102" s="1">
        <f ca="1">J102*('Updated Population'!K$92/'Updated Population'!J$92)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OFFSET(Nelson_Reference,1,6)</f>
        <v>27.267364876999999</v>
      </c>
      <c r="D104" s="4">
        <f ca="1">OFFSET(Nelson_Reference,2,6)</f>
        <v>28.824585110000001</v>
      </c>
      <c r="E104" s="4">
        <f ca="1">OFFSET(Nelson_Reference,3,6)</f>
        <v>28.939395995999998</v>
      </c>
      <c r="F104" s="4">
        <f ca="1">OFFSET(Nelson_Reference,4,6)</f>
        <v>28.389989558</v>
      </c>
      <c r="G104" s="4">
        <f ca="1">OFFSET(Nelson_Reference,5,6)</f>
        <v>27.225143998</v>
      </c>
      <c r="H104" s="4">
        <f ca="1">OFFSET(Nelson_Reference,6,6)</f>
        <v>25.899596658</v>
      </c>
      <c r="I104" s="1">
        <f ca="1">H104*('Updated Population'!I$103/'Updated Population'!H$103)</f>
        <v>25.860167471434398</v>
      </c>
      <c r="J104" s="1">
        <f ca="1">I104*('Updated Population'!J$103/'Updated Population'!I$103)</f>
        <v>25.739821431203605</v>
      </c>
      <c r="K104" s="1">
        <f ca="1">J104*('Updated Population'!K$103/'Updated Population'!J$103)</f>
        <v>25.566184624183393</v>
      </c>
    </row>
    <row r="105" spans="1:11" x14ac:dyDescent="0.2">
      <c r="A105" t="str">
        <f ca="1">OFFSET(Nelson_Reference,7,2)</f>
        <v>Cyclist</v>
      </c>
      <c r="B105" s="4">
        <f ca="1">OFFSET(Nelson_Reference,7,6)</f>
        <v>10.809874027999999</v>
      </c>
      <c r="C105" s="4">
        <f ca="1">OFFSET(Nelson_Reference,8,6)</f>
        <v>10.201374881</v>
      </c>
      <c r="D105" s="4">
        <f ca="1">OFFSET(Nelson_Reference,9,6)</f>
        <v>10.752784910999999</v>
      </c>
      <c r="E105" s="4">
        <f ca="1">OFFSET(Nelson_Reference,10,6)</f>
        <v>10.807355940000001</v>
      </c>
      <c r="F105" s="4">
        <f ca="1">OFFSET(Nelson_Reference,11,6)</f>
        <v>11.013018261999999</v>
      </c>
      <c r="G105" s="4">
        <f ca="1">OFFSET(Nelson_Reference,12,6)</f>
        <v>11.471214287</v>
      </c>
      <c r="H105" s="4">
        <f ca="1">OFFSET(Nelson_Reference,13,6)</f>
        <v>11.945241836999999</v>
      </c>
      <c r="I105" s="1">
        <f ca="1">H105*('Updated Population'!I$103/'Updated Population'!H$103)</f>
        <v>11.927056566581248</v>
      </c>
      <c r="J105" s="1">
        <f ca="1">I105*('Updated Population'!J$103/'Updated Population'!I$103)</f>
        <v>11.871551356455202</v>
      </c>
      <c r="K105" s="1">
        <f ca="1">J105*('Updated Population'!K$103/'Updated Population'!J$103)</f>
        <v>11.79146772893584</v>
      </c>
    </row>
    <row r="106" spans="1:11" x14ac:dyDescent="0.2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OFFSET(Nelson_Reference,15,6)</f>
        <v>943.80929891999995</v>
      </c>
      <c r="D106" s="4">
        <f ca="1">OFFSET(Nelson_Reference,16,6)</f>
        <v>949.45673813999997</v>
      </c>
      <c r="E106" s="4">
        <f ca="1">OFFSET(Nelson_Reference,17,6)</f>
        <v>912.24795867</v>
      </c>
      <c r="F106" s="4">
        <f ca="1">OFFSET(Nelson_Reference,18,6)</f>
        <v>875.24259414999995</v>
      </c>
      <c r="G106" s="4">
        <f ca="1">OFFSET(Nelson_Reference,19,6)</f>
        <v>836.67487157999994</v>
      </c>
      <c r="H106" s="4">
        <f ca="1">OFFSET(Nelson_Reference,20,6)</f>
        <v>799.67904281000006</v>
      </c>
      <c r="I106" s="1">
        <f ca="1">H106*('Updated Population'!I$103/'Updated Population'!H$103)</f>
        <v>798.46162253168779</v>
      </c>
      <c r="J106" s="1">
        <f ca="1">I106*('Updated Population'!J$103/'Updated Population'!I$103)</f>
        <v>794.74580380568432</v>
      </c>
      <c r="K106" s="1">
        <f ca="1">J106*('Updated Population'!K$103/'Updated Population'!J$103)</f>
        <v>789.38457299317201</v>
      </c>
    </row>
    <row r="107" spans="1:11" x14ac:dyDescent="0.2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OFFSET(Nelson_Reference,22,6)</f>
        <v>475.78726986999999</v>
      </c>
      <c r="D107" s="4">
        <f ca="1">OFFSET(Nelson_Reference,23,6)</f>
        <v>473.89340876</v>
      </c>
      <c r="E107" s="4">
        <f ca="1">OFFSET(Nelson_Reference,24,6)</f>
        <v>454.58810500999999</v>
      </c>
      <c r="F107" s="4">
        <f ca="1">OFFSET(Nelson_Reference,25,6)</f>
        <v>432.07649416999999</v>
      </c>
      <c r="G107" s="4">
        <f ca="1">OFFSET(Nelson_Reference,26,6)</f>
        <v>407.39648176999998</v>
      </c>
      <c r="H107" s="4">
        <f ca="1">OFFSET(Nelson_Reference,27,6)</f>
        <v>384.21931129000001</v>
      </c>
      <c r="I107" s="1">
        <f ca="1">H107*('Updated Population'!I$103/'Updated Population'!H$103)</f>
        <v>383.6343811419747</v>
      </c>
      <c r="J107" s="1">
        <f ca="1">I107*('Updated Population'!J$103/'Updated Population'!I$103)</f>
        <v>381.84905323495997</v>
      </c>
      <c r="K107" s="1">
        <f ca="1">J107*('Updated Population'!K$103/'Updated Population'!J$103)</f>
        <v>379.27315928229126</v>
      </c>
    </row>
    <row r="108" spans="1:11" x14ac:dyDescent="0.2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OFFSET(Nelson_Reference,29,6)</f>
        <v>2.8244837266</v>
      </c>
      <c r="D108" s="4">
        <f ca="1">OFFSET(Nelson_Reference,30,6)</f>
        <v>3.2189384516000001</v>
      </c>
      <c r="E108" s="4">
        <f ca="1">OFFSET(Nelson_Reference,31,6)</f>
        <v>3.3239040451999999</v>
      </c>
      <c r="F108" s="4">
        <f ca="1">OFFSET(Nelson_Reference,32,6)</f>
        <v>3.3646077651000001</v>
      </c>
      <c r="G108" s="4">
        <f ca="1">OFFSET(Nelson_Reference,33,6)</f>
        <v>3.2892556308000001</v>
      </c>
      <c r="H108" s="4">
        <f ca="1">OFFSET(Nelson_Reference,34,6)</f>
        <v>3.2015085033999999</v>
      </c>
      <c r="I108" s="1">
        <f ca="1">H108*('Updated Population'!I$103/'Updated Population'!H$103)</f>
        <v>3.1966345712790174</v>
      </c>
      <c r="J108" s="1">
        <f ca="1">I108*('Updated Population'!J$103/'Updated Population'!I$103)</f>
        <v>3.181758321419335</v>
      </c>
      <c r="K108" s="1">
        <f ca="1">J108*('Updated Population'!K$103/'Updated Population'!J$103)</f>
        <v>3.1602946777371956</v>
      </c>
    </row>
    <row r="109" spans="1:11" x14ac:dyDescent="0.2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OFFSET(Nelson_Reference,36,6)</f>
        <v>32.176324786000002</v>
      </c>
      <c r="D109" s="4">
        <f ca="1">OFFSET(Nelson_Reference,37,6)</f>
        <v>33.241356592000002</v>
      </c>
      <c r="E109" s="4">
        <f ca="1">OFFSET(Nelson_Reference,38,6)</f>
        <v>31.864533204000001</v>
      </c>
      <c r="F109" s="4">
        <f ca="1">OFFSET(Nelson_Reference,39,6)</f>
        <v>30.609254987</v>
      </c>
      <c r="G109" s="4">
        <f ca="1">OFFSET(Nelson_Reference,40,6)</f>
        <v>28.986591275999999</v>
      </c>
      <c r="H109" s="4">
        <f ca="1">OFFSET(Nelson_Reference,41,6)</f>
        <v>27.207559411999998</v>
      </c>
      <c r="I109" s="1">
        <f ca="1">H109*('Updated Population'!I$103/'Updated Population'!H$103)</f>
        <v>27.166139001087188</v>
      </c>
      <c r="J109" s="1">
        <f ca="1">I109*('Updated Population'!J$103/'Updated Population'!I$103)</f>
        <v>27.039715331915229</v>
      </c>
      <c r="K109" s="1">
        <f ca="1">J109*('Updated Population'!K$103/'Updated Population'!J$103)</f>
        <v>26.85730964407788</v>
      </c>
    </row>
    <row r="110" spans="1:11" x14ac:dyDescent="0.2">
      <c r="A110" t="str">
        <f ca="1">OFFSET(Nelson_Reference,42,2)</f>
        <v>Local Train</v>
      </c>
      <c r="B110" s="4">
        <f ca="1">OFFSET(Nelson_Reference,42,6)</f>
        <v>5.3733082988999996</v>
      </c>
      <c r="C110" s="4">
        <f ca="1">OFFSET(Nelson_Reference,43,6)</f>
        <v>4.2898341945</v>
      </c>
      <c r="D110" s="4">
        <f ca="1">OFFSET(Nelson_Reference,44,6)</f>
        <v>3.3816391121999998</v>
      </c>
      <c r="E110" s="4">
        <f ca="1">OFFSET(Nelson_Reference,45,6)</f>
        <v>2.1419365492</v>
      </c>
      <c r="F110" s="4">
        <f ca="1">OFFSET(Nelson_Reference,46,6)</f>
        <v>1.4338370993</v>
      </c>
      <c r="G110" s="4">
        <f ca="1">OFFSET(Nelson_Reference,47,6)</f>
        <v>1.0024765881</v>
      </c>
      <c r="H110" s="4">
        <f ca="1">OFFSET(Nelson_Reference,48,6)</f>
        <v>0.62524696800000001</v>
      </c>
      <c r="I110" s="1">
        <f ca="1">H110*('Updated Population'!I$103/'Updated Population'!H$103)</f>
        <v>0.62429510069193395</v>
      </c>
      <c r="J110" s="1">
        <f ca="1">I110*('Updated Population'!J$103/'Updated Population'!I$103)</f>
        <v>0.62138980460726045</v>
      </c>
      <c r="K110" s="1">
        <f ca="1">J110*('Updated Population'!K$103/'Updated Population'!J$103)</f>
        <v>0.61719800623463772</v>
      </c>
    </row>
    <row r="111" spans="1:11" x14ac:dyDescent="0.2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OFFSET(Nelson_Reference,50,6)</f>
        <v>16.577105019000001</v>
      </c>
      <c r="D111" s="4">
        <f ca="1">OFFSET(Nelson_Reference,51,6)</f>
        <v>15.5289862</v>
      </c>
      <c r="E111" s="4">
        <f ca="1">OFFSET(Nelson_Reference,52,6)</f>
        <v>14.856912842</v>
      </c>
      <c r="F111" s="4">
        <f ca="1">OFFSET(Nelson_Reference,53,6)</f>
        <v>13.906854659</v>
      </c>
      <c r="G111" s="4">
        <f ca="1">OFFSET(Nelson_Reference,54,6)</f>
        <v>13.988798430999999</v>
      </c>
      <c r="H111" s="4">
        <f ca="1">OFFSET(Nelson_Reference,55,6)</f>
        <v>14.156934825</v>
      </c>
      <c r="I111" s="1">
        <f ca="1">H111*('Updated Population'!I$103/'Updated Population'!H$103)</f>
        <v>14.13538250386609</v>
      </c>
      <c r="J111" s="1">
        <f ca="1">I111*('Updated Population'!J$103/'Updated Population'!I$103)</f>
        <v>14.069600357893254</v>
      </c>
      <c r="K111" s="1">
        <f ca="1">J111*('Updated Population'!K$103/'Updated Population'!J$103)</f>
        <v>13.974689035811064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OFFSET(Nelson_Reference,56,6)</f>
        <v>0</v>
      </c>
      <c r="C113" s="4">
        <f ca="1">OFFSET(Nelson_Reference,57,6)</f>
        <v>0</v>
      </c>
      <c r="D113" s="4">
        <f ca="1">OFFSET(Nelson_Reference,58,6)</f>
        <v>0</v>
      </c>
      <c r="E113" s="4">
        <f ca="1">OFFSET(Nelson_Reference,59,6)</f>
        <v>0</v>
      </c>
      <c r="F113" s="4">
        <f ca="1">OFFSET(Nelson_Reference,60,6)</f>
        <v>0</v>
      </c>
      <c r="G113" s="4">
        <f ca="1">OFFSET(Nelson_Reference,61,6)</f>
        <v>0</v>
      </c>
      <c r="H113" s="4">
        <f ca="1">OFFSET(Nelson_Reference,62,6)</f>
        <v>0</v>
      </c>
      <c r="I113" s="1">
        <f ca="1">H113*('Updated Population'!I$103/'Updated Population'!H$103)</f>
        <v>0</v>
      </c>
      <c r="J113" s="1">
        <f ca="1">I113*('Updated Population'!J$103/'Updated Population'!I$103)</f>
        <v>0</v>
      </c>
      <c r="K113" s="1">
        <f ca="1">J113*('Updated Population'!K$103/'Updated Population'!J$103)</f>
        <v>0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OFFSET(West_Coast_Reference,1,6)</f>
        <v>4.0149325678999999</v>
      </c>
      <c r="D115" s="4">
        <f ca="1">OFFSET(West_Coast_Reference,2,6)</f>
        <v>3.6549651945999999</v>
      </c>
      <c r="E115" s="4">
        <f ca="1">OFFSET(West_Coast_Reference,3,6)</f>
        <v>3.3151889529999998</v>
      </c>
      <c r="F115" s="4">
        <f ca="1">OFFSET(West_Coast_Reference,4,6)</f>
        <v>3.0389517774999999</v>
      </c>
      <c r="G115" s="4">
        <f ca="1">OFFSET(West_Coast_Reference,5,6)</f>
        <v>2.8294160401999999</v>
      </c>
      <c r="H115" s="4">
        <f ca="1">OFFSET(West_Coast_Reference,6,6)</f>
        <v>2.6887883109000001</v>
      </c>
      <c r="I115" s="1">
        <f ca="1">H115*('Updated Population'!I$114/'Updated Population'!H$114)</f>
        <v>2.6196396421720145</v>
      </c>
      <c r="J115" s="1">
        <f ca="1">I115*('Updated Population'!J$114/'Updated Population'!I$114)</f>
        <v>2.5441449850972897</v>
      </c>
      <c r="K115" s="1">
        <f ca="1">J115*('Updated Population'!K$114/'Updated Population'!J$114)</f>
        <v>2.4655160226611637</v>
      </c>
    </row>
    <row r="116" spans="1:11" x14ac:dyDescent="0.2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OFFSET(West_Coast_Reference,8,6)</f>
        <v>1.8228852137</v>
      </c>
      <c r="D116" s="4">
        <f ca="1">OFFSET(West_Coast_Reference,9,6)</f>
        <v>1.803283505</v>
      </c>
      <c r="E116" s="4">
        <f ca="1">OFFSET(West_Coast_Reference,10,6)</f>
        <v>1.6766130011</v>
      </c>
      <c r="F116" s="4">
        <f ca="1">OFFSET(West_Coast_Reference,11,6)</f>
        <v>1.5613640509</v>
      </c>
      <c r="G116" s="4">
        <f ca="1">OFFSET(West_Coast_Reference,12,6)</f>
        <v>1.5381831469</v>
      </c>
      <c r="H116" s="4">
        <f ca="1">OFFSET(West_Coast_Reference,13,6)</f>
        <v>1.5031197542000001</v>
      </c>
      <c r="I116" s="1">
        <f ca="1">H116*('Updated Population'!I$114/'Updated Population'!H$114)</f>
        <v>1.4644634086928761</v>
      </c>
      <c r="J116" s="1">
        <f ca="1">I116*('Updated Population'!J$114/'Updated Population'!I$114)</f>
        <v>1.4222594501567762</v>
      </c>
      <c r="K116" s="1">
        <f ca="1">J116*('Updated Population'!K$114/'Updated Population'!J$114)</f>
        <v>1.3783033134051887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OFFSET(West_Coast_Reference,15,6)</f>
        <v>209.51051222999999</v>
      </c>
      <c r="D117" s="4">
        <f ca="1">OFFSET(West_Coast_Reference,16,6)</f>
        <v>203.90634713</v>
      </c>
      <c r="E117" s="4">
        <f ca="1">OFFSET(West_Coast_Reference,17,6)</f>
        <v>194.45426176000001</v>
      </c>
      <c r="F117" s="4">
        <f ca="1">OFFSET(West_Coast_Reference,18,6)</f>
        <v>182.53431534000001</v>
      </c>
      <c r="G117" s="4">
        <f ca="1">OFFSET(West_Coast_Reference,19,6)</f>
        <v>175.9263808</v>
      </c>
      <c r="H117" s="4">
        <f ca="1">OFFSET(West_Coast_Reference,20,6)</f>
        <v>170.19698427</v>
      </c>
      <c r="I117" s="1">
        <f ca="1">H117*('Updated Population'!I$114/'Updated Population'!H$114)</f>
        <v>165.81995881355971</v>
      </c>
      <c r="J117" s="1">
        <f ca="1">I117*('Updated Population'!J$114/'Updated Population'!I$114)</f>
        <v>161.04124012063474</v>
      </c>
      <c r="K117" s="1">
        <f ca="1">J117*('Updated Population'!K$114/'Updated Population'!J$114)</f>
        <v>156.06412376355405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OFFSET(West_Coast_Reference,22,6)</f>
        <v>146.01621342999999</v>
      </c>
      <c r="D118" s="4">
        <f ca="1">OFFSET(West_Coast_Reference,23,6)</f>
        <v>141.67665869999999</v>
      </c>
      <c r="E118" s="4">
        <f ca="1">OFFSET(West_Coast_Reference,24,6)</f>
        <v>136.87583522</v>
      </c>
      <c r="F118" s="4">
        <f ca="1">OFFSET(West_Coast_Reference,25,6)</f>
        <v>127.14983904</v>
      </c>
      <c r="G118" s="4">
        <f ca="1">OFFSET(West_Coast_Reference,26,6)</f>
        <v>118.99072477</v>
      </c>
      <c r="H118" s="4">
        <f ca="1">OFFSET(West_Coast_Reference,27,6)</f>
        <v>111.90600069</v>
      </c>
      <c r="I118" s="1">
        <f ca="1">H118*('Updated Population'!I$114/'Updated Population'!H$114)</f>
        <v>109.02806829977908</v>
      </c>
      <c r="J118" s="1">
        <f ca="1">I118*('Updated Population'!J$114/'Updated Population'!I$114)</f>
        <v>105.88601910518568</v>
      </c>
      <c r="K118" s="1">
        <f ca="1">J118*('Updated Population'!K$114/'Updated Population'!J$114)</f>
        <v>102.61352171706447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OFFSET(West_Coast_Reference,29,6)</f>
        <v>1.8375639989000001</v>
      </c>
      <c r="D119" s="4">
        <f ca="1">OFFSET(West_Coast_Reference,30,6)</f>
        <v>2.0523080788999999</v>
      </c>
      <c r="E119" s="4">
        <f ca="1">OFFSET(West_Coast_Reference,31,6)</f>
        <v>2.1615845995999998</v>
      </c>
      <c r="F119" s="4">
        <f ca="1">OFFSET(West_Coast_Reference,32,6)</f>
        <v>2.0841076073</v>
      </c>
      <c r="G119" s="4">
        <f ca="1">OFFSET(West_Coast_Reference,33,6)</f>
        <v>2.0546308450000001</v>
      </c>
      <c r="H119" s="4">
        <f ca="1">OFFSET(West_Coast_Reference,34,6)</f>
        <v>1.9799005412999999</v>
      </c>
      <c r="I119" s="1">
        <f ca="1">H119*('Updated Population'!I$114/'Updated Population'!H$114)</f>
        <v>1.9289826292837555</v>
      </c>
      <c r="J119" s="1">
        <f ca="1">I119*('Updated Population'!J$114/'Updated Population'!I$114)</f>
        <v>1.87339182215269</v>
      </c>
      <c r="K119" s="1">
        <f ca="1">J119*('Updated Population'!K$114/'Updated Population'!J$114)</f>
        <v>1.8154930561330496</v>
      </c>
    </row>
    <row r="120" spans="1:11" x14ac:dyDescent="0.2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OFFSET(West_Coast_Reference,36,6)</f>
        <v>0.32418034159999998</v>
      </c>
      <c r="D120" s="4">
        <f ca="1">OFFSET(West_Coast_Reference,37,6)</f>
        <v>0.34368688479999998</v>
      </c>
      <c r="E120" s="4">
        <f ca="1">OFFSET(West_Coast_Reference,38,6)</f>
        <v>0.35691425030000001</v>
      </c>
      <c r="F120" s="4">
        <f ca="1">OFFSET(West_Coast_Reference,39,6)</f>
        <v>0.37989372160000001</v>
      </c>
      <c r="G120" s="4">
        <f ca="1">OFFSET(West_Coast_Reference,40,6)</f>
        <v>0.40618520139999997</v>
      </c>
      <c r="H120" s="4">
        <f ca="1">OFFSET(West_Coast_Reference,41,6)</f>
        <v>0.41535099730000002</v>
      </c>
      <c r="I120" s="1">
        <f ca="1">H120*('Updated Population'!I$114/'Updated Population'!H$114)</f>
        <v>0.40466924582045627</v>
      </c>
      <c r="J120" s="1">
        <f ca="1">I120*('Updated Population'!J$114/'Updated Population'!I$114)</f>
        <v>0.39300719679276147</v>
      </c>
      <c r="K120" s="1">
        <f ca="1">J120*('Updated Population'!K$114/'Updated Population'!J$114)</f>
        <v>0.38086097545130615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OFFSET(West_Coast_Reference,43,6)</f>
        <v>5.2081869600999999</v>
      </c>
      <c r="D122" s="4">
        <f ca="1">OFFSET(West_Coast_Reference,44,6)</f>
        <v>4.7798439893999998</v>
      </c>
      <c r="E122" s="4">
        <f ca="1">OFFSET(West_Coast_Reference,45,6)</f>
        <v>4.3231623033000002</v>
      </c>
      <c r="F122" s="4">
        <f ca="1">OFFSET(West_Coast_Reference,46,6)</f>
        <v>3.9418109720999999</v>
      </c>
      <c r="G122" s="4">
        <f ca="1">OFFSET(West_Coast_Reference,47,6)</f>
        <v>3.6296800523999999</v>
      </c>
      <c r="H122" s="4">
        <f ca="1">OFFSET(West_Coast_Reference,48,6)</f>
        <v>3.4017483957999999</v>
      </c>
      <c r="I122" s="1">
        <f ca="1">H122*('Updated Population'!I$114/'Updated Population'!H$114)</f>
        <v>3.314264240962093</v>
      </c>
      <c r="J122" s="1">
        <f ca="1">I122*('Updated Population'!J$114/'Updated Population'!I$114)</f>
        <v>3.2187513932030014</v>
      </c>
      <c r="K122" s="1">
        <f ca="1">J122*('Updated Population'!K$114/'Updated Population'!J$114)</f>
        <v>3.119273146534717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OFFSET(West_Coast_Reference,50,6)</f>
        <v>0</v>
      </c>
      <c r="D124" s="4">
        <f ca="1">OFFSET(West_Coast_Reference,51,6)</f>
        <v>0</v>
      </c>
      <c r="E124" s="4">
        <f ca="1">OFFSET(West_Coast_Reference,52,6)</f>
        <v>0</v>
      </c>
      <c r="F124" s="4">
        <f ca="1">OFFSET(West_Coast_Reference,53,6)</f>
        <v>0</v>
      </c>
      <c r="G124" s="4">
        <f ca="1">OFFSET(West_Coast_Reference,54,6)</f>
        <v>0</v>
      </c>
      <c r="H124" s="4">
        <f ca="1">OFFSET(West_Coast_Reference,55,6)</f>
        <v>0</v>
      </c>
      <c r="I124" s="1">
        <f ca="1">H124*('Updated Population'!I$114/'Updated Population'!H$114)</f>
        <v>0</v>
      </c>
      <c r="J124" s="1">
        <f ca="1">I124*('Updated Population'!J$114/'Updated Population'!I$114)</f>
        <v>0</v>
      </c>
      <c r="K124" s="1">
        <f ca="1">J124*('Updated Population'!K$114/'Updated Population'!J$114)</f>
        <v>0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OFFSET(Canterbury_Reference,1,6)</f>
        <v>110.05648687</v>
      </c>
      <c r="D126" s="4">
        <f ca="1">OFFSET(Canterbury_Reference,2,6)</f>
        <v>113.08323128000001</v>
      </c>
      <c r="E126" s="4">
        <f ca="1">OFFSET(Canterbury_Reference,3,6)</f>
        <v>110.17217775</v>
      </c>
      <c r="F126" s="4">
        <f ca="1">OFFSET(Canterbury_Reference,4,6)</f>
        <v>106.82388709999999</v>
      </c>
      <c r="G126" s="4">
        <f ca="1">OFFSET(Canterbury_Reference,5,6)</f>
        <v>103.59219019</v>
      </c>
      <c r="H126" s="4">
        <f ca="1">OFFSET(Canterbury_Reference,6,6)</f>
        <v>100.64863819</v>
      </c>
      <c r="I126" s="1">
        <f ca="1">H126*('Updated Population'!I$125/'Updated Population'!H$125)</f>
        <v>103.19498108163275</v>
      </c>
      <c r="J126" s="1">
        <f ca="1">I126*('Updated Population'!J$125/'Updated Population'!I$125)</f>
        <v>105.46894682052007</v>
      </c>
      <c r="K126" s="1">
        <f ca="1">J126*('Updated Population'!K$125/'Updated Population'!J$125)</f>
        <v>107.56136664862575</v>
      </c>
    </row>
    <row r="127" spans="1:11" x14ac:dyDescent="0.2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OFFSET(Canterbury_Reference,8,6)</f>
        <v>99.408176800000007</v>
      </c>
      <c r="D127" s="4">
        <f ca="1">OFFSET(Canterbury_Reference,9,6)</f>
        <v>105.2709521</v>
      </c>
      <c r="E127" s="4">
        <f ca="1">OFFSET(Canterbury_Reference,10,6)</f>
        <v>103.93124584</v>
      </c>
      <c r="F127" s="4">
        <f ca="1">OFFSET(Canterbury_Reference,11,6)</f>
        <v>104.47151967000001</v>
      </c>
      <c r="G127" s="4">
        <f ca="1">OFFSET(Canterbury_Reference,12,6)</f>
        <v>106.38724944000001</v>
      </c>
      <c r="H127" s="4">
        <f ca="1">OFFSET(Canterbury_Reference,13,6)</f>
        <v>108.54372474</v>
      </c>
      <c r="I127" s="1">
        <f ca="1">H127*('Updated Population'!I$125/'Updated Population'!H$125)</f>
        <v>111.28980801438355</v>
      </c>
      <c r="J127" s="1">
        <f ca="1">I127*('Updated Population'!J$125/'Updated Population'!I$125)</f>
        <v>113.74214831097089</v>
      </c>
      <c r="K127" s="1">
        <f ca="1">J127*('Updated Population'!K$125/'Updated Population'!J$125)</f>
        <v>115.99870186148864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OFFSET(Canterbury_Reference,15,6)</f>
        <v>3905.0524329</v>
      </c>
      <c r="D128" s="4">
        <f ca="1">OFFSET(Canterbury_Reference,16,6)</f>
        <v>4221.1438320999996</v>
      </c>
      <c r="E128" s="4">
        <f ca="1">OFFSET(Canterbury_Reference,17,6)</f>
        <v>4353.0056600999997</v>
      </c>
      <c r="F128" s="4">
        <f ca="1">OFFSET(Canterbury_Reference,18,6)</f>
        <v>4461.4679281999997</v>
      </c>
      <c r="G128" s="4">
        <f ca="1">OFFSET(Canterbury_Reference,19,6)</f>
        <v>4503.0493705999997</v>
      </c>
      <c r="H128" s="4">
        <f ca="1">OFFSET(Canterbury_Reference,20,6)</f>
        <v>4526.2140484000001</v>
      </c>
      <c r="I128" s="1">
        <f ca="1">H128*('Updated Population'!I$125/'Updated Population'!H$125)</f>
        <v>4640.7242213682093</v>
      </c>
      <c r="J128" s="1">
        <f ca="1">I128*('Updated Population'!J$125/'Updated Population'!I$125)</f>
        <v>4742.9854725686719</v>
      </c>
      <c r="K128" s="1">
        <f ca="1">J128*('Updated Population'!K$125/'Updated Population'!J$125)</f>
        <v>4837.0825233727192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OFFSET(Canterbury_Reference,22,6)</f>
        <v>1993.6807713000001</v>
      </c>
      <c r="D129" s="4">
        <f ca="1">OFFSET(Canterbury_Reference,23,6)</f>
        <v>2099.7971361</v>
      </c>
      <c r="E129" s="4">
        <f ca="1">OFFSET(Canterbury_Reference,24,6)</f>
        <v>2137.2546604999998</v>
      </c>
      <c r="F129" s="4">
        <f ca="1">OFFSET(Canterbury_Reference,25,6)</f>
        <v>2166.5518299999999</v>
      </c>
      <c r="G129" s="4">
        <f ca="1">OFFSET(Canterbury_Reference,26,6)</f>
        <v>2184.4785963999998</v>
      </c>
      <c r="H129" s="4">
        <f ca="1">OFFSET(Canterbury_Reference,27,6)</f>
        <v>2197.0892620999998</v>
      </c>
      <c r="I129" s="1">
        <f ca="1">H129*('Updated Population'!I$125/'Updated Population'!H$125)</f>
        <v>2252.6741435791696</v>
      </c>
      <c r="J129" s="1">
        <f ca="1">I129*('Updated Population'!J$125/'Updated Population'!I$125)</f>
        <v>2302.3132226282196</v>
      </c>
      <c r="K129" s="1">
        <f ca="1">J129*('Updated Population'!K$125/'Updated Population'!J$125)</f>
        <v>2347.9892816272263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OFFSET(Canterbury_Reference,29,6)</f>
        <v>17.686717584</v>
      </c>
      <c r="D130" s="4">
        <f ca="1">OFFSET(Canterbury_Reference,30,6)</f>
        <v>19.562265774</v>
      </c>
      <c r="E130" s="4">
        <f ca="1">OFFSET(Canterbury_Reference,31,6)</f>
        <v>20.028635220999998</v>
      </c>
      <c r="F130" s="4">
        <f ca="1">OFFSET(Canterbury_Reference,32,6)</f>
        <v>20.549621682000001</v>
      </c>
      <c r="G130" s="4">
        <f ca="1">OFFSET(Canterbury_Reference,33,6)</f>
        <v>20.720961896999999</v>
      </c>
      <c r="H130" s="4">
        <f ca="1">OFFSET(Canterbury_Reference,34,6)</f>
        <v>20.820177726000001</v>
      </c>
      <c r="I130" s="1">
        <f ca="1">H130*('Updated Population'!I$125/'Updated Population'!H$125)</f>
        <v>21.34691422744228</v>
      </c>
      <c r="J130" s="1">
        <f ca="1">I130*('Updated Population'!J$125/'Updated Population'!I$125)</f>
        <v>21.817306789903924</v>
      </c>
      <c r="K130" s="1">
        <f ca="1">J130*('Updated Population'!K$125/'Updated Population'!J$125)</f>
        <v>22.250144764485629</v>
      </c>
    </row>
    <row r="131" spans="1:11" x14ac:dyDescent="0.2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OFFSET(Canterbury_Reference,36,6)</f>
        <v>11.788353618</v>
      </c>
      <c r="D131" s="4">
        <f ca="1">OFFSET(Canterbury_Reference,37,6)</f>
        <v>12.124451517000001</v>
      </c>
      <c r="E131" s="4">
        <f ca="1">OFFSET(Canterbury_Reference,38,6)</f>
        <v>11.861540332000001</v>
      </c>
      <c r="F131" s="4">
        <f ca="1">OFFSET(Canterbury_Reference,39,6)</f>
        <v>11.879171394</v>
      </c>
      <c r="G131" s="4">
        <f ca="1">OFFSET(Canterbury_Reference,40,6)</f>
        <v>12.117450781000001</v>
      </c>
      <c r="H131" s="4">
        <f ca="1">OFFSET(Canterbury_Reference,41,6)</f>
        <v>12.231241571</v>
      </c>
      <c r="I131" s="1">
        <f ca="1">H131*('Updated Population'!I$125/'Updated Population'!H$125)</f>
        <v>12.540683761080752</v>
      </c>
      <c r="J131" s="1">
        <f ca="1">I131*('Updated Population'!J$125/'Updated Population'!I$125)</f>
        <v>12.817025545497183</v>
      </c>
      <c r="K131" s="1">
        <f ca="1">J131*('Updated Population'!K$125/'Updated Population'!J$125)</f>
        <v>13.071305114955416</v>
      </c>
    </row>
    <row r="132" spans="1:11" x14ac:dyDescent="0.2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H132*('Updated Population'!I$125/'Updated Population'!H$125)</f>
        <v>0</v>
      </c>
      <c r="J132" s="1">
        <f ca="1">I132*('Updated Population'!J$125/'Updated Population'!I$125)</f>
        <v>0</v>
      </c>
      <c r="K132" s="1">
        <f ca="1">J132*('Updated Population'!K$125/'Updated Population'!J$125)</f>
        <v>0</v>
      </c>
    </row>
    <row r="133" spans="1:11" x14ac:dyDescent="0.2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161.08250000999999</v>
      </c>
      <c r="D133" s="4">
        <f ca="1">OFFSET(Canterbury_Reference,51,6)</f>
        <v>157.95421587999999</v>
      </c>
      <c r="E133" s="4">
        <f ca="1">OFFSET(Canterbury_Reference,52,6)</f>
        <v>149.70069903999999</v>
      </c>
      <c r="F133" s="4">
        <f ca="1">OFFSET(Canterbury_Reference,53,6)</f>
        <v>140.45897252</v>
      </c>
      <c r="G133" s="4">
        <f ca="1">OFFSET(Canterbury_Reference,54,6)</f>
        <v>133.06017739000001</v>
      </c>
      <c r="H133" s="4">
        <f ca="1">OFFSET(Canterbury_Reference,55,6)</f>
        <v>126.5397564</v>
      </c>
      <c r="I133" s="1">
        <f ca="1">H133*('Updated Population'!I$125/'Updated Population'!H$125)</f>
        <v>129.74112717870659</v>
      </c>
      <c r="J133" s="1">
        <f ca="1">I133*('Updated Population'!J$125/'Updated Population'!I$125)</f>
        <v>132.60005379545376</v>
      </c>
      <c r="K133" s="1">
        <f ca="1">J133*('Updated Population'!K$125/'Updated Population'!J$125)</f>
        <v>135.23073315780334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OFFSET(Canterbury_Reference,57,6)</f>
        <v>0</v>
      </c>
      <c r="D135" s="4">
        <f ca="1">OFFSET(Canterbury_Reference,58,6)</f>
        <v>0</v>
      </c>
      <c r="E135" s="4">
        <f ca="1">OFFSET(Canterbury_Reference,59,6)</f>
        <v>0</v>
      </c>
      <c r="F135" s="4">
        <f ca="1">OFFSET(Canterbury_Reference,60,6)</f>
        <v>0</v>
      </c>
      <c r="G135" s="4">
        <f ca="1">OFFSET(Canterbury_Reference,61,6)</f>
        <v>0</v>
      </c>
      <c r="H135" s="4">
        <f ca="1">OFFSET(Canterbury_Reference,62,6)</f>
        <v>0</v>
      </c>
      <c r="I135" s="1">
        <f ca="1">H135*('Updated Population'!I$125/'Updated Population'!H$125)</f>
        <v>0</v>
      </c>
      <c r="J135" s="1">
        <f ca="1">I135*('Updated Population'!J$125/'Updated Population'!I$125)</f>
        <v>0</v>
      </c>
      <c r="K135" s="1">
        <f ca="1">J135*('Updated Population'!K$125/'Updated Population'!J$125)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OFFSET(Otago_Reference,0,6)</f>
        <v>45.829100335</v>
      </c>
      <c r="C137" s="4">
        <f ca="1">OFFSET(Otago_Reference,1,6)</f>
        <v>42.279196642999999</v>
      </c>
      <c r="D137" s="4">
        <f ca="1">OFFSET(Otago_Reference,2,6)</f>
        <v>42.279293553000002</v>
      </c>
      <c r="E137" s="4">
        <f ca="1">OFFSET(Otago_Reference,3,6)</f>
        <v>40.345203703000003</v>
      </c>
      <c r="F137" s="4">
        <f ca="1">OFFSET(Otago_Reference,4,6)</f>
        <v>38.686542922999998</v>
      </c>
      <c r="G137" s="4">
        <f ca="1">OFFSET(Otago_Reference,5,6)</f>
        <v>37.143858848999997</v>
      </c>
      <c r="H137" s="4">
        <f ca="1">OFFSET(Otago_Reference,6,6)</f>
        <v>35.864552308</v>
      </c>
      <c r="I137" s="1">
        <f ca="1">H137*('Updated Population'!I$136/'Updated Population'!H$136)</f>
        <v>36.22243184945264</v>
      </c>
      <c r="J137" s="1">
        <f ca="1">I137*('Updated Population'!J$136/'Updated Population'!I$136)</f>
        <v>36.46742974116664</v>
      </c>
      <c r="K137" s="1">
        <f ca="1">J137*('Updated Population'!K$136/'Updated Population'!J$136)</f>
        <v>36.63518378746037</v>
      </c>
    </row>
    <row r="138" spans="1:11" x14ac:dyDescent="0.2">
      <c r="A138" t="str">
        <f ca="1">OFFSET(Otago_Reference,7,2)</f>
        <v>Cyclist</v>
      </c>
      <c r="B138" s="4">
        <f ca="1">OFFSET(Otago_Reference,7,6)</f>
        <v>16.325352069000001</v>
      </c>
      <c r="C138" s="4">
        <f ca="1">OFFSET(Otago_Reference,8,6)</f>
        <v>16.636352073000001</v>
      </c>
      <c r="D138" s="4">
        <f ca="1">OFFSET(Otago_Reference,9,6)</f>
        <v>18.061923226000001</v>
      </c>
      <c r="E138" s="4">
        <f ca="1">OFFSET(Otago_Reference,10,6)</f>
        <v>17.909257646</v>
      </c>
      <c r="F138" s="4">
        <f ca="1">OFFSET(Otago_Reference,11,6)</f>
        <v>17.616765740999998</v>
      </c>
      <c r="G138" s="4">
        <f ca="1">OFFSET(Otago_Reference,12,6)</f>
        <v>17.268311416</v>
      </c>
      <c r="H138" s="4">
        <f ca="1">OFFSET(Otago_Reference,13,6)</f>
        <v>16.811140774999998</v>
      </c>
      <c r="I138" s="1">
        <f ca="1">H138*('Updated Population'!I$136/'Updated Population'!H$136)</f>
        <v>16.978893136724327</v>
      </c>
      <c r="J138" s="1">
        <f ca="1">I138*('Updated Population'!J$136/'Updated Population'!I$136)</f>
        <v>17.09373338376858</v>
      </c>
      <c r="K138" s="1">
        <f ca="1">J138*('Updated Population'!K$136/'Updated Population'!J$136)</f>
        <v>17.172366371114993</v>
      </c>
    </row>
    <row r="139" spans="1:11" x14ac:dyDescent="0.2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OFFSET(Otago_Reference,15,6)</f>
        <v>1173.5840929000001</v>
      </c>
      <c r="D139" s="4">
        <f ca="1">OFFSET(Otago_Reference,16,6)</f>
        <v>1254.6524787999999</v>
      </c>
      <c r="E139" s="4">
        <f ca="1">OFFSET(Otago_Reference,17,6)</f>
        <v>1287.5188254</v>
      </c>
      <c r="F139" s="4">
        <f ca="1">OFFSET(Otago_Reference,18,6)</f>
        <v>1316.0629550000001</v>
      </c>
      <c r="G139" s="4">
        <f ca="1">OFFSET(Otago_Reference,19,6)</f>
        <v>1335.7204564000001</v>
      </c>
      <c r="H139" s="4">
        <f ca="1">OFFSET(Otago_Reference,20,6)</f>
        <v>1353.7958186000001</v>
      </c>
      <c r="I139" s="1">
        <f ca="1">H139*('Updated Population'!I$136/'Updated Population'!H$136)</f>
        <v>1367.3048629237737</v>
      </c>
      <c r="J139" s="1">
        <f ca="1">I139*('Updated Population'!J$136/'Updated Population'!I$136)</f>
        <v>1376.5529114849219</v>
      </c>
      <c r="K139" s="1">
        <f ca="1">J139*('Updated Population'!K$136/'Updated Population'!J$136)</f>
        <v>1382.8852009409657</v>
      </c>
    </row>
    <row r="140" spans="1:11" x14ac:dyDescent="0.2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OFFSET(Otago_Reference,22,6)</f>
        <v>802.45047210999996</v>
      </c>
      <c r="D140" s="4">
        <f ca="1">OFFSET(Otago_Reference,23,6)</f>
        <v>832.79782103000002</v>
      </c>
      <c r="E140" s="4">
        <f ca="1">OFFSET(Otago_Reference,24,6)</f>
        <v>824.61281871999995</v>
      </c>
      <c r="F140" s="4">
        <f ca="1">OFFSET(Otago_Reference,25,6)</f>
        <v>811.53279221000003</v>
      </c>
      <c r="G140" s="4">
        <f ca="1">OFFSET(Otago_Reference,26,6)</f>
        <v>800.01019231999999</v>
      </c>
      <c r="H140" s="4">
        <f ca="1">OFFSET(Otago_Reference,27,6)</f>
        <v>787.86059286</v>
      </c>
      <c r="I140" s="1">
        <f ca="1">H140*('Updated Population'!I$136/'Updated Population'!H$136)</f>
        <v>795.72237195820026</v>
      </c>
      <c r="J140" s="1">
        <f ca="1">I140*('Updated Population'!J$136/'Updated Population'!I$136)</f>
        <v>801.10440440510138</v>
      </c>
      <c r="K140" s="1">
        <f ca="1">J140*('Updated Population'!K$136/'Updated Population'!J$136)</f>
        <v>804.78956966891428</v>
      </c>
    </row>
    <row r="141" spans="1:11" x14ac:dyDescent="0.2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OFFSET(Otago_Reference,29,6)</f>
        <v>6.6800776725000004</v>
      </c>
      <c r="D141" s="4">
        <f ca="1">OFFSET(Otago_Reference,30,6)</f>
        <v>6.8703789972999996</v>
      </c>
      <c r="E141" s="4">
        <f ca="1">OFFSET(Otago_Reference,31,6)</f>
        <v>6.4443649616999998</v>
      </c>
      <c r="F141" s="4">
        <f ca="1">OFFSET(Otago_Reference,32,6)</f>
        <v>6.0025823186</v>
      </c>
      <c r="G141" s="4">
        <f ca="1">OFFSET(Otago_Reference,33,6)</f>
        <v>5.2623027121000003</v>
      </c>
      <c r="H141" s="4">
        <f ca="1">OFFSET(Otago_Reference,34,6)</f>
        <v>4.4791140186999998</v>
      </c>
      <c r="I141" s="1">
        <f ca="1">H141*('Updated Population'!I$136/'Updated Population'!H$136)</f>
        <v>4.5238094956534063</v>
      </c>
      <c r="J141" s="1">
        <f ca="1">I141*('Updated Population'!J$136/'Updated Population'!I$136)</f>
        <v>4.5544072145905901</v>
      </c>
      <c r="K141" s="1">
        <f ca="1">J141*('Updated Population'!K$136/'Updated Population'!J$136)</f>
        <v>4.5753579710365386</v>
      </c>
    </row>
    <row r="142" spans="1:11" x14ac:dyDescent="0.2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OFFSET(Otago_Reference,36,6)</f>
        <v>18.927533515</v>
      </c>
      <c r="D142" s="4">
        <f ca="1">OFFSET(Otago_Reference,37,6)</f>
        <v>20.555668219000001</v>
      </c>
      <c r="E142" s="4">
        <f ca="1">OFFSET(Otago_Reference,38,6)</f>
        <v>21.055172260999999</v>
      </c>
      <c r="F142" s="4">
        <f ca="1">OFFSET(Otago_Reference,39,6)</f>
        <v>20.81068441</v>
      </c>
      <c r="G142" s="4">
        <f ca="1">OFFSET(Otago_Reference,40,6)</f>
        <v>19.810193035000001</v>
      </c>
      <c r="H142" s="4">
        <f ca="1">OFFSET(Otago_Reference,41,6)</f>
        <v>18.664028598000002</v>
      </c>
      <c r="I142" s="1">
        <f ca="1">H142*('Updated Population'!I$136/'Updated Population'!H$136)</f>
        <v>18.850270264672677</v>
      </c>
      <c r="J142" s="1">
        <f ca="1">I142*('Updated Population'!J$136/'Updated Population'!I$136)</f>
        <v>18.977767957049554</v>
      </c>
      <c r="K142" s="1">
        <f ca="1">J142*('Updated Population'!K$136/'Updated Population'!J$136)</f>
        <v>19.065067703344113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OFFSET(Otago_Reference,43,6)</f>
        <v>24.968782674</v>
      </c>
      <c r="D144" s="4">
        <f ca="1">OFFSET(Otago_Reference,44,6)</f>
        <v>24.954080253000001</v>
      </c>
      <c r="E144" s="4">
        <f ca="1">OFFSET(Otago_Reference,45,6)</f>
        <v>23.655818579000002</v>
      </c>
      <c r="F144" s="4">
        <f ca="1">OFFSET(Otago_Reference,46,6)</f>
        <v>22.366925536</v>
      </c>
      <c r="G144" s="4">
        <f ca="1">OFFSET(Otago_Reference,47,6)</f>
        <v>20.589366211000002</v>
      </c>
      <c r="H144" s="4">
        <f ca="1">OFFSET(Otago_Reference,48,6)</f>
        <v>19.088198269999999</v>
      </c>
      <c r="I144" s="1">
        <f ca="1">H144*('Updated Population'!I$136/'Updated Population'!H$136)</f>
        <v>19.278672574136255</v>
      </c>
      <c r="J144" s="1">
        <f ca="1">I144*('Updated Population'!J$136/'Updated Population'!I$136)</f>
        <v>19.409067853926924</v>
      </c>
      <c r="K144" s="1">
        <f ca="1">J144*('Updated Population'!K$136/'Updated Population'!J$136)</f>
        <v>19.498351625511468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OFFSET(Otago_Reference,49,6)</f>
        <v>0</v>
      </c>
      <c r="C146" s="4">
        <f ca="1">OFFSET(Otago_Reference,50,6)</f>
        <v>0</v>
      </c>
      <c r="D146" s="4">
        <f ca="1">OFFSET(Otago_Reference,51,6)</f>
        <v>0</v>
      </c>
      <c r="E146" s="4">
        <f ca="1">OFFSET(Otago_Reference,52,6)</f>
        <v>0</v>
      </c>
      <c r="F146" s="4">
        <f ca="1">OFFSET(Otago_Reference,53,6)</f>
        <v>0</v>
      </c>
      <c r="G146" s="4">
        <f ca="1">OFFSET(Otago_Reference,54,6)</f>
        <v>0</v>
      </c>
      <c r="H146" s="4">
        <f ca="1">OFFSET(Otago_Reference,55,6)</f>
        <v>0</v>
      </c>
      <c r="I146" s="1">
        <f ca="1">H146*('Updated Population'!I$136/'Updated Population'!H$136)</f>
        <v>0</v>
      </c>
      <c r="J146" s="1">
        <f ca="1">I146*('Updated Population'!J$136/'Updated Population'!I$136)</f>
        <v>0</v>
      </c>
      <c r="K146" s="1">
        <f ca="1">J146*('Updated Population'!K$136/'Updated Population'!J$136)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OFFSET(Southland_Reference,1,6)</f>
        <v>8.4491983253999994</v>
      </c>
      <c r="D148" s="4">
        <f ca="1">OFFSET(Southland_Reference,2,6)</f>
        <v>8.7026734271000006</v>
      </c>
      <c r="E148" s="4">
        <f ca="1">OFFSET(Southland_Reference,3,6)</f>
        <v>8.5572212483999994</v>
      </c>
      <c r="F148" s="4">
        <f ca="1">OFFSET(Southland_Reference,4,6)</f>
        <v>8.2540177264000008</v>
      </c>
      <c r="G148" s="4">
        <f ca="1">OFFSET(Southland_Reference,5,6)</f>
        <v>7.8912537273999996</v>
      </c>
      <c r="H148" s="4">
        <f ca="1">OFFSET(Southland_Reference,6,6)</f>
        <v>7.4664823552000001</v>
      </c>
      <c r="I148" s="1">
        <f ca="1">H148*('Updated Population'!I$147/'Updated Population'!H$147)</f>
        <v>7.3664643458857624</v>
      </c>
      <c r="J148" s="1">
        <f ca="1">I148*('Updated Population'!J$147/'Updated Population'!I$147)</f>
        <v>7.2446515222461656</v>
      </c>
      <c r="K148" s="1">
        <f ca="1">J148*('Updated Population'!K$147/'Updated Population'!J$147)</f>
        <v>7.1095412422137052</v>
      </c>
    </row>
    <row r="149" spans="1:11" x14ac:dyDescent="0.2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OFFSET(Southland_Reference,8,6)</f>
        <v>7.6461719641999997</v>
      </c>
      <c r="D149" s="4">
        <f ca="1">OFFSET(Southland_Reference,9,6)</f>
        <v>8.1529892268000008</v>
      </c>
      <c r="E149" s="4">
        <f ca="1">OFFSET(Southland_Reference,10,6)</f>
        <v>7.2834445582000003</v>
      </c>
      <c r="F149" s="4">
        <f ca="1">OFFSET(Southland_Reference,11,6)</f>
        <v>6.6417868208000002</v>
      </c>
      <c r="G149" s="4">
        <f ca="1">OFFSET(Southland_Reference,12,6)</f>
        <v>6.0825345807</v>
      </c>
      <c r="H149" s="4">
        <f ca="1">OFFSET(Southland_Reference,13,6)</f>
        <v>5.5625070072999998</v>
      </c>
      <c r="I149" s="1">
        <f ca="1">H149*('Updated Population'!I$147/'Updated Population'!H$147)</f>
        <v>5.4879938897167007</v>
      </c>
      <c r="J149" s="1">
        <f ca="1">I149*('Updated Population'!J$147/'Updated Population'!I$147)</f>
        <v>5.3972437006933038</v>
      </c>
      <c r="K149" s="1">
        <f ca="1">J149*('Updated Population'!K$147/'Updated Population'!J$147)</f>
        <v>5.2965869464567641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OFFSET(Southland_Reference,15,6)</f>
        <v>666.29178116000003</v>
      </c>
      <c r="D150" s="4">
        <f ca="1">OFFSET(Southland_Reference,16,6)</f>
        <v>722.62977076000004</v>
      </c>
      <c r="E150" s="4">
        <f ca="1">OFFSET(Southland_Reference,17,6)</f>
        <v>727.88076692000004</v>
      </c>
      <c r="F150" s="4">
        <f ca="1">OFFSET(Southland_Reference,18,6)</f>
        <v>728.78228586</v>
      </c>
      <c r="G150" s="4">
        <f ca="1">OFFSET(Southland_Reference,19,6)</f>
        <v>719.11388284999998</v>
      </c>
      <c r="H150" s="4">
        <f ca="1">OFFSET(Southland_Reference,20,6)</f>
        <v>706.49431984</v>
      </c>
      <c r="I150" s="1">
        <f ca="1">H150*('Updated Population'!I$147/'Updated Population'!H$147)</f>
        <v>697.03040469219263</v>
      </c>
      <c r="J150" s="1">
        <f ca="1">I150*('Updated Population'!J$147/'Updated Population'!I$147)</f>
        <v>685.50421821093607</v>
      </c>
      <c r="K150" s="1">
        <f ca="1">J150*('Updated Population'!K$147/'Updated Population'!J$147)</f>
        <v>672.71979833904743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OFFSET(Southland_Reference,22,6)</f>
        <v>367.84409948000001</v>
      </c>
      <c r="D151" s="4">
        <f ca="1">OFFSET(Southland_Reference,23,6)</f>
        <v>392.05091121999999</v>
      </c>
      <c r="E151" s="4">
        <f ca="1">OFFSET(Southland_Reference,24,6)</f>
        <v>389.08664056999999</v>
      </c>
      <c r="F151" s="4">
        <f ca="1">OFFSET(Southland_Reference,25,6)</f>
        <v>378.11002635</v>
      </c>
      <c r="G151" s="4">
        <f ca="1">OFFSET(Southland_Reference,26,6)</f>
        <v>359.64006092</v>
      </c>
      <c r="H151" s="4">
        <f ca="1">OFFSET(Southland_Reference,27,6)</f>
        <v>338.69414740000002</v>
      </c>
      <c r="I151" s="1">
        <f ca="1">H151*('Updated Population'!I$147/'Updated Population'!H$147)</f>
        <v>334.15713615725082</v>
      </c>
      <c r="J151" s="1">
        <f ca="1">I151*('Updated Population'!J$147/'Updated Population'!I$147)</f>
        <v>328.63146978823221</v>
      </c>
      <c r="K151" s="1">
        <f ca="1">J151*('Updated Population'!K$147/'Updated Population'!J$147)</f>
        <v>322.50260495957571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OFFSET(Southland_Reference,29,6)</f>
        <v>1.375836783</v>
      </c>
      <c r="D152" s="4">
        <f ca="1">OFFSET(Southland_Reference,30,6)</f>
        <v>1.6434044005999999</v>
      </c>
      <c r="E152" s="4">
        <f ca="1">OFFSET(Southland_Reference,31,6)</f>
        <v>1.7651994439000001</v>
      </c>
      <c r="F152" s="4">
        <f ca="1">OFFSET(Southland_Reference,32,6)</f>
        <v>1.8438430937000001</v>
      </c>
      <c r="G152" s="4">
        <f ca="1">OFFSET(Southland_Reference,33,6)</f>
        <v>1.8685468395</v>
      </c>
      <c r="H152" s="4">
        <f ca="1">OFFSET(Southland_Reference,34,6)</f>
        <v>1.8718538313999999</v>
      </c>
      <c r="I152" s="1">
        <f ca="1">H152*('Updated Population'!I$147/'Updated Population'!H$147)</f>
        <v>1.8467792266480756</v>
      </c>
      <c r="J152" s="1">
        <f ca="1">I152*('Updated Population'!J$147/'Updated Population'!I$147)</f>
        <v>1.8162406423728941</v>
      </c>
      <c r="K152" s="1">
        <f ca="1">J152*('Updated Population'!K$147/'Updated Population'!J$147)</f>
        <v>1.7823683738388163</v>
      </c>
    </row>
    <row r="153" spans="1:11" x14ac:dyDescent="0.2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OFFSET(Southland_Reference,36,6)</f>
        <v>23.882127985</v>
      </c>
      <c r="D153" s="4">
        <f ca="1">OFFSET(Southland_Reference,37,6)</f>
        <v>30.359591551000001</v>
      </c>
      <c r="E153" s="4">
        <f ca="1">OFFSET(Southland_Reference,38,6)</f>
        <v>32.291606518000002</v>
      </c>
      <c r="F153" s="4">
        <f ca="1">OFFSET(Southland_Reference,39,6)</f>
        <v>32.572414488</v>
      </c>
      <c r="G153" s="4">
        <f ca="1">OFFSET(Southland_Reference,40,6)</f>
        <v>31.700759409</v>
      </c>
      <c r="H153" s="4">
        <f ca="1">OFFSET(Southland_Reference,41,6)</f>
        <v>30.354533956000001</v>
      </c>
      <c r="I153" s="1">
        <f ca="1">H153*('Updated Population'!I$147/'Updated Population'!H$147)</f>
        <v>29.947916767944083</v>
      </c>
      <c r="J153" s="1">
        <f ca="1">I153*('Updated Population'!J$147/'Updated Population'!I$147)</f>
        <v>29.452694075980013</v>
      </c>
      <c r="K153" s="1">
        <f ca="1">J153*('Updated Population'!K$147/'Updated Population'!J$147)</f>
        <v>28.903411376584931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OFFSET(Southland_Reference,43,6)</f>
        <v>28.717855183000001</v>
      </c>
      <c r="D155" s="4">
        <f ca="1">OFFSET(Southland_Reference,44,6)</f>
        <v>30.550754956999999</v>
      </c>
      <c r="E155" s="4">
        <f ca="1">OFFSET(Southland_Reference,45,6)</f>
        <v>30.785974365000001</v>
      </c>
      <c r="F155" s="4">
        <f ca="1">OFFSET(Southland_Reference,46,6)</f>
        <v>29.562617405000001</v>
      </c>
      <c r="G155" s="4">
        <f ca="1">OFFSET(Southland_Reference,47,6)</f>
        <v>27.612833348999999</v>
      </c>
      <c r="H155" s="4">
        <f ca="1">OFFSET(Southland_Reference,48,6)</f>
        <v>25.609573316999999</v>
      </c>
      <c r="I155" s="1">
        <f ca="1">H155*('Updated Population'!I$147/'Updated Population'!H$147)</f>
        <v>25.266517722584847</v>
      </c>
      <c r="J155" s="1">
        <f ca="1">I155*('Updated Population'!J$147/'Updated Population'!I$147)</f>
        <v>24.848707261173065</v>
      </c>
      <c r="K155" s="1">
        <f ca="1">J155*('Updated Population'!K$147/'Updated Population'!J$147)</f>
        <v>24.385287345640563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OFFSET(Southland_Reference,50,6)</f>
        <v>0</v>
      </c>
      <c r="D157" s="4">
        <f ca="1">OFFSET(Southland_Reference,51,6)</f>
        <v>0</v>
      </c>
      <c r="E157" s="4">
        <f ca="1">OFFSET(Southland_Reference,52,6)</f>
        <v>0</v>
      </c>
      <c r="F157" s="4">
        <f ca="1">OFFSET(Southland_Reference,53,6)</f>
        <v>0</v>
      </c>
      <c r="G157" s="4">
        <f ca="1">OFFSET(Southland_Reference,54,6)</f>
        <v>0</v>
      </c>
      <c r="H157" s="4">
        <f ca="1">OFFSET(Southland_Reference,55,6)</f>
        <v>0</v>
      </c>
      <c r="I157" s="1">
        <f ca="1">H157*('Updated Population'!I$147/'Updated Population'!H$147)</f>
        <v>0</v>
      </c>
      <c r="J157" s="1">
        <f ca="1">I157*('Updated Population'!J$147/'Updated Population'!I$147)</f>
        <v>0</v>
      </c>
      <c r="K157" s="1">
        <f ca="1">J157*('Updated Population'!K$147/'Updated Population'!J$147)</f>
        <v>0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807.42091028530001</v>
      </c>
      <c r="C159" s="4">
        <f t="shared" ref="C159:K168" ca="1" si="1">C5+C16+C27+C38+C49+C60+C71+C82+C93+C104+C115+C126+C137+C148</f>
        <v>844.47394001219982</v>
      </c>
      <c r="D159" s="4">
        <f t="shared" ca="1" si="1"/>
        <v>859.04200292819996</v>
      </c>
      <c r="E159" s="4">
        <f t="shared" ca="1" si="1"/>
        <v>866.04810606290016</v>
      </c>
      <c r="F159" s="4">
        <f t="shared" ca="1" si="1"/>
        <v>867.8472875763</v>
      </c>
      <c r="G159" s="4">
        <f t="shared" ca="1" si="1"/>
        <v>870.8025581636</v>
      </c>
      <c r="H159" s="4">
        <f t="shared" ca="1" si="1"/>
        <v>870.72740329500004</v>
      </c>
      <c r="I159" s="1">
        <f t="shared" ca="1" si="1"/>
        <v>900.293868053658</v>
      </c>
      <c r="J159" s="1">
        <f t="shared" ca="1" si="1"/>
        <v>935.77575468928649</v>
      </c>
      <c r="K159" s="1">
        <f t="shared" ca="1" si="1"/>
        <v>971.80839348597419</v>
      </c>
    </row>
    <row r="160" spans="1:11" x14ac:dyDescent="0.2">
      <c r="A160" t="str">
        <f t="shared" ca="1" si="0"/>
        <v>Cyclist</v>
      </c>
      <c r="B160" s="4">
        <f t="shared" ref="B160:H168" ca="1" si="2">B6+B17+B28+B39+B50+B61+B72+B83+B94+B105+B116+B127+B138+B149</f>
        <v>312.57850166600002</v>
      </c>
      <c r="C160" s="4">
        <f t="shared" ca="1" si="2"/>
        <v>330.28324492410002</v>
      </c>
      <c r="D160" s="4">
        <f t="shared" ca="1" si="2"/>
        <v>350.6799198466</v>
      </c>
      <c r="E160" s="4">
        <f t="shared" ca="1" si="2"/>
        <v>357.7320707248</v>
      </c>
      <c r="F160" s="4">
        <f t="shared" ca="1" si="2"/>
        <v>370.23035517889997</v>
      </c>
      <c r="G160" s="4">
        <f t="shared" ca="1" si="2"/>
        <v>389.00478764439998</v>
      </c>
      <c r="H160" s="4">
        <f t="shared" ca="1" si="2"/>
        <v>407.81240405840003</v>
      </c>
      <c r="I160" s="1">
        <f t="shared" ca="1" si="1"/>
        <v>418.82746351742355</v>
      </c>
      <c r="J160" s="1">
        <f t="shared" ca="1" si="1"/>
        <v>431.24384804417315</v>
      </c>
      <c r="K160" s="1">
        <f t="shared" ca="1" si="1"/>
        <v>443.55759640046142</v>
      </c>
    </row>
    <row r="161" spans="1:11" x14ac:dyDescent="0.2">
      <c r="A161" t="str">
        <f t="shared" ca="1" si="0"/>
        <v>Light Vehicle Driver</v>
      </c>
      <c r="B161" s="4">
        <f t="shared" ca="1" si="2"/>
        <v>30373.708042980001</v>
      </c>
      <c r="C161" s="4">
        <f t="shared" ca="1" si="2"/>
        <v>33114.762930910008</v>
      </c>
      <c r="D161" s="4">
        <f t="shared" ca="1" si="2"/>
        <v>34767.670442540002</v>
      </c>
      <c r="E161" s="4">
        <f t="shared" ca="1" si="2"/>
        <v>36694.923568770006</v>
      </c>
      <c r="F161" s="4">
        <f t="shared" ca="1" si="2"/>
        <v>38364.966939799997</v>
      </c>
      <c r="G161" s="4">
        <f t="shared" ca="1" si="2"/>
        <v>39678.803031589996</v>
      </c>
      <c r="H161" s="4">
        <f t="shared" ca="1" si="2"/>
        <v>40773.764440910003</v>
      </c>
      <c r="I161" s="1">
        <f t="shared" ca="1" si="1"/>
        <v>42191.255372336309</v>
      </c>
      <c r="J161" s="1">
        <f t="shared" ca="1" si="1"/>
        <v>43907.335537545448</v>
      </c>
      <c r="K161" s="1">
        <f t="shared" ca="1" si="1"/>
        <v>45655.394243532523</v>
      </c>
    </row>
    <row r="162" spans="1:11" x14ac:dyDescent="0.2">
      <c r="A162" t="str">
        <f t="shared" ca="1" si="0"/>
        <v>Light Vehicle Passenger</v>
      </c>
      <c r="B162" s="4">
        <f t="shared" ca="1" si="2"/>
        <v>17104.323927279998</v>
      </c>
      <c r="C162" s="4">
        <f t="shared" ca="1" si="2"/>
        <v>17820.446585249996</v>
      </c>
      <c r="D162" s="4">
        <f t="shared" ca="1" si="2"/>
        <v>18493.871753259999</v>
      </c>
      <c r="E162" s="4">
        <f t="shared" ca="1" si="2"/>
        <v>19241.933881910001</v>
      </c>
      <c r="F162" s="4">
        <f t="shared" ca="1" si="2"/>
        <v>19862.849467159998</v>
      </c>
      <c r="G162" s="4">
        <f t="shared" ca="1" si="2"/>
        <v>20401.125843479997</v>
      </c>
      <c r="H162" s="4">
        <f t="shared" ca="1" si="2"/>
        <v>20853.537789369999</v>
      </c>
      <c r="I162" s="1">
        <f t="shared" ca="1" si="1"/>
        <v>21582.842683623716</v>
      </c>
      <c r="J162" s="1">
        <f t="shared" ca="1" si="1"/>
        <v>22466.921380586777</v>
      </c>
      <c r="K162" s="1">
        <f t="shared" ca="1" si="1"/>
        <v>23367.896388521873</v>
      </c>
    </row>
    <row r="163" spans="1:11" x14ac:dyDescent="0.2">
      <c r="A163" t="str">
        <f t="shared" ca="1" si="0"/>
        <v>Taxi/Vehicle Share</v>
      </c>
      <c r="B163" s="4">
        <f t="shared" ca="1" si="2"/>
        <v>102.6492410403</v>
      </c>
      <c r="C163" s="4">
        <f t="shared" ca="1" si="2"/>
        <v>118.33016737440001</v>
      </c>
      <c r="D163" s="4">
        <f t="shared" ca="1" si="2"/>
        <v>135.00687969909998</v>
      </c>
      <c r="E163" s="4">
        <f t="shared" ca="1" si="2"/>
        <v>151.29925284979998</v>
      </c>
      <c r="F163" s="4">
        <f t="shared" ca="1" si="2"/>
        <v>165.65771223920001</v>
      </c>
      <c r="G163" s="4">
        <f t="shared" ca="1" si="2"/>
        <v>177.16982721269997</v>
      </c>
      <c r="H163" s="4">
        <f t="shared" ca="1" si="2"/>
        <v>187.32193783759996</v>
      </c>
      <c r="I163" s="1">
        <f t="shared" ca="1" si="1"/>
        <v>194.12681071008748</v>
      </c>
      <c r="J163" s="1">
        <f t="shared" ca="1" si="1"/>
        <v>202.40078405986614</v>
      </c>
      <c r="K163" s="1">
        <f t="shared" ca="1" si="1"/>
        <v>210.84854356604828</v>
      </c>
    </row>
    <row r="164" spans="1:11" x14ac:dyDescent="0.2">
      <c r="A164" t="str">
        <f t="shared" ca="1" si="0"/>
        <v>Motorcyclist</v>
      </c>
      <c r="B164" s="4">
        <f t="shared" ca="1" si="2"/>
        <v>249.6655534436</v>
      </c>
      <c r="C164" s="4">
        <f t="shared" ca="1" si="2"/>
        <v>268.7874470891</v>
      </c>
      <c r="D164" s="4">
        <f t="shared" ca="1" si="2"/>
        <v>282.16514690119999</v>
      </c>
      <c r="E164" s="4">
        <f t="shared" ca="1" si="2"/>
        <v>290.15729541049996</v>
      </c>
      <c r="F164" s="4">
        <f t="shared" ca="1" si="2"/>
        <v>292.3907385883</v>
      </c>
      <c r="G164" s="4">
        <f t="shared" ca="1" si="2"/>
        <v>288.40786912510004</v>
      </c>
      <c r="H164" s="4">
        <f t="shared" ca="1" si="2"/>
        <v>282.07343992010004</v>
      </c>
      <c r="I164" s="1">
        <f t="shared" ca="1" si="1"/>
        <v>290.44370192370974</v>
      </c>
      <c r="J164" s="1">
        <f t="shared" ca="1" si="1"/>
        <v>300.62080875938955</v>
      </c>
      <c r="K164" s="1">
        <f t="shared" ca="1" si="1"/>
        <v>310.94994825559172</v>
      </c>
    </row>
    <row r="165" spans="1:11" x14ac:dyDescent="0.2">
      <c r="A165" t="str">
        <f t="shared" ca="1" si="0"/>
        <v>Local Train</v>
      </c>
      <c r="B165" s="4">
        <f t="shared" ca="1" si="2"/>
        <v>386.1221812508</v>
      </c>
      <c r="C165" s="4">
        <f t="shared" ca="1" si="2"/>
        <v>409.13517531849999</v>
      </c>
      <c r="D165" s="4">
        <f t="shared" ca="1" si="2"/>
        <v>427.23530176689997</v>
      </c>
      <c r="E165" s="4">
        <f t="shared" ca="1" si="2"/>
        <v>433.07715972130001</v>
      </c>
      <c r="F165" s="4">
        <f t="shared" ca="1" si="2"/>
        <v>431.68516344649998</v>
      </c>
      <c r="G165" s="4">
        <f t="shared" ca="1" si="2"/>
        <v>428.99179100960004</v>
      </c>
      <c r="H165" s="4">
        <f t="shared" ca="1" si="2"/>
        <v>423.66749378989999</v>
      </c>
      <c r="I165" s="1">
        <f t="shared" ca="1" si="1"/>
        <v>434.98669960015809</v>
      </c>
      <c r="J165" s="1">
        <f t="shared" ca="1" si="1"/>
        <v>448.1601130470973</v>
      </c>
      <c r="K165" s="1">
        <f t="shared" ca="1" si="1"/>
        <v>461.30010580632643</v>
      </c>
    </row>
    <row r="166" spans="1:11" x14ac:dyDescent="0.2">
      <c r="A166" t="str">
        <f t="shared" ca="1" si="0"/>
        <v>Local Bus</v>
      </c>
      <c r="B166" s="4">
        <f t="shared" ca="1" si="2"/>
        <v>1134.4665534744004</v>
      </c>
      <c r="C166" s="4">
        <f t="shared" ca="1" si="2"/>
        <v>1157.6716791406</v>
      </c>
      <c r="D166" s="4">
        <f t="shared" ca="1" si="2"/>
        <v>1146.3151751809</v>
      </c>
      <c r="E166" s="4">
        <f t="shared" ca="1" si="2"/>
        <v>1133.7636912433998</v>
      </c>
      <c r="F166" s="4">
        <f t="shared" ca="1" si="2"/>
        <v>1107.8399189995002</v>
      </c>
      <c r="G166" s="4">
        <f t="shared" ca="1" si="2"/>
        <v>1089.8883109107001</v>
      </c>
      <c r="H166" s="4">
        <f t="shared" ca="1" si="2"/>
        <v>1068.7114751488002</v>
      </c>
      <c r="I166" s="1">
        <f t="shared" ca="1" si="1"/>
        <v>1105.5875621674543</v>
      </c>
      <c r="J166" s="1">
        <f t="shared" ca="1" si="1"/>
        <v>1150.0117235890068</v>
      </c>
      <c r="K166" s="1">
        <f t="shared" ca="1" si="1"/>
        <v>1195.1946241541934</v>
      </c>
    </row>
    <row r="167" spans="1:11" x14ac:dyDescent="0.2">
      <c r="A167" t="str">
        <f t="shared" ca="1" si="0"/>
        <v>Local Ferry</v>
      </c>
      <c r="B167" s="4">
        <f t="shared" ca="1" si="2"/>
        <v>0</v>
      </c>
      <c r="C167" s="4">
        <f t="shared" ca="1" si="2"/>
        <v>0</v>
      </c>
      <c r="D167" s="4">
        <f t="shared" ca="1" si="2"/>
        <v>0</v>
      </c>
      <c r="E167" s="4">
        <f t="shared" ca="1" si="2"/>
        <v>0</v>
      </c>
      <c r="F167" s="4">
        <f t="shared" ca="1" si="2"/>
        <v>0</v>
      </c>
      <c r="G167" s="4">
        <f t="shared" ca="1" si="2"/>
        <v>0</v>
      </c>
      <c r="H167" s="4">
        <f t="shared" ca="1" si="2"/>
        <v>0</v>
      </c>
      <c r="I167" s="1">
        <f t="shared" ca="1" si="1"/>
        <v>0</v>
      </c>
      <c r="J167" s="1">
        <f t="shared" ca="1" si="1"/>
        <v>0</v>
      </c>
      <c r="K167" s="1">
        <f t="shared" ca="1" si="1"/>
        <v>0</v>
      </c>
    </row>
    <row r="168" spans="1:11" x14ac:dyDescent="0.2">
      <c r="A168" t="str">
        <f t="shared" ca="1" si="0"/>
        <v>Other Household Travel</v>
      </c>
      <c r="B168" s="4">
        <f t="shared" ca="1" si="2"/>
        <v>1.8241938706</v>
      </c>
      <c r="C168" s="4">
        <f t="shared" ca="1" si="2"/>
        <v>1.8041545906000001</v>
      </c>
      <c r="D168" s="4">
        <f t="shared" ca="1" si="2"/>
        <v>1.3832028404000001</v>
      </c>
      <c r="E168" s="4">
        <f t="shared" ca="1" si="2"/>
        <v>1.5365870468</v>
      </c>
      <c r="F168" s="4">
        <f t="shared" ca="1" si="2"/>
        <v>1.5698518249</v>
      </c>
      <c r="G168" s="4">
        <f t="shared" ca="1" si="2"/>
        <v>1.4976773827000001</v>
      </c>
      <c r="H168" s="4">
        <f t="shared" ca="1" si="2"/>
        <v>1.4005667673</v>
      </c>
      <c r="I168" s="1">
        <f t="shared" ca="1" si="1"/>
        <v>1.4752288977808621</v>
      </c>
      <c r="J168" s="1">
        <f t="shared" ca="1" si="1"/>
        <v>1.5700075360511989</v>
      </c>
      <c r="K168" s="1">
        <f t="shared" ca="1" si="1"/>
        <v>1.6685381930643652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202"/>
  <sheetViews>
    <sheetView topLeftCell="A57" workbookViewId="0">
      <selection activeCell="G24" sqref="G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59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Duration Tables Sup #1'!B5*(1+'Other Assumptions'!D$44)*(1+'Active Mode Assumptions'!B11)</f>
        <v>5.0772161771000004</v>
      </c>
      <c r="C5" s="4">
        <f ca="1">C159*'Total Duration Tables Sup #1'!C5*(1+'Other Assumptions'!G$44)*(1+'Active Mode Assumptions'!C11)</f>
        <v>5.273649363470172</v>
      </c>
      <c r="D5" s="4">
        <f ca="1">D159*'Total Duration Tables Sup #1'!D5*(1+'Other Assumptions'!H$44)*(1+'Active Mode Assumptions'!D11)</f>
        <v>5.5046885859522581</v>
      </c>
      <c r="E5" s="4">
        <f ca="1">E159*'Total Duration Tables Sup #1'!E5*(1+'Other Assumptions'!I$44)*(1+'Active Mode Assumptions'!E11)</f>
        <v>5.6434634924570144</v>
      </c>
      <c r="F5" s="4">
        <f ca="1">F159*'Total Duration Tables Sup #1'!F5*(1+'Other Assumptions'!J$44)*(1+'Active Mode Assumptions'!F11)</f>
        <v>5.7240995462563262</v>
      </c>
      <c r="G5" s="4">
        <f ca="1">G159*'Total Duration Tables Sup #1'!G5*(1+'Other Assumptions'!K$44)*(1+'Active Mode Assumptions'!G11)</f>
        <v>5.7854155648350609</v>
      </c>
      <c r="H5" s="4">
        <f ca="1">H159*'Total Duration Tables Sup #1'!H5*(1+'Other Assumptions'!L$44)*(1+'Active Mode Assumptions'!H11)</f>
        <v>5.8032594775738175</v>
      </c>
      <c r="I5" s="4">
        <f ca="1">I159*'Total Duration Tables Sup #1'!I5*(1+'Other Assumptions'!M$44)*(1+'Active Mode Assumptions'!I11)</f>
        <v>5.9410634025755895</v>
      </c>
      <c r="J5" s="4">
        <f ca="1">J159*'Total Duration Tables Sup #1'!J5*(1+'Other Assumptions'!N$44)*(1+'Active Mode Assumptions'!J11)</f>
        <v>6.0630969054118777</v>
      </c>
      <c r="K5" s="4">
        <f ca="1">K159*'Total Duration Tables Sup #1'!K5*(1+'Other Assumptions'!O$44)*(1+'Active Mode Assumptions'!K11)</f>
        <v>6.1726415369976122</v>
      </c>
    </row>
    <row r="6" spans="1:11" x14ac:dyDescent="0.2">
      <c r="A6" t="str">
        <f ca="1">OFFSET(Northland_Reference,7,2)</f>
        <v>Cyclist</v>
      </c>
      <c r="B6" s="4">
        <f ca="1">B160*'Total Duration Tables Sup #1'!B6*(1+'Other Assumptions'!D$44)*(1+'Active Mode Assumptions'!B20)</f>
        <v>0.15772883609999999</v>
      </c>
      <c r="C6" s="4">
        <f ca="1">C160*'Total Duration Tables Sup #1'!C6*(1+'Other Assumptions'!G$44)*(1+'Active Mode Assumptions'!C20)</f>
        <v>0.1666123526581314</v>
      </c>
      <c r="D6" s="4">
        <f ca="1">D160*'Total Duration Tables Sup #1'!D6*(1+'Other Assumptions'!H$44)*(1+'Active Mode Assumptions'!D20)</f>
        <v>0.19664809961818533</v>
      </c>
      <c r="E6" s="4">
        <f ca="1">E160*'Total Duration Tables Sup #1'!E6*(1+'Other Assumptions'!I$44)*(1+'Active Mode Assumptions'!E20)</f>
        <v>0.22001624644866349</v>
      </c>
      <c r="F6" s="4">
        <f ca="1">F160*'Total Duration Tables Sup #1'!F6*(1+'Other Assumptions'!J$44)*(1+'Active Mode Assumptions'!F20)</f>
        <v>0.24595417061573338</v>
      </c>
      <c r="G6" s="4">
        <f ca="1">G160*'Total Duration Tables Sup #1'!G6*(1+'Other Assumptions'!K$44)*(1+'Active Mode Assumptions'!G20)</f>
        <v>0.27585388880043665</v>
      </c>
      <c r="H6" s="4">
        <f ca="1">H160*'Total Duration Tables Sup #1'!H6*(1+'Other Assumptions'!L$44)*(1+'Active Mode Assumptions'!H20)</f>
        <v>0.30639176849954691</v>
      </c>
      <c r="I6" s="4">
        <f ca="1">I160*'Total Duration Tables Sup #1'!I6*(1+'Other Assumptions'!M$44)*(1+'Active Mode Assumptions'!I20)</f>
        <v>0.31583611243995641</v>
      </c>
      <c r="J6" s="4">
        <f ca="1">J160*'Total Duration Tables Sup #1'!J6*(1+'Other Assumptions'!N$44)*(1+'Active Mode Assumptions'!J20)</f>
        <v>0.32546093000988219</v>
      </c>
      <c r="K6" s="4">
        <f ca="1">K160*'Total Duration Tables Sup #1'!K6*(1+'Other Assumptions'!O$44)*(1+'Active Mode Assumptions'!K20)</f>
        <v>0.33462938537197362</v>
      </c>
    </row>
    <row r="7" spans="1:11" x14ac:dyDescent="0.2">
      <c r="A7" t="str">
        <f ca="1">OFFSET(Northland_Reference,14,2)</f>
        <v>Light Vehicle Driver</v>
      </c>
      <c r="B7" s="4">
        <f ca="1">B161*'Total Duration Tables Sup #1'!B7*(1+'Other Assumptions'!D$44)-(B5*'Active Mode Assumptions'!B11*'Active Mode Assumptions'!B14/(1+'Active Mode Assumptions'!B11))-(B6*'Active Mode Assumptions'!B20*'Active Mode Assumptions'!B23/(1+'Active Mode Assumptions'!B20))</f>
        <v>23.421840091</v>
      </c>
      <c r="C7" s="4">
        <f ca="1">C161*'Total Duration Tables Sup #1'!C7*(1+'Other Assumptions'!G$44)-(C5*'Active Mode Assumptions'!C11*'Active Mode Assumptions'!C14/(1+'Active Mode Assumptions'!C11))-(C6*'Active Mode Assumptions'!C20*'Active Mode Assumptions'!C23/(1+'Active Mode Assumptions'!C20))</f>
        <v>25.430913627880148</v>
      </c>
      <c r="D7" s="4">
        <f ca="1">D161*'Total Duration Tables Sup #1'!D7*(1+'Other Assumptions'!H$44)-(D5*'Active Mode Assumptions'!D11*'Active Mode Assumptions'!D14/(1+'Active Mode Assumptions'!D11))-(D6*'Active Mode Assumptions'!D20*'Active Mode Assumptions'!D23/(1+'Active Mode Assumptions'!D20))</f>
        <v>26.580228650922972</v>
      </c>
      <c r="E7" s="4">
        <f ca="1">E161*'Total Duration Tables Sup #1'!E7*(1+'Other Assumptions'!I$44)-(E5*'Active Mode Assumptions'!E11*'Active Mode Assumptions'!E14/(1+'Active Mode Assumptions'!E11))-(E6*'Active Mode Assumptions'!E20*'Active Mode Assumptions'!E23/(1+'Active Mode Assumptions'!E20))</f>
        <v>27.713406481874593</v>
      </c>
      <c r="F7" s="4">
        <f ca="1">F161*'Total Duration Tables Sup #1'!F7*(1+'Other Assumptions'!J$44)-(F5*'Active Mode Assumptions'!F11*'Active Mode Assumptions'!F14/(1+'Active Mode Assumptions'!F11))-(F6*'Active Mode Assumptions'!F20*'Active Mode Assumptions'!F23/(1+'Active Mode Assumptions'!F20))</f>
        <v>28.537234100550652</v>
      </c>
      <c r="G7" s="4">
        <f ca="1">G161*'Total Duration Tables Sup #1'!G7*(1+'Other Assumptions'!K$44)-(G5*'Active Mode Assumptions'!G11*'Active Mode Assumptions'!G14/(1+'Active Mode Assumptions'!G11))-(G6*'Active Mode Assumptions'!G20*'Active Mode Assumptions'!G23/(1+'Active Mode Assumptions'!G20))</f>
        <v>29.035579840796206</v>
      </c>
      <c r="H7" s="4">
        <f ca="1">H161*'Total Duration Tables Sup #1'!H7*(1+'Other Assumptions'!L$44)-(H5*'Active Mode Assumptions'!H11*'Active Mode Assumptions'!H14/(1+'Active Mode Assumptions'!H11))-(H6*'Active Mode Assumptions'!H20*'Active Mode Assumptions'!H23/(1+'Active Mode Assumptions'!H20))</f>
        <v>29.256708434274103</v>
      </c>
      <c r="I7" s="4">
        <f ca="1">I161*'Total Duration Tables Sup #1'!I7*(1+'Other Assumptions'!M$44)-(I5*'Active Mode Assumptions'!I11*'Active Mode Assumptions'!I14/(1+'Active Mode Assumptions'!I11))-(I6*'Active Mode Assumptions'!I20*'Active Mode Assumptions'!I23/(1+'Active Mode Assumptions'!I20))</f>
        <v>29.895169373433649</v>
      </c>
      <c r="J7" s="4">
        <f ca="1">J161*'Total Duration Tables Sup #1'!J7*(1+'Other Assumptions'!N$44)-(J5*'Active Mode Assumptions'!J11*'Active Mode Assumptions'!J14/(1+'Active Mode Assumptions'!J11))-(J6*'Active Mode Assumptions'!J20*'Active Mode Assumptions'!J23/(1+'Active Mode Assumptions'!J20))</f>
        <v>30.433969452529034</v>
      </c>
      <c r="K7" s="4">
        <f ca="1">K161*'Total Duration Tables Sup #1'!K7*(1+'Other Assumptions'!O$44)-(K5*'Active Mode Assumptions'!K11*'Active Mode Assumptions'!K14/(1+'Active Mode Assumptions'!K11))-(K6*'Active Mode Assumptions'!K20*'Active Mode Assumptions'!K23/(1+'Active Mode Assumptions'!K20))</f>
        <v>30.907251424707415</v>
      </c>
    </row>
    <row r="8" spans="1:11" x14ac:dyDescent="0.2">
      <c r="A8" t="str">
        <f ca="1">OFFSET(Northland_Reference,21,2)</f>
        <v>Light Vehicle Passenger</v>
      </c>
      <c r="B8" s="4">
        <f ca="1">B162*'Total Duration Tables Sup #1'!B8*(1+'Other Assumptions'!D$44)-(B5*'Active Mode Assumptions'!B11*'Active Mode Assumptions'!B15/(1+'Active Mode Assumptions'!B11))-(B6*'Active Mode Assumptions'!B20*'Active Mode Assumptions'!B24/(1+'Active Mode Assumptions'!B20))</f>
        <v>15.174949781</v>
      </c>
      <c r="C8" s="4">
        <f ca="1">C162*'Total Duration Tables Sup #1'!C8*(1+'Other Assumptions'!G$44)-(C5*'Active Mode Assumptions'!C11*'Active Mode Assumptions'!C15/(1+'Active Mode Assumptions'!C11))-(C6*'Active Mode Assumptions'!C20*'Active Mode Assumptions'!C24/(1+'Active Mode Assumptions'!C20))</f>
        <v>15.720436479553838</v>
      </c>
      <c r="D8" s="4">
        <f ca="1">D162*'Total Duration Tables Sup #1'!D8*(1+'Other Assumptions'!H$44)-(D5*'Active Mode Assumptions'!D11*'Active Mode Assumptions'!D15/(1+'Active Mode Assumptions'!D11))-(D6*'Active Mode Assumptions'!D20*'Active Mode Assumptions'!D24/(1+'Active Mode Assumptions'!D20))</f>
        <v>16.198475321633541</v>
      </c>
      <c r="E8" s="4">
        <f ca="1">E162*'Total Duration Tables Sup #1'!E8*(1+'Other Assumptions'!I$44)-(E5*'Active Mode Assumptions'!E11*'Active Mode Assumptions'!E15/(1+'Active Mode Assumptions'!E11))-(E6*'Active Mode Assumptions'!E20*'Active Mode Assumptions'!E24/(1+'Active Mode Assumptions'!E20))</f>
        <v>16.607307425104977</v>
      </c>
      <c r="F8" s="4">
        <f ca="1">F162*'Total Duration Tables Sup #1'!F8*(1+'Other Assumptions'!J$44)-(F5*'Active Mode Assumptions'!F11*'Active Mode Assumptions'!F15/(1+'Active Mode Assumptions'!F11))-(F6*'Active Mode Assumptions'!F20*'Active Mode Assumptions'!F24/(1+'Active Mode Assumptions'!F20))</f>
        <v>16.857528118859491</v>
      </c>
      <c r="G8" s="4">
        <f ca="1">G162*'Total Duration Tables Sup #1'!G8*(1+'Other Assumptions'!K$44)-(G5*'Active Mode Assumptions'!G11*'Active Mode Assumptions'!G15/(1+'Active Mode Assumptions'!G11))-(G6*'Active Mode Assumptions'!G20*'Active Mode Assumptions'!G24/(1+'Active Mode Assumptions'!G20))</f>
        <v>16.99866527718742</v>
      </c>
      <c r="H8" s="4">
        <f ca="1">H162*'Total Duration Tables Sup #1'!H8*(1+'Other Assumptions'!L$44)-(H5*'Active Mode Assumptions'!H11*'Active Mode Assumptions'!H15/(1+'Active Mode Assumptions'!H11))-(H6*'Active Mode Assumptions'!H20*'Active Mode Assumptions'!H24/(1+'Active Mode Assumptions'!H20))</f>
        <v>17.010295774038859</v>
      </c>
      <c r="I8" s="4">
        <f ca="1">I162*'Total Duration Tables Sup #1'!I8*(1+'Other Assumptions'!M$44)-(I5*'Active Mode Assumptions'!I11*'Active Mode Assumptions'!I15/(1+'Active Mode Assumptions'!I11))-(I6*'Active Mode Assumptions'!I20*'Active Mode Assumptions'!I24/(1+'Active Mode Assumptions'!I20))</f>
        <v>17.393963298182388</v>
      </c>
      <c r="J8" s="4">
        <f ca="1">J162*'Total Duration Tables Sup #1'!J8*(1+'Other Assumptions'!N$44)-(J5*'Active Mode Assumptions'!J11*'Active Mode Assumptions'!J15/(1+'Active Mode Assumptions'!J11))-(J6*'Active Mode Assumptions'!J20*'Active Mode Assumptions'!J24/(1+'Active Mode Assumptions'!J20))</f>
        <v>17.722291748579373</v>
      </c>
      <c r="K8" s="4">
        <f ca="1">K162*'Total Duration Tables Sup #1'!K8*(1+'Other Assumptions'!O$44)-(K5*'Active Mode Assumptions'!K11*'Active Mode Assumptions'!K15/(1+'Active Mode Assumptions'!K11))-(K6*'Active Mode Assumptions'!K20*'Active Mode Assumptions'!K24/(1+'Active Mode Assumptions'!K20))</f>
        <v>18.012631722234353</v>
      </c>
    </row>
    <row r="9" spans="1:11" x14ac:dyDescent="0.2">
      <c r="A9" t="str">
        <f ca="1">OFFSET(Northland_Reference,28,2)</f>
        <v>Taxi/Vehicle Share</v>
      </c>
      <c r="B9" s="4">
        <f ca="1">B163*'Total Duration Tables Sup #1'!B9*(1+'Other Assumptions'!D$44)</f>
        <v>2.5131369800000001E-2</v>
      </c>
      <c r="C9" s="4">
        <f ca="1">C163*'Total Duration Tables Sup #1'!C9*(1+'Other Assumptions'!G$44)</f>
        <v>2.8788263417630005E-2</v>
      </c>
      <c r="D9" s="4">
        <f ca="1">D163*'Total Duration Tables Sup #1'!D9*(1+'Other Assumptions'!H$44)</f>
        <v>3.2328128896464074E-2</v>
      </c>
      <c r="E9" s="4">
        <f ca="1">E163*'Total Duration Tables Sup #1'!E9*(1+'Other Assumptions'!I$44)</f>
        <v>3.5286088633232883E-2</v>
      </c>
      <c r="F9" s="4">
        <f ca="1">F163*'Total Duration Tables Sup #1'!F9*(1+'Other Assumptions'!J$44)</f>
        <v>3.7634615874011526E-2</v>
      </c>
      <c r="G9" s="4">
        <f ca="1">G163*'Total Duration Tables Sup #1'!G9*(1+'Other Assumptions'!K$44)</f>
        <v>3.91785620404674E-2</v>
      </c>
      <c r="H9" s="4">
        <f ca="1">H163*'Total Duration Tables Sup #1'!H9*(1+'Other Assumptions'!L$44)</f>
        <v>4.0267660647866521E-2</v>
      </c>
      <c r="I9" s="4">
        <f ca="1">I163*'Total Duration Tables Sup #1'!I9*(1+'Other Assumptions'!M$44)</f>
        <v>4.120959518698078E-2</v>
      </c>
      <c r="J9" s="4">
        <f ca="1">J163*'Total Duration Tables Sup #1'!J9*(1+'Other Assumptions'!N$44)</f>
        <v>4.2050023209925631E-2</v>
      </c>
      <c r="K9" s="4">
        <f ca="1">K163*'Total Duration Tables Sup #1'!K9*(1+'Other Assumptions'!O$44)</f>
        <v>4.2805576768255249E-2</v>
      </c>
    </row>
    <row r="10" spans="1:11" x14ac:dyDescent="0.2">
      <c r="A10" t="str">
        <f ca="1">OFFSET(Northland_Reference,35,2)</f>
        <v>Motorcyclist</v>
      </c>
      <c r="B10" s="4">
        <f ca="1">B164*'Total Duration Tables Sup #1'!B10*(1+'Other Assumptions'!D$44)</f>
        <v>0.28382488960000002</v>
      </c>
      <c r="C10" s="4">
        <f ca="1">C164*'Total Duration Tables Sup #1'!C10*(1+'Other Assumptions'!G$44)</f>
        <v>0.30320137958895643</v>
      </c>
      <c r="D10" s="4">
        <f ca="1">D164*'Total Duration Tables Sup #1'!D10*(1+'Other Assumptions'!H$44)</f>
        <v>0.31728239909020378</v>
      </c>
      <c r="E10" s="4">
        <f ca="1">E164*'Total Duration Tables Sup #1'!E10*(1+'Other Assumptions'!I$44)</f>
        <v>0.32617954558126655</v>
      </c>
      <c r="F10" s="4">
        <f ca="1">F164*'Total Duration Tables Sup #1'!F10*(1+'Other Assumptions'!J$44)</f>
        <v>0.3296289979385848</v>
      </c>
      <c r="G10" s="4">
        <f ca="1">G164*'Total Duration Tables Sup #1'!G10*(1+'Other Assumptions'!K$44)</f>
        <v>0.32624624886085307</v>
      </c>
      <c r="H10" s="4">
        <f ca="1">H164*'Total Duration Tables Sup #1'!H10*(1+'Other Assumptions'!L$44)</f>
        <v>0.3192723869976658</v>
      </c>
      <c r="I10" s="4">
        <f ca="1">I164*'Total Duration Tables Sup #1'!I10*(1+'Other Assumptions'!M$44)</f>
        <v>0.3274726890918519</v>
      </c>
      <c r="J10" s="4">
        <f ca="1">J164*'Total Duration Tables Sup #1'!J10*(1+'Other Assumptions'!N$44)</f>
        <v>0.33482928717178806</v>
      </c>
      <c r="K10" s="4">
        <f ca="1">K164*'Total Duration Tables Sup #1'!K10*(1+'Other Assumptions'!O$44)</f>
        <v>0.34148795334779974</v>
      </c>
    </row>
    <row r="11" spans="1:11" x14ac:dyDescent="0.2">
      <c r="A11" t="str">
        <f ca="1">OFFSET(Auckland_Reference,42,2)</f>
        <v>Local Train</v>
      </c>
      <c r="B11" s="4">
        <f ca="1">B165*'Total Duration Tables Sup #1'!B11*(1+'Other Assumptions'!D$44)</f>
        <v>0</v>
      </c>
      <c r="C11" s="4">
        <f ca="1">C165*'Total Duration Tables Sup #1'!C11*(1+'Other Assumptions'!G$44)</f>
        <v>0</v>
      </c>
      <c r="D11" s="4">
        <f ca="1">D165*'Total Duration Tables Sup #1'!D11*(1+'Other Assumptions'!H$44)</f>
        <v>0</v>
      </c>
      <c r="E11" s="4">
        <f ca="1">E165*'Total Duration Tables Sup #1'!E11*(1+'Other Assumptions'!I$44)</f>
        <v>0</v>
      </c>
      <c r="F11" s="4">
        <f ca="1">F165*'Total Duration Tables Sup #1'!F11*(1+'Other Assumptions'!J$44)</f>
        <v>0</v>
      </c>
      <c r="G11" s="4">
        <f ca="1">G165*'Total Duration Tables Sup #1'!G11*(1+'Other Assumptions'!K$44)</f>
        <v>0</v>
      </c>
      <c r="H11" s="4">
        <f ca="1">H165*'Total Duration Tables Sup #1'!H11*(1+'Other Assumptions'!L$44)</f>
        <v>0</v>
      </c>
      <c r="I11" s="4">
        <f ca="1">I165*'Total Duration Tables Sup #1'!I11*(1+'Other Assumptions'!M$44)</f>
        <v>0</v>
      </c>
      <c r="J11" s="4">
        <f ca="1">J165*'Total Duration Tables Sup #1'!J11*(1+'Other Assumptions'!N$44)</f>
        <v>0</v>
      </c>
      <c r="K11" s="4">
        <f ca="1">K165*'Total Duration Tables Sup #1'!K11*(1+'Other Assumptions'!O$44)</f>
        <v>0</v>
      </c>
    </row>
    <row r="12" spans="1:11" x14ac:dyDescent="0.2">
      <c r="A12" t="str">
        <f ca="1">OFFSET(Northland_Reference,42,2)</f>
        <v>Local Bus</v>
      </c>
      <c r="B12" s="4">
        <f ca="1">B166*'Total Duration Tables Sup #1'!B12*(1+'Other Assumptions'!D$44)</f>
        <v>1.5691203781</v>
      </c>
      <c r="C12" s="4">
        <f ca="1">C166*'Total Duration Tables Sup #1'!C12*(1+'Other Assumptions'!G$44)</f>
        <v>1.4690492328929226</v>
      </c>
      <c r="D12" s="4">
        <f ca="1">D166*'Total Duration Tables Sup #1'!D12*(1+'Other Assumptions'!H$44)</f>
        <v>1.5059408357350279</v>
      </c>
      <c r="E12" s="4">
        <f ca="1">E166*'Total Duration Tables Sup #1'!E12*(1+'Other Assumptions'!I$44)</f>
        <v>1.5121244565358327</v>
      </c>
      <c r="F12" s="4">
        <f ca="1">F166*'Total Duration Tables Sup #1'!F12*(1+'Other Assumptions'!J$44)</f>
        <v>1.5080646903808728</v>
      </c>
      <c r="G12" s="4">
        <f ca="1">G166*'Total Duration Tables Sup #1'!G12*(1+'Other Assumptions'!K$44)</f>
        <v>1.5126835850945839</v>
      </c>
      <c r="H12" s="4">
        <f ca="1">H166*'Total Duration Tables Sup #1'!H12*(1+'Other Assumptions'!L$44)</f>
        <v>1.5138103442104653</v>
      </c>
      <c r="I12" s="4">
        <f ca="1">I166*'Total Duration Tables Sup #1'!I12*(1+'Other Assumptions'!M$44)</f>
        <v>1.5498325326614992</v>
      </c>
      <c r="J12" s="4">
        <f ca="1">J166*'Total Duration Tables Sup #1'!J12*(1+'Other Assumptions'!N$44)</f>
        <v>1.5812526655977013</v>
      </c>
      <c r="K12" s="4">
        <f ca="1">K166*'Total Duration Tables Sup #1'!K12*(1+'Other Assumptions'!O$44)</f>
        <v>1.6093085240469314</v>
      </c>
    </row>
    <row r="13" spans="1:11" x14ac:dyDescent="0.2">
      <c r="A13" t="str">
        <f ca="1">OFFSET(Northland_Reference,49,2)</f>
        <v>Local Ferry</v>
      </c>
      <c r="B13" s="4">
        <f ca="1">B167*'Total Duration Tables Sup #1'!B13*(1+'Other Assumptions'!D$44)</f>
        <v>1.4305812299999996E-2</v>
      </c>
      <c r="C13" s="4">
        <f ca="1">C167*'Total Duration Tables Sup #1'!C13*(1+'Other Assumptions'!G$44)</f>
        <v>1.6760620737527633E-2</v>
      </c>
      <c r="D13" s="4">
        <f ca="1">D167*'Total Duration Tables Sup #1'!D13*(1+'Other Assumptions'!H$44)</f>
        <v>1.7066978994188246E-2</v>
      </c>
      <c r="E13" s="4">
        <f ca="1">E167*'Total Duration Tables Sup #1'!E13*(1+'Other Assumptions'!I$44)</f>
        <v>1.7598100995375014E-2</v>
      </c>
      <c r="F13" s="4">
        <f ca="1">F167*'Total Duration Tables Sup #1'!F13*(1+'Other Assumptions'!J$44)</f>
        <v>1.7723315463184494E-2</v>
      </c>
      <c r="G13" s="4">
        <f ca="1">G167*'Total Duration Tables Sup #1'!G13*(1+'Other Assumptions'!K$44)</f>
        <v>1.8029477056095342E-2</v>
      </c>
      <c r="H13" s="4">
        <f ca="1">H167*'Total Duration Tables Sup #1'!H13*(1+'Other Assumptions'!L$44)</f>
        <v>1.80252067102658E-2</v>
      </c>
      <c r="I13" s="4">
        <f ca="1">I167*'Total Duration Tables Sup #1'!I13*(1+'Other Assumptions'!M$44)</f>
        <v>1.8160081613864811E-2</v>
      </c>
      <c r="J13" s="4">
        <f ca="1">J167*'Total Duration Tables Sup #1'!J13*(1+'Other Assumptions'!N$44)</f>
        <v>1.8156522473099089E-2</v>
      </c>
      <c r="K13" s="4">
        <f ca="1">K167*'Total Duration Tables Sup #1'!K13*(1+'Other Assumptions'!O$44)</f>
        <v>1.8116410150771492E-2</v>
      </c>
    </row>
    <row r="14" spans="1:11" x14ac:dyDescent="0.2">
      <c r="A14" t="str">
        <f ca="1">OFFSET(Northland_Reference,56,2)</f>
        <v>Other Household Travel</v>
      </c>
      <c r="B14" s="4">
        <f ca="1">B168*'Total Duration Tables Sup #1'!B14*(1+'Other Assumptions'!D$44)</f>
        <v>0</v>
      </c>
      <c r="C14" s="4">
        <f ca="1">C168*'Total Duration Tables Sup #1'!C14*(1+'Other Assumptions'!G$44)</f>
        <v>0</v>
      </c>
      <c r="D14" s="4">
        <f ca="1">D168*'Total Duration Tables Sup #1'!D14*(1+'Other Assumptions'!H$44)</f>
        <v>0</v>
      </c>
      <c r="E14" s="4">
        <f ca="1">E168*'Total Duration Tables Sup #1'!E14*(1+'Other Assumptions'!I$44)</f>
        <v>0</v>
      </c>
      <c r="F14" s="4">
        <f ca="1">F168*'Total Duration Tables Sup #1'!F14*(1+'Other Assumptions'!J$44)</f>
        <v>0</v>
      </c>
      <c r="G14" s="4">
        <f ca="1">G168*'Total Duration Tables Sup #1'!G14*(1+'Other Assumptions'!K$44)</f>
        <v>0</v>
      </c>
      <c r="H14" s="4">
        <f ca="1">H168*'Total Duration Tables Sup #1'!H14*(1+'Other Assumptions'!L$44)</f>
        <v>0</v>
      </c>
      <c r="I14" s="4">
        <f ca="1">I168*'Total Duration Tables Sup #1'!I14*(1+'Other Assumptions'!M$44)</f>
        <v>0</v>
      </c>
      <c r="J14" s="4">
        <f ca="1">J168*'Total Duration Tables Sup #1'!J14*(1+'Other Assumptions'!N$44)</f>
        <v>0</v>
      </c>
      <c r="K14" s="4">
        <f ca="1">K168*'Total Duration Tables Sup #1'!K14*(1+'Other Assumptions'!O$44)</f>
        <v>0</v>
      </c>
    </row>
    <row r="15" spans="1:11" x14ac:dyDescent="0.2">
      <c r="A15" t="str">
        <f ca="1">OFFSET(Auckland_Reference,0,0)</f>
        <v>02 AUCKLAND</v>
      </c>
    </row>
    <row r="16" spans="1:11" x14ac:dyDescent="0.2">
      <c r="A16" t="str">
        <f ca="1">OFFSET(Auckland_Reference,0,2)</f>
        <v>Pedestrian</v>
      </c>
      <c r="B16" s="4">
        <f ca="1">(B159*'Total Duration Tables Sup #1'!B16)*(1+'Other Assumptions'!D$45)*(1+'Active Mode Assumptions'!B11)-('PT Assumptions'!B14*'Total Duration Tables Sup #2'!B170+'PT Assumptions'!B26*'Total Duration Tables Sup #2'!B173)*(1+'Other Assumptions'!D$45)</f>
        <v>73.381071999</v>
      </c>
      <c r="C16" s="4">
        <f ca="1">(C159*'Total Duration Tables Sup #1'!C16)*(1+'Other Assumptions'!G$45)*(1+'Active Mode Assumptions'!C11)-('PT Assumptions'!C14*'Total Duration Tables Sup #2'!C170+'PT Assumptions'!C26*'Total Duration Tables Sup #2'!C173)*(1+'Other Assumptions'!G$45)</f>
        <v>83.649315378534155</v>
      </c>
      <c r="D16" s="4">
        <f ca="1">(D159*'Total Duration Tables Sup #1'!D16)*(1+'Other Assumptions'!H$45)*(1+'Active Mode Assumptions'!D11)-('PT Assumptions'!D14*'Total Duration Tables Sup #2'!D170+'PT Assumptions'!D26*'Total Duration Tables Sup #2'!D173)*(1+'Other Assumptions'!H$45)</f>
        <v>93.888648190748825</v>
      </c>
      <c r="E16" s="4">
        <f ca="1">(E159*'Total Duration Tables Sup #1'!E16)*(1+'Other Assumptions'!I$45)*(1+'Active Mode Assumptions'!E11)-('PT Assumptions'!E14*'Total Duration Tables Sup #2'!E170+'PT Assumptions'!E26*'Total Duration Tables Sup #2'!E173)*(1+'Other Assumptions'!I$45)</f>
        <v>102.71991951280303</v>
      </c>
      <c r="F16" s="4">
        <f ca="1">(F159*'Total Duration Tables Sup #1'!F16)*(1+'Other Assumptions'!J$45)*(1+'Active Mode Assumptions'!F11)-('PT Assumptions'!F14*'Total Duration Tables Sup #2'!F170+'PT Assumptions'!F26*'Total Duration Tables Sup #2'!F173)*(1+'Other Assumptions'!J$45)</f>
        <v>111.19958613718154</v>
      </c>
      <c r="G16" s="4">
        <f ca="1">(G159*'Total Duration Tables Sup #1'!G16)*(1+'Other Assumptions'!K$45)*(1+'Active Mode Assumptions'!G11)-('PT Assumptions'!G14*'Total Duration Tables Sup #2'!G170+'PT Assumptions'!G26*'Total Duration Tables Sup #2'!G173)*(1+'Other Assumptions'!K$45)</f>
        <v>119.73874904146381</v>
      </c>
      <c r="H16" s="4">
        <f ca="1">(H159*'Total Duration Tables Sup #1'!H16)*(1+'Other Assumptions'!L$45)*(1+'Active Mode Assumptions'!H11)-('PT Assumptions'!H14*'Total Duration Tables Sup #2'!H170+'PT Assumptions'!H26*'Total Duration Tables Sup #2'!H173)*(1+'Other Assumptions'!L$45)</f>
        <v>127.80608036766441</v>
      </c>
      <c r="I16" s="4">
        <f ca="1">(I159*'Total Duration Tables Sup #1'!I16)*(1+'Other Assumptions'!M$45)*(1+'Active Mode Assumptions'!I11)-('PT Assumptions'!I14*'Total Duration Tables Sup #2'!I170+'PT Assumptions'!I26*'Total Duration Tables Sup #2'!I173)*(1+'Other Assumptions'!M$45)</f>
        <v>137.01958993212475</v>
      </c>
      <c r="J16" s="4">
        <f ca="1">(J159*'Total Duration Tables Sup #1'!J16)*(1+'Other Assumptions'!N$45)*(1+'Active Mode Assumptions'!J11)-('PT Assumptions'!J14*'Total Duration Tables Sup #2'!J170+'PT Assumptions'!J26*'Total Duration Tables Sup #2'!J173)*(1+'Other Assumptions'!N$45)</f>
        <v>148.45478735578772</v>
      </c>
      <c r="K16" s="4">
        <f ca="1">(K159*'Total Duration Tables Sup #1'!K16)*(1+'Other Assumptions'!O$45)*(1+'Active Mode Assumptions'!K11)-('PT Assumptions'!K14*'Total Duration Tables Sup #2'!K170+'PT Assumptions'!K26*'Total Duration Tables Sup #2'!K173)*(1+'Other Assumptions'!O$45)</f>
        <v>160.56654917473642</v>
      </c>
    </row>
    <row r="17" spans="1:11" x14ac:dyDescent="0.2">
      <c r="A17" t="str">
        <f ca="1">OFFSET(Auckland_Reference,7,2)</f>
        <v>Cyclist</v>
      </c>
      <c r="B17" s="4">
        <f ca="1">(B160*'Total Duration Tables Sup #1'!B17)*(1+'Other Assumptions'!D$45)*(1+'Active Mode Assumptions'!B20)-('PT Assumptions'!B15*'Total Duration Tables Sup #2'!B170+'PT Assumptions'!B27*'Total Duration Tables Sup #2'!B173)*(1+'Other Assumptions'!D$45)</f>
        <v>4.3659429593999999</v>
      </c>
      <c r="C17" s="4">
        <f ca="1">(C160*'Total Duration Tables Sup #1'!C17)*(1+'Other Assumptions'!G$45)*(1+'Active Mode Assumptions'!C20)-('PT Assumptions'!C15*'Total Duration Tables Sup #2'!C170+'PT Assumptions'!C27*'Total Duration Tables Sup #2'!C173)*(1+'Other Assumptions'!G$45)</f>
        <v>5.061905315716416</v>
      </c>
      <c r="D17" s="4">
        <f ca="1">(D160*'Total Duration Tables Sup #1'!D17)*(1+'Other Assumptions'!H$45)*(1+'Active Mode Assumptions'!D20)-('PT Assumptions'!D15*'Total Duration Tables Sup #2'!D170+'PT Assumptions'!D27*'Total Duration Tables Sup #2'!D173)*(1+'Other Assumptions'!H$45)</f>
        <v>6.4508550590859075</v>
      </c>
      <c r="E17" s="4">
        <f ca="1">(E160*'Total Duration Tables Sup #1'!E17)*(1+'Other Assumptions'!I$45)*(1+'Active Mode Assumptions'!E20)-('PT Assumptions'!E15*'Total Duration Tables Sup #2'!E170+'PT Assumptions'!E27*'Total Duration Tables Sup #2'!E173)*(1+'Other Assumptions'!I$45)</f>
        <v>7.7285506585380128</v>
      </c>
      <c r="F17" s="4">
        <f ca="1">(F160*'Total Duration Tables Sup #1'!F17)*(1+'Other Assumptions'!J$45)*(1+'Active Mode Assumptions'!F20)-('PT Assumptions'!F15*'Total Duration Tables Sup #2'!F170+'PT Assumptions'!F27*'Total Duration Tables Sup #2'!F173)*(1+'Other Assumptions'!J$45)</f>
        <v>9.23624831742538</v>
      </c>
      <c r="G17" s="4">
        <f ca="1">(G160*'Total Duration Tables Sup #1'!G17)*(1+'Other Assumptions'!K$45)*(1+'Active Mode Assumptions'!G20)-('PT Assumptions'!G15*'Total Duration Tables Sup #2'!G170+'PT Assumptions'!G27*'Total Duration Tables Sup #2'!G173)*(1+'Other Assumptions'!K$45)</f>
        <v>11.052598898421504</v>
      </c>
      <c r="H17" s="4">
        <f ca="1">(H160*'Total Duration Tables Sup #1'!H17)*(1+'Other Assumptions'!L$45)*(1+'Active Mode Assumptions'!H20)-('PT Assumptions'!H15*'Total Duration Tables Sup #2'!H170+'PT Assumptions'!H27*'Total Duration Tables Sup #2'!H173)*(1+'Other Assumptions'!L$45)</f>
        <v>13.082088902786483</v>
      </c>
      <c r="I17" s="4">
        <f ca="1">(I160*'Total Duration Tables Sup #1'!I17)*(1+'Other Assumptions'!M$45)*(1+'Active Mode Assumptions'!I20)-('PT Assumptions'!I15*'Total Duration Tables Sup #2'!I170+'PT Assumptions'!I27*'Total Duration Tables Sup #2'!I173)*(1+'Other Assumptions'!M$45)</f>
        <v>14.137168619511197</v>
      </c>
      <c r="J17" s="4">
        <f ca="1">(J160*'Total Duration Tables Sup #1'!J17)*(1+'Other Assumptions'!N$45)*(1+'Active Mode Assumptions'!J20)-('PT Assumptions'!J15*'Total Duration Tables Sup #2'!J170+'PT Assumptions'!J27*'Total Duration Tables Sup #2'!J173)*(1+'Other Assumptions'!N$45)</f>
        <v>15.480020620151864</v>
      </c>
      <c r="K17" s="4">
        <f ca="1">(K160*'Total Duration Tables Sup #1'!K17)*(1+'Other Assumptions'!O$45)*(1+'Active Mode Assumptions'!K20)-('PT Assumptions'!K15*'Total Duration Tables Sup #2'!K170+'PT Assumptions'!K27*'Total Duration Tables Sup #2'!K173)*(1+'Other Assumptions'!O$45)</f>
        <v>16.925253844111911</v>
      </c>
    </row>
    <row r="18" spans="1:11" x14ac:dyDescent="0.2">
      <c r="A18" t="str">
        <f ca="1">OFFSET(Auckland_Reference,14,2)</f>
        <v>Light Vehicle Driver</v>
      </c>
      <c r="B18" s="4">
        <f ca="1">(B161*'Total Duration Tables Sup #1'!B18-'PT Assumptions'!B16*'Total Duration Tables Sup #2'!B170-'PT Assumptions'!B28*'Total Duration Tables Sup #2'!B173)*(1+'Other Assumptions'!D$45)-(B159*'Total Duration Tables Sup #1'!B16)*(1+'Other Assumptions'!D$45)*'Active Mode Assumptions'!B11*'Active Mode Assumptions'!B14-(B160*'Total Duration Tables Sup #1'!B17)*(1+'Other Assumptions'!D$45)*'Active Mode Assumptions'!B20*'Active Mode Assumptions'!B23</f>
        <v>295.36669345000001</v>
      </c>
      <c r="C18" s="4">
        <f ca="1">(C161*'Total Duration Tables Sup #1'!C18-'PT Assumptions'!C16*'Total Duration Tables Sup #2'!C170-'PT Assumptions'!C28*'Total Duration Tables Sup #2'!C173)*(1+'Other Assumptions'!G$45)-(C159*'Total Duration Tables Sup #1'!C16)*(1+'Other Assumptions'!G$45)*'Active Mode Assumptions'!C11*'Active Mode Assumptions'!C14-(C160*'Total Duration Tables Sup #1'!C17)*(1+'Other Assumptions'!G$45)*'Active Mode Assumptions'!C20*'Active Mode Assumptions'!C23</f>
        <v>350.65839575738056</v>
      </c>
      <c r="D18" s="4">
        <f ca="1">(D161*'Total Duration Tables Sup #1'!D18-'PT Assumptions'!D16*'Total Duration Tables Sup #2'!D170-'PT Assumptions'!D28*'Total Duration Tables Sup #2'!D173)*(1+'Other Assumptions'!H$45)-(D159*'Total Duration Tables Sup #1'!D16)*(1+'Other Assumptions'!H$45)*'Active Mode Assumptions'!D11*'Active Mode Assumptions'!D14-(D160*'Total Duration Tables Sup #1'!D17)*(1+'Other Assumptions'!H$45)*'Active Mode Assumptions'!D20*'Active Mode Assumptions'!D23</f>
        <v>389.78123589881545</v>
      </c>
      <c r="E18" s="4">
        <f ca="1">(E161*'Total Duration Tables Sup #1'!E18-'PT Assumptions'!E16*'Total Duration Tables Sup #2'!E170-'PT Assumptions'!E28*'Total Duration Tables Sup #2'!E173)*(1+'Other Assumptions'!I$45)-(E159*'Total Duration Tables Sup #1'!E16)*(1+'Other Assumptions'!I$45)*'Active Mode Assumptions'!E11*'Active Mode Assumptions'!E14-(E160*'Total Duration Tables Sup #1'!E17)*(1+'Other Assumptions'!I$45)*'Active Mode Assumptions'!E20*'Active Mode Assumptions'!E23</f>
        <v>429.76015752165165</v>
      </c>
      <c r="F18" s="4">
        <f ca="1">(F161*'Total Duration Tables Sup #1'!F18-'PT Assumptions'!F16*'Total Duration Tables Sup #2'!F170-'PT Assumptions'!F28*'Total Duration Tables Sup #2'!F173)*(1+'Other Assumptions'!J$45)-(F159*'Total Duration Tables Sup #1'!F16)*(1+'Other Assumptions'!J$45)*'Active Mode Assumptions'!F11*'Active Mode Assumptions'!F14-(F160*'Total Duration Tables Sup #1'!F17)*(1+'Other Assumptions'!J$45)*'Active Mode Assumptions'!F20*'Active Mode Assumptions'!F23</f>
        <v>470.70345205991231</v>
      </c>
      <c r="G18" s="4">
        <f ca="1">(G161*'Total Duration Tables Sup #1'!G18-'PT Assumptions'!G16*'Total Duration Tables Sup #2'!G170-'PT Assumptions'!G28*'Total Duration Tables Sup #2'!G173)*(1+'Other Assumptions'!K$45)-(G159*'Total Duration Tables Sup #1'!G16)*(1+'Other Assumptions'!K$45)*'Active Mode Assumptions'!G11*'Active Mode Assumptions'!G14-(G160*'Total Duration Tables Sup #1'!G17)*(1+'Other Assumptions'!K$45)*'Active Mode Assumptions'!G20*'Active Mode Assumptions'!G23</f>
        <v>508.53043522173135</v>
      </c>
      <c r="H18" s="4">
        <f ca="1">(H161*'Total Duration Tables Sup #1'!H18-'PT Assumptions'!H16*'Total Duration Tables Sup #2'!H170-'PT Assumptions'!H28*'Total Duration Tables Sup #2'!H173)*(1+'Other Assumptions'!L$45)-(H159*'Total Duration Tables Sup #1'!H16)*(1+'Other Assumptions'!L$45)*'Active Mode Assumptions'!H11*'Active Mode Assumptions'!H14-(H160*'Total Duration Tables Sup #1'!H17)*(1+'Other Assumptions'!L$45)*'Active Mode Assumptions'!H20*'Active Mode Assumptions'!H23</f>
        <v>543.42277841626355</v>
      </c>
      <c r="I18" s="4">
        <f ca="1">(I161*'Total Duration Tables Sup #1'!I18-'PT Assumptions'!I16*'Total Duration Tables Sup #2'!I170-'PT Assumptions'!I28*'Total Duration Tables Sup #2'!I173)*(1+'Other Assumptions'!M$45)-(I159*'Total Duration Tables Sup #1'!I16)*(1+'Other Assumptions'!M$45)*'Active Mode Assumptions'!I11*'Active Mode Assumptions'!I14-(I160*'Total Duration Tables Sup #1'!I17)*(1+'Other Assumptions'!M$45)*'Active Mode Assumptions'!I20*'Active Mode Assumptions'!I23</f>
        <v>580.00537339345033</v>
      </c>
      <c r="J18" s="4">
        <f ca="1">(J161*'Total Duration Tables Sup #1'!J18-'PT Assumptions'!J16*'Total Duration Tables Sup #2'!J170-'PT Assumptions'!J28*'Total Duration Tables Sup #2'!J173)*(1+'Other Assumptions'!N$45)-(J159*'Total Duration Tables Sup #1'!J16)*(1+'Other Assumptions'!N$45)*'Active Mode Assumptions'!J11*'Active Mode Assumptions'!J14-(J160*'Total Duration Tables Sup #1'!J17)*(1+'Other Assumptions'!N$45)*'Active Mode Assumptions'!J20*'Active Mode Assumptions'!J23</f>
        <v>625.49351748696461</v>
      </c>
      <c r="K18" s="4">
        <f ca="1">(K161*'Total Duration Tables Sup #1'!K18-'PT Assumptions'!K16*'Total Duration Tables Sup #2'!K170-'PT Assumptions'!K28*'Total Duration Tables Sup #2'!K173)*(1+'Other Assumptions'!O$45)-(K159*'Total Duration Tables Sup #1'!K16)*(1+'Other Assumptions'!O$45)*'Active Mode Assumptions'!K11*'Active Mode Assumptions'!K14-(K160*'Total Duration Tables Sup #1'!K17)*(1+'Other Assumptions'!O$45)*'Active Mode Assumptions'!K20*'Active Mode Assumptions'!K23</f>
        <v>673.27249925655383</v>
      </c>
    </row>
    <row r="19" spans="1:11" x14ac:dyDescent="0.2">
      <c r="A19" t="str">
        <f ca="1">OFFSET(Auckland_Reference,21,2)</f>
        <v>Light Vehicle Passenger</v>
      </c>
      <c r="B19" s="4">
        <f ca="1">(B162*'Total Duration Tables Sup #1'!B19-'PT Assumptions'!B17*'Total Duration Tables Sup #2'!B170-'PT Assumptions'!B29*'Total Duration Tables Sup #2'!B173)*(1+'Other Assumptions'!D$45)-(B159*'Total Duration Tables Sup #1'!B16)*(1+'Other Assumptions'!D$45)*'Active Mode Assumptions'!B11*'Active Mode Assumptions'!B15-(B160*'Total Duration Tables Sup #1'!B17)*(1+'Other Assumptions'!D$45)*'Active Mode Assumptions'!B20*'Active Mode Assumptions'!B24</f>
        <v>145.42645436999999</v>
      </c>
      <c r="C19" s="4">
        <f ca="1">(C162*'Total Duration Tables Sup #1'!C19-'PT Assumptions'!C17*'Total Duration Tables Sup #2'!C170-'PT Assumptions'!C29*'Total Duration Tables Sup #2'!C173)*(1+'Other Assumptions'!G$45)-(C159*'Total Duration Tables Sup #1'!C16)*(1+'Other Assumptions'!G$45)*'Active Mode Assumptions'!C11*'Active Mode Assumptions'!C15-(C160*'Total Duration Tables Sup #1'!C17)*(1+'Other Assumptions'!G$45)*'Active Mode Assumptions'!C20*'Active Mode Assumptions'!C24</f>
        <v>164.01491280264716</v>
      </c>
      <c r="D19" s="4">
        <f ca="1">(D162*'Total Duration Tables Sup #1'!D19-'PT Assumptions'!D17*'Total Duration Tables Sup #2'!D170-'PT Assumptions'!D29*'Total Duration Tables Sup #2'!D173)*(1+'Other Assumptions'!H$45)-(D159*'Total Duration Tables Sup #1'!D16)*(1+'Other Assumptions'!H$45)*'Active Mode Assumptions'!D11*'Active Mode Assumptions'!D15-(D160*'Total Duration Tables Sup #1'!D17)*(1+'Other Assumptions'!H$45)*'Active Mode Assumptions'!D20*'Active Mode Assumptions'!D24</f>
        <v>176.39378197037831</v>
      </c>
      <c r="E19" s="4">
        <f ca="1">(E162*'Total Duration Tables Sup #1'!E19-'PT Assumptions'!E17*'Total Duration Tables Sup #2'!E170-'PT Assumptions'!E29*'Total Duration Tables Sup #2'!E173)*(1+'Other Assumptions'!I$45)-(E159*'Total Duration Tables Sup #1'!E16)*(1+'Other Assumptions'!I$45)*'Active Mode Assumptions'!E11*'Active Mode Assumptions'!E15-(E160*'Total Duration Tables Sup #1'!E17)*(1+'Other Assumptions'!I$45)*'Active Mode Assumptions'!E20*'Active Mode Assumptions'!E24</f>
        <v>187.9752956695566</v>
      </c>
      <c r="F19" s="4">
        <f ca="1">(F162*'Total Duration Tables Sup #1'!F19-'PT Assumptions'!F17*'Total Duration Tables Sup #2'!F170-'PT Assumptions'!F29*'Total Duration Tables Sup #2'!F173)*(1+'Other Assumptions'!J$45)-(F159*'Total Duration Tables Sup #1'!F16)*(1+'Other Assumptions'!J$45)*'Active Mode Assumptions'!F11*'Active Mode Assumptions'!F15-(F160*'Total Duration Tables Sup #1'!F17)*(1+'Other Assumptions'!J$45)*'Active Mode Assumptions'!F20*'Active Mode Assumptions'!F24</f>
        <v>201.25152166352842</v>
      </c>
      <c r="G19" s="4">
        <f ca="1">(G162*'Total Duration Tables Sup #1'!G19-'PT Assumptions'!G17*'Total Duration Tables Sup #2'!G170-'PT Assumptions'!G29*'Total Duration Tables Sup #2'!G173)*(1+'Other Assumptions'!K$45)-(G159*'Total Duration Tables Sup #1'!G16)*(1+'Other Assumptions'!K$45)*'Active Mode Assumptions'!G11*'Active Mode Assumptions'!G15-(G160*'Total Duration Tables Sup #1'!G17)*(1+'Other Assumptions'!K$45)*'Active Mode Assumptions'!G20*'Active Mode Assumptions'!G24</f>
        <v>213.76113349673039</v>
      </c>
      <c r="H19" s="4">
        <f ca="1">(H162*'Total Duration Tables Sup #1'!H19-'PT Assumptions'!H17*'Total Duration Tables Sup #2'!H170-'PT Assumptions'!H29*'Total Duration Tables Sup #2'!H173)*(1+'Other Assumptions'!L$45)-(H159*'Total Duration Tables Sup #1'!H16)*(1+'Other Assumptions'!L$45)*'Active Mode Assumptions'!H11*'Active Mode Assumptions'!H15-(H160*'Total Duration Tables Sup #1'!H17)*(1+'Other Assumptions'!L$45)*'Active Mode Assumptions'!H20*'Active Mode Assumptions'!H24</f>
        <v>225.02940995323925</v>
      </c>
      <c r="I19" s="4">
        <f ca="1">(I162*'Total Duration Tables Sup #1'!I19-'PT Assumptions'!I17*'Total Duration Tables Sup #2'!I170-'PT Assumptions'!I29*'Total Duration Tables Sup #2'!I173)*(1+'Other Assumptions'!M$45)-(I159*'Total Duration Tables Sup #1'!I16)*(1+'Other Assumptions'!M$45)*'Active Mode Assumptions'!I11*'Active Mode Assumptions'!I15-(I160*'Total Duration Tables Sup #1'!I17)*(1+'Other Assumptions'!M$45)*'Active Mode Assumptions'!I20*'Active Mode Assumptions'!I24</f>
        <v>239.12864152691762</v>
      </c>
      <c r="J19" s="4">
        <f ca="1">(J162*'Total Duration Tables Sup #1'!J19-'PT Assumptions'!J17*'Total Duration Tables Sup #2'!J170-'PT Assumptions'!J29*'Total Duration Tables Sup #2'!J173)*(1+'Other Assumptions'!N$45)-(J159*'Total Duration Tables Sup #1'!J16)*(1+'Other Assumptions'!N$45)*'Active Mode Assumptions'!J11*'Active Mode Assumptions'!J15-(J160*'Total Duration Tables Sup #1'!J17)*(1+'Other Assumptions'!N$45)*'Active Mode Assumptions'!J20*'Active Mode Assumptions'!J24</f>
        <v>256.98867888938787</v>
      </c>
      <c r="K19" s="4">
        <f ca="1">(K162*'Total Duration Tables Sup #1'!K19-'PT Assumptions'!K17*'Total Duration Tables Sup #2'!K170-'PT Assumptions'!K29*'Total Duration Tables Sup #2'!K173)*(1+'Other Assumptions'!O$45)-(K159*'Total Duration Tables Sup #1'!K16)*(1+'Other Assumptions'!O$45)*'Active Mode Assumptions'!K11*'Active Mode Assumptions'!K15-(K160*'Total Duration Tables Sup #1'!K17)*(1+'Other Assumptions'!O$45)*'Active Mode Assumptions'!K20*'Active Mode Assumptions'!K24</f>
        <v>275.56311827937657</v>
      </c>
    </row>
    <row r="20" spans="1:11" x14ac:dyDescent="0.2">
      <c r="A20" t="str">
        <f ca="1">OFFSET(Auckland_Reference,28,2)</f>
        <v>Taxi/Vehicle Share</v>
      </c>
      <c r="B20" s="4">
        <f ca="1">B163*'Total Duration Tables Sup #1'!B20*(1+'Other Assumptions'!D$45)</f>
        <v>1.9131795197999999</v>
      </c>
      <c r="C20" s="4">
        <f ca="1">C163*'Total Duration Tables Sup #1'!C20*(1+'Other Assumptions'!G$45)</f>
        <v>2.4054420129827396</v>
      </c>
      <c r="D20" s="4">
        <f ca="1">D163*'Total Duration Tables Sup #1'!D20*(1+'Other Assumptions'!H$45)</f>
        <v>2.9166257316262651</v>
      </c>
      <c r="E20" s="4">
        <f ca="1">E163*'Total Duration Tables Sup #1'!E20*(1+'Other Assumptions'!I$45)</f>
        <v>3.4089405788801082</v>
      </c>
      <c r="F20" s="4">
        <f ca="1">F163*'Total Duration Tables Sup #1'!F20*(1+'Other Assumptions'!J$45)</f>
        <v>3.8868832913953404</v>
      </c>
      <c r="G20" s="4">
        <f ca="1">G163*'Total Duration Tables Sup #1'!G20*(1+'Other Assumptions'!K$45)</f>
        <v>4.3172420137137557</v>
      </c>
      <c r="H20" s="4">
        <f ca="1">H163*'Total Duration Tables Sup #1'!H20*(1+'Other Assumptions'!L$45)</f>
        <v>4.728561114358885</v>
      </c>
      <c r="I20" s="4">
        <f ca="1">I163*'Total Duration Tables Sup #1'!I20*(1+'Other Assumptions'!M$45)</f>
        <v>5.0730787584613051</v>
      </c>
      <c r="J20" s="4">
        <f ca="1">J163*'Total Duration Tables Sup #1'!J20*(1+'Other Assumptions'!N$45)</f>
        <v>5.5006184005840941</v>
      </c>
      <c r="K20" s="4">
        <f ca="1">K163*'Total Duration Tables Sup #1'!K20*(1+'Other Assumptions'!O$45)</f>
        <v>5.9544831697523035</v>
      </c>
    </row>
    <row r="21" spans="1:11" x14ac:dyDescent="0.2">
      <c r="A21" t="str">
        <f ca="1">OFFSET(Auckland_Reference,35,2)</f>
        <v>Motorcyclist</v>
      </c>
      <c r="B21" s="4">
        <f ca="1">B164*'Total Duration Tables Sup #1'!B21*(1+'Other Assumptions'!D$45)</f>
        <v>1.5334409518000001</v>
      </c>
      <c r="C21" s="4">
        <f ca="1">C164*'Total Duration Tables Sup #1'!C21*(1+'Other Assumptions'!G$45)</f>
        <v>1.7979914174092433</v>
      </c>
      <c r="D21" s="4">
        <f ca="1">D164*'Total Duration Tables Sup #1'!D21*(1+'Other Assumptions'!H$45)</f>
        <v>2.031529494197144</v>
      </c>
      <c r="E21" s="4">
        <f ca="1">E164*'Total Duration Tables Sup #1'!E21*(1+'Other Assumptions'!I$45)</f>
        <v>2.2364008620804445</v>
      </c>
      <c r="F21" s="4">
        <f ca="1">F164*'Total Duration Tables Sup #1'!F21*(1+'Other Assumptions'!J$45)</f>
        <v>2.4161085395286981</v>
      </c>
      <c r="G21" s="4">
        <f ca="1">G164*'Total Duration Tables Sup #1'!G21*(1+'Other Assumptions'!K$45)</f>
        <v>2.5514111359611555</v>
      </c>
      <c r="H21" s="4">
        <f ca="1">H164*'Total Duration Tables Sup #1'!H21*(1+'Other Assumptions'!L$45)</f>
        <v>2.6607923477691076</v>
      </c>
      <c r="I21" s="4">
        <f ca="1">I164*'Total Duration Tables Sup #1'!I21*(1+'Other Assumptions'!M$45)</f>
        <v>2.8610494201708923</v>
      </c>
      <c r="J21" s="4">
        <f ca="1">J164*'Total Duration Tables Sup #1'!J21*(1+'Other Assumptions'!N$45)</f>
        <v>3.1084632188084802</v>
      </c>
      <c r="K21" s="4">
        <f ca="1">K164*'Total Duration Tables Sup #1'!K21*(1+'Other Assumptions'!O$45)</f>
        <v>3.3712900888583275</v>
      </c>
    </row>
    <row r="22" spans="1:11" x14ac:dyDescent="0.2">
      <c r="A22" t="str">
        <f ca="1">OFFSET(Auckland_Reference,42,2)</f>
        <v>Local Train</v>
      </c>
      <c r="B22" s="4">
        <f ca="1">'Total Duration Tables Sup #1'!B22*(1+'PT Assumptions'!B11)*(1+'Other Assumptions'!D$45)</f>
        <v>5.3839181294388831</v>
      </c>
      <c r="C22" s="4">
        <f ca="1">'Total Duration Tables Sup #1'!C22*(1+'PT Assumptions'!C11)*(1+'Other Assumptions'!G$45)</f>
        <v>11.868922774088624</v>
      </c>
      <c r="D22" s="4">
        <f ca="1">'Total Duration Tables Sup #1'!D22*(1+'PT Assumptions'!D11)*(1+'Other Assumptions'!H$45)</f>
        <v>23.012264259865574</v>
      </c>
      <c r="E22" s="4">
        <f ca="1">'Total Duration Tables Sup #1'!E22*(1+'PT Assumptions'!E11)*(1+'Other Assumptions'!I$45)</f>
        <v>34.588258245783379</v>
      </c>
      <c r="F22" s="4">
        <f ca="1">'Total Duration Tables Sup #1'!F22*(1+'PT Assumptions'!F11)*(1+'Other Assumptions'!J$45)</f>
        <v>40.182019322521889</v>
      </c>
      <c r="G22" s="4">
        <f ca="1">'Total Duration Tables Sup #1'!G22*(1+'PT Assumptions'!G11)*(1+'Other Assumptions'!K$45)</f>
        <v>45.882477590388369</v>
      </c>
      <c r="H22" s="4">
        <f ca="1">'Total Duration Tables Sup #1'!H22*(1+'PT Assumptions'!H11)*(1+'Other Assumptions'!L$45)</f>
        <v>51.53814491056432</v>
      </c>
      <c r="I22" s="4">
        <f ca="1">'Total Duration Tables Sup #1'!I22*(1+'PT Assumptions'!I11)*(1+'Other Assumptions'!M$45)</f>
        <v>58.997049931101287</v>
      </c>
      <c r="J22" s="4">
        <f ca="1">'Total Duration Tables Sup #1'!J22*(1+'PT Assumptions'!J11)*(1+'Other Assumptions'!N$45)</f>
        <v>68.125210881174439</v>
      </c>
      <c r="K22" s="4">
        <f ca="1">'Total Duration Tables Sup #1'!K22*(1+'PT Assumptions'!K11)*(1+'Other Assumptions'!O$45)</f>
        <v>78.700619869923258</v>
      </c>
    </row>
    <row r="23" spans="1:11" x14ac:dyDescent="0.2">
      <c r="A23" t="str">
        <f ca="1">OFFSET(Auckland_Reference,49,2)</f>
        <v>Local Bus</v>
      </c>
      <c r="B23" s="4">
        <f ca="1">'Total Duration Tables Sup #1'!B23*(1+'PT Assumptions'!B23)*(1+'Other Assumptions'!D$45)</f>
        <v>22.597670440041398</v>
      </c>
      <c r="C23" s="4">
        <f ca="1">'Total Duration Tables Sup #1'!C23*(1+'PT Assumptions'!C23)*(1+'Other Assumptions'!G$45)</f>
        <v>26.484368147755362</v>
      </c>
      <c r="D23" s="4">
        <f ca="1">'Total Duration Tables Sup #1'!D23*(1+'PT Assumptions'!D23)*(1+'Other Assumptions'!H$45)</f>
        <v>33.917328727724119</v>
      </c>
      <c r="E23" s="4">
        <f ca="1">'Total Duration Tables Sup #1'!E23*(1+'PT Assumptions'!E23)*(1+'Other Assumptions'!I$45)</f>
        <v>41.309986565012728</v>
      </c>
      <c r="F23" s="4">
        <f ca="1">'Total Duration Tables Sup #1'!F23*(1+'PT Assumptions'!F23)*(1+'Other Assumptions'!J$45)</f>
        <v>44.932587511796008</v>
      </c>
      <c r="G23" s="4">
        <f ca="1">'Total Duration Tables Sup #1'!G23*(1+'PT Assumptions'!G23)*(1+'Other Assumptions'!K$45)</f>
        <v>48.520410682631478</v>
      </c>
      <c r="H23" s="4">
        <f ca="1">'Total Duration Tables Sup #1'!H23*(1+'PT Assumptions'!H23)*(1+'Other Assumptions'!L$45)</f>
        <v>51.694858279282471</v>
      </c>
      <c r="I23" s="4">
        <f ca="1">'Total Duration Tables Sup #1'!I23*(1+'PT Assumptions'!I23)*(1+'Other Assumptions'!M$45)</f>
        <v>58.060669832477409</v>
      </c>
      <c r="J23" s="4">
        <f ca="1">'Total Duration Tables Sup #1'!J23*(1+'PT Assumptions'!J23)*(1+'Other Assumptions'!N$45)</f>
        <v>65.874967861576621</v>
      </c>
      <c r="K23" s="4">
        <f ca="1">'Total Duration Tables Sup #1'!K23*(1+'PT Assumptions'!K23)*(1+'Other Assumptions'!O$45)</f>
        <v>74.774156117825484</v>
      </c>
    </row>
    <row r="24" spans="1:11" x14ac:dyDescent="0.2">
      <c r="A24" t="str">
        <f ca="1">OFFSET(Auckland_Reference,56,2)</f>
        <v>Local Ferry</v>
      </c>
      <c r="B24" s="4">
        <f ca="1">B167*'Total Duration Tables Sup #1'!B24*(1+'PT Assumptions'!B34)*(1+'Other Assumptions'!D$45)</f>
        <v>1.3948644118033415</v>
      </c>
      <c r="C24" s="4">
        <f ca="1">C167*'Total Duration Tables Sup #1'!C24*(1+'PT Assumptions'!C34)*(1+'Other Assumptions'!G$45)</f>
        <v>1.7936984460321812</v>
      </c>
      <c r="D24" s="4">
        <f ca="1">D167*'Total Duration Tables Sup #1'!D24*(1+'PT Assumptions'!D34)*(1+'Other Assumptions'!H$45)</f>
        <v>1.9721352548659885</v>
      </c>
      <c r="E24" s="4">
        <f ca="1">E167*'Total Duration Tables Sup #1'!E24*(1+'PT Assumptions'!E34)*(1+'Other Assumptions'!I$45)</f>
        <v>2.1775173553913039</v>
      </c>
      <c r="F24" s="4">
        <f ca="1">F167*'Total Duration Tables Sup #1'!F24*(1+'PT Assumptions'!F34)*(1+'Other Assumptions'!J$45)</f>
        <v>2.3444387419926906</v>
      </c>
      <c r="G24" s="4">
        <f ca="1">G167*'Total Duration Tables Sup #1'!G24*(1+'PT Assumptions'!G34)*(1+'Other Assumptions'!K$45)</f>
        <v>2.5446083135759112</v>
      </c>
      <c r="H24" s="4">
        <f ca="1">H167*'Total Duration Tables Sup #1'!H24*(1+'PT Assumptions'!H34)*(1+'Other Assumptions'!L$45)</f>
        <v>2.7110202977820137</v>
      </c>
      <c r="I24" s="4">
        <f ca="1">I167*'Total Duration Tables Sup #1'!I24*(1+'PT Assumptions'!I34)*(1+'Other Assumptions'!M$45)</f>
        <v>2.8633270837544149</v>
      </c>
      <c r="J24" s="4">
        <f ca="1">J167*'Total Duration Tables Sup #1'!J24*(1+'PT Assumptions'!J34)*(1+'Other Assumptions'!N$45)</f>
        <v>3.0419905310476381</v>
      </c>
      <c r="K24" s="4">
        <f ca="1">K167*'Total Duration Tables Sup #1'!K24*(1+'PT Assumptions'!K34)*(1+'Other Assumptions'!O$45)</f>
        <v>3.2277193977145324</v>
      </c>
    </row>
    <row r="25" spans="1:11" x14ac:dyDescent="0.2">
      <c r="A25" t="str">
        <f ca="1">OFFSET(Auckland_Reference,63,2)</f>
        <v>Other Household Travel</v>
      </c>
      <c r="B25" s="4">
        <f ca="1">B168*'Total Duration Tables Sup #1'!B25*(1+'Other Assumptions'!D$45)</f>
        <v>2.4325058500000001</v>
      </c>
      <c r="C25" s="4">
        <f ca="1">C168*'Total Duration Tables Sup #1'!C25*(1+'Other Assumptions'!G$45)</f>
        <v>2.9377985446262764</v>
      </c>
      <c r="D25" s="4">
        <f ca="1">D168*'Total Duration Tables Sup #1'!D25*(1+'Other Assumptions'!H$45)</f>
        <v>3.295017052514333</v>
      </c>
      <c r="E25" s="4">
        <f ca="1">E168*'Total Duration Tables Sup #1'!E25*(1+'Other Assumptions'!I$45)</f>
        <v>3.6216940033326459</v>
      </c>
      <c r="F25" s="4">
        <f ca="1">F168*'Total Duration Tables Sup #1'!F25*(1+'Other Assumptions'!J$45)</f>
        <v>3.9012354890237968</v>
      </c>
      <c r="G25" s="4">
        <f ca="1">G168*'Total Duration Tables Sup #1'!G25*(1+'Other Assumptions'!K$45)</f>
        <v>4.1822633746275235</v>
      </c>
      <c r="H25" s="4">
        <f ca="1">H168*'Total Duration Tables Sup #1'!H25*(1+'Other Assumptions'!L$45)</f>
        <v>4.4139886896476241</v>
      </c>
      <c r="I25" s="4">
        <f ca="1">I168*'Total Duration Tables Sup #1'!I25*(1+'Other Assumptions'!M$45)</f>
        <v>4.7138244942066976</v>
      </c>
      <c r="J25" s="4">
        <f ca="1">J168*'Total Duration Tables Sup #1'!J25*(1+'Other Assumptions'!N$45)</f>
        <v>5.0806356664602985</v>
      </c>
      <c r="K25" s="4">
        <f ca="1">K168*'Total Duration Tables Sup #1'!K25*(1+'Other Assumptions'!O$45)</f>
        <v>5.4672814178871416</v>
      </c>
    </row>
    <row r="26" spans="1:11" x14ac:dyDescent="0.2">
      <c r="A26" t="str">
        <f ca="1">OFFSET(Waikato_Reference,0,0)</f>
        <v>03 WAIKATO</v>
      </c>
    </row>
    <row r="27" spans="1:11" x14ac:dyDescent="0.2">
      <c r="A27" t="str">
        <f ca="1">OFFSET(Waikato_Reference,0,2)</f>
        <v>Pedestrian</v>
      </c>
      <c r="B27" s="4">
        <f ca="1">B159*'Total Duration Tables Sup #1'!B27*(1+'Other Assumptions'!D$46)*(1+'Active Mode Assumptions'!B11)</f>
        <v>13.69170819</v>
      </c>
      <c r="C27" s="4">
        <f ca="1">C159*'Total Duration Tables Sup #1'!C27*(1+'Other Assumptions'!G$46)*(1+'Active Mode Assumptions'!C11)</f>
        <v>15.609287934665877</v>
      </c>
      <c r="D27" s="4">
        <f ca="1">D159*'Total Duration Tables Sup #1'!D27*(1+'Other Assumptions'!H$46)*(1+'Active Mode Assumptions'!D11)</f>
        <v>17.592408695342037</v>
      </c>
      <c r="E27" s="4">
        <f ca="1">E159*'Total Duration Tables Sup #1'!E27*(1+'Other Assumptions'!I$46)*(1+'Active Mode Assumptions'!E11)</f>
        <v>19.313191522612712</v>
      </c>
      <c r="F27" s="4">
        <f ca="1">F159*'Total Duration Tables Sup #1'!F27*(1+'Other Assumptions'!J$46)*(1+'Active Mode Assumptions'!F11)</f>
        <v>20.94178071174721</v>
      </c>
      <c r="G27" s="4">
        <f ca="1">G159*'Total Duration Tables Sup #1'!G27*(1+'Other Assumptions'!K$46)*(1+'Active Mode Assumptions'!G11)</f>
        <v>22.583168719474422</v>
      </c>
      <c r="H27" s="4">
        <f ca="1">H159*'Total Duration Tables Sup #1'!H27*(1+'Other Assumptions'!L$46)*(1+'Active Mode Assumptions'!H11)</f>
        <v>24.139985933398076</v>
      </c>
      <c r="I27" s="4">
        <f ca="1">I159*'Total Duration Tables Sup #1'!I27*(1+'Other Assumptions'!M$46)*(1+'Active Mode Assumptions'!I11)</f>
        <v>25.907759709145871</v>
      </c>
      <c r="J27" s="4">
        <f ca="1">J159*'Total Duration Tables Sup #1'!J27*(1+'Other Assumptions'!N$46)*(1+'Active Mode Assumptions'!J11)</f>
        <v>28.095204905230705</v>
      </c>
      <c r="K27" s="4">
        <f ca="1">K159*'Total Duration Tables Sup #1'!K27*(1+'Other Assumptions'!O$46)*(1+'Active Mode Assumptions'!K11)</f>
        <v>30.416356708538352</v>
      </c>
    </row>
    <row r="28" spans="1:11" x14ac:dyDescent="0.2">
      <c r="A28" t="str">
        <f ca="1">OFFSET(Waikato_Reference,7,2)</f>
        <v>Cyclist</v>
      </c>
      <c r="B28" s="4">
        <f ca="1">B160*'Total Duration Tables Sup #1'!B28*(1+'Other Assumptions'!D$46)*(1+'Active Mode Assumptions'!B20)</f>
        <v>1.7805943500000001</v>
      </c>
      <c r="C28" s="4">
        <f ca="1">C160*'Total Duration Tables Sup #1'!C28*(1+'Other Assumptions'!G$46)*(1+'Active Mode Assumptions'!C20)</f>
        <v>2.0644337521620484</v>
      </c>
      <c r="D28" s="4">
        <f ca="1">D160*'Total Duration Tables Sup #1'!D28*(1+'Other Assumptions'!H$46)*(1+'Active Mode Assumptions'!D20)</f>
        <v>2.6308992530804445</v>
      </c>
      <c r="E28" s="4">
        <f ca="1">E160*'Total Duration Tables Sup #1'!E28*(1+'Other Assumptions'!I$46)*(1+'Active Mode Assumptions'!E20)</f>
        <v>3.1519911653112307</v>
      </c>
      <c r="F28" s="4">
        <f ca="1">F160*'Total Duration Tables Sup #1'!F28*(1+'Other Assumptions'!J$46)*(1+'Active Mode Assumptions'!F20)</f>
        <v>3.7668864944274878</v>
      </c>
      <c r="G28" s="4">
        <f ca="1">G160*'Total Duration Tables Sup #1'!G28*(1+'Other Assumptions'!K$46)*(1+'Active Mode Assumptions'!G20)</f>
        <v>4.5076619952108006</v>
      </c>
      <c r="H28" s="4">
        <f ca="1">H160*'Total Duration Tables Sup #1'!H28*(1+'Other Assumptions'!L$46)*(1+'Active Mode Assumptions'!H20)</f>
        <v>5.3353637010641393</v>
      </c>
      <c r="I28" s="4">
        <f ca="1">I160*'Total Duration Tables Sup #1'!I28*(1+'Other Assumptions'!M$46)*(1+'Active Mode Assumptions'!I20)</f>
        <v>5.7656645547101553</v>
      </c>
      <c r="J28" s="4">
        <f ca="1">J160*'Total Duration Tables Sup #1'!J28*(1+'Other Assumptions'!N$46)*(1+'Active Mode Assumptions'!J20)</f>
        <v>6.3133296771046012</v>
      </c>
      <c r="K28" s="4">
        <f ca="1">K160*'Total Duration Tables Sup #1'!K28*(1+'Other Assumptions'!O$46)*(1+'Active Mode Assumptions'!K20)</f>
        <v>6.9027496802851278</v>
      </c>
    </row>
    <row r="29" spans="1:11" x14ac:dyDescent="0.2">
      <c r="A29" t="str">
        <f ca="1">OFFSET(Waikato_Reference,14,2)</f>
        <v>Light Vehicle Driver</v>
      </c>
      <c r="B29" s="4">
        <f ca="1">B161*'Total Duration Tables Sup #1'!B29*(1+'Other Assumptions'!D$46)-(B27*'Active Mode Assumptions'!B11*'Active Mode Assumptions'!B14/(1+'Active Mode Assumptions'!B11))-(B28*'Active Mode Assumptions'!B20*'Active Mode Assumptions'!B23/(1+'Active Mode Assumptions'!B20))</f>
        <v>82.274552721999996</v>
      </c>
      <c r="C29" s="4">
        <f ca="1">C161*'Total Duration Tables Sup #1'!C29*(1+'Other Assumptions'!G$46)-(C27*'Active Mode Assumptions'!C11*'Active Mode Assumptions'!C14/(1+'Active Mode Assumptions'!C11))-(C28*'Active Mode Assumptions'!C20*'Active Mode Assumptions'!C23/(1+'Active Mode Assumptions'!C20))</f>
        <v>98.049716634550222</v>
      </c>
      <c r="D29" s="4">
        <f ca="1">D161*'Total Duration Tables Sup #1'!D29*(1+'Other Assumptions'!H$46)-(D27*'Active Mode Assumptions'!D11*'Active Mode Assumptions'!D14/(1+'Active Mode Assumptions'!D11))-(D28*'Active Mode Assumptions'!D20*'Active Mode Assumptions'!D23/(1+'Active Mode Assumptions'!D20))</f>
        <v>110.63806345356952</v>
      </c>
      <c r="E29" s="4">
        <f ca="1">E161*'Total Duration Tables Sup #1'!E29*(1+'Other Assumptions'!I$46)-(E27*'Active Mode Assumptions'!E11*'Active Mode Assumptions'!E14/(1+'Active Mode Assumptions'!E11))-(E28*'Active Mode Assumptions'!E20*'Active Mode Assumptions'!E23/(1+'Active Mode Assumptions'!E20))</f>
        <v>123.50663293362959</v>
      </c>
      <c r="F29" s="4">
        <f ca="1">F161*'Total Duration Tables Sup #1'!F29*(1+'Other Assumptions'!J$46)-(F27*'Active Mode Assumptions'!F11*'Active Mode Assumptions'!F14/(1+'Active Mode Assumptions'!F11))-(F28*'Active Mode Assumptions'!F20*'Active Mode Assumptions'!F23/(1+'Active Mode Assumptions'!F20))</f>
        <v>135.93745320559262</v>
      </c>
      <c r="G29" s="4">
        <f ca="1">G161*'Total Duration Tables Sup #1'!G29*(1+'Other Assumptions'!K$46)-(G27*'Active Mode Assumptions'!G11*'Active Mode Assumptions'!G14/(1+'Active Mode Assumptions'!G11))-(G28*'Active Mode Assumptions'!G20*'Active Mode Assumptions'!G23/(1+'Active Mode Assumptions'!G20))</f>
        <v>147.54113411509161</v>
      </c>
      <c r="H29" s="4">
        <f ca="1">H161*'Total Duration Tables Sup #1'!H29*(1+'Other Assumptions'!L$46)-(H27*'Active Mode Assumptions'!H11*'Active Mode Assumptions'!H14/(1+'Active Mode Assumptions'!H11))-(H28*'Active Mode Assumptions'!H20*'Active Mode Assumptions'!H23/(1+'Active Mode Assumptions'!H20))</f>
        <v>158.38667573409987</v>
      </c>
      <c r="I29" s="4">
        <f ca="1">I161*'Total Duration Tables Sup #1'!I29*(1+'Other Assumptions'!M$46)-(I27*'Active Mode Assumptions'!I11*'Active Mode Assumptions'!I14/(1+'Active Mode Assumptions'!I11))-(I28*'Active Mode Assumptions'!I20*'Active Mode Assumptions'!I23/(1+'Active Mode Assumptions'!I20))</f>
        <v>169.66345517618785</v>
      </c>
      <c r="J29" s="4">
        <f ca="1">J161*'Total Duration Tables Sup #1'!J29*(1+'Other Assumptions'!N$46)-(J27*'Active Mode Assumptions'!J11*'Active Mode Assumptions'!J14/(1+'Active Mode Assumptions'!J11))-(J28*'Active Mode Assumptions'!J20*'Active Mode Assumptions'!J23/(1+'Active Mode Assumptions'!J20))</f>
        <v>183.5306811663869</v>
      </c>
      <c r="K29" s="4">
        <f ca="1">K161*'Total Duration Tables Sup #1'!K29*(1+'Other Assumptions'!O$46)-(K27*'Active Mode Assumptions'!K11*'Active Mode Assumptions'!K14/(1+'Active Mode Assumptions'!K11))-(K28*'Active Mode Assumptions'!K20*'Active Mode Assumptions'!K23/(1+'Active Mode Assumptions'!K20))</f>
        <v>198.19805079033239</v>
      </c>
    </row>
    <row r="30" spans="1:11" x14ac:dyDescent="0.2">
      <c r="A30" t="str">
        <f ca="1">OFFSET(Waikato_Reference,21,2)</f>
        <v>Light Vehicle Passenger</v>
      </c>
      <c r="B30" s="4">
        <f ca="1">B162*'Total Duration Tables Sup #1'!B30*(1+'Other Assumptions'!D$46)-(B27*'Active Mode Assumptions'!B11*'Active Mode Assumptions'!B15/(1+'Active Mode Assumptions'!B11))-(B28*'Active Mode Assumptions'!B20*'Active Mode Assumptions'!B24/(1+'Active Mode Assumptions'!B20))</f>
        <v>42.037273755000001</v>
      </c>
      <c r="C30" s="4">
        <f ca="1">C162*'Total Duration Tables Sup #1'!C30*(1+'Other Assumptions'!G$46)-(C27*'Active Mode Assumptions'!C11*'Active Mode Assumptions'!C15/(1+'Active Mode Assumptions'!C11))-(C28*'Active Mode Assumptions'!C20*'Active Mode Assumptions'!C24/(1+'Active Mode Assumptions'!C20))</f>
        <v>47.798222015603237</v>
      </c>
      <c r="D30" s="4">
        <f ca="1">D162*'Total Duration Tables Sup #1'!D30*(1+'Other Assumptions'!H$46)-(D27*'Active Mode Assumptions'!D11*'Active Mode Assumptions'!D15/(1+'Active Mode Assumptions'!D11))-(D28*'Active Mode Assumptions'!D20*'Active Mode Assumptions'!D24/(1+'Active Mode Assumptions'!D20))</f>
        <v>53.136452513335506</v>
      </c>
      <c r="E30" s="4">
        <f ca="1">E162*'Total Duration Tables Sup #1'!E30*(1+'Other Assumptions'!I$46)-(E27*'Active Mode Assumptions'!E11*'Active Mode Assumptions'!E15/(1+'Active Mode Assumptions'!E11))-(E28*'Active Mode Assumptions'!E20*'Active Mode Assumptions'!E24/(1+'Active Mode Assumptions'!E20))</f>
        <v>58.288476885000733</v>
      </c>
      <c r="F30" s="4">
        <f ca="1">F162*'Total Duration Tables Sup #1'!F30*(1+'Other Assumptions'!J$46)-(F27*'Active Mode Assumptions'!F11*'Active Mode Assumptions'!F15/(1+'Active Mode Assumptions'!F11))-(F28*'Active Mode Assumptions'!F20*'Active Mode Assumptions'!F24/(1+'Active Mode Assumptions'!F20))</f>
        <v>63.198313256618491</v>
      </c>
      <c r="G30" s="4">
        <f ca="1">G162*'Total Duration Tables Sup #1'!G30*(1+'Other Assumptions'!K$46)-(G27*'Active Mode Assumptions'!G11*'Active Mode Assumptions'!G15/(1+'Active Mode Assumptions'!G11))-(G28*'Active Mode Assumptions'!G20*'Active Mode Assumptions'!G24/(1+'Active Mode Assumptions'!G20))</f>
        <v>67.930133063573834</v>
      </c>
      <c r="H30" s="4">
        <f ca="1">H162*'Total Duration Tables Sup #1'!H30*(1+'Other Assumptions'!L$46)-(H27*'Active Mode Assumptions'!H11*'Active Mode Assumptions'!H15/(1+'Active Mode Assumptions'!H11))-(H28*'Active Mode Assumptions'!H20*'Active Mode Assumptions'!H24/(1+'Active Mode Assumptions'!H20))</f>
        <v>72.365676090708291</v>
      </c>
      <c r="I30" s="4">
        <f ca="1">I162*'Total Duration Tables Sup #1'!I30*(1+'Other Assumptions'!M$46)-(I27*'Active Mode Assumptions'!I11*'Active Mode Assumptions'!I15/(1+'Active Mode Assumptions'!I11))-(I28*'Active Mode Assumptions'!I20*'Active Mode Assumptions'!I24/(1+'Active Mode Assumptions'!I20))</f>
        <v>77.571783879296888</v>
      </c>
      <c r="J30" s="4">
        <f ca="1">J162*'Total Duration Tables Sup #1'!J30*(1+'Other Assumptions'!N$46)-(J27*'Active Mode Assumptions'!J11*'Active Mode Assumptions'!J15/(1+'Active Mode Assumptions'!J11))-(J28*'Active Mode Assumptions'!J20*'Active Mode Assumptions'!J24/(1+'Active Mode Assumptions'!J20))</f>
        <v>83.979671551423124</v>
      </c>
      <c r="K30" s="4">
        <f ca="1">K162*'Total Duration Tables Sup #1'!K30*(1+'Other Assumptions'!O$46)-(K27*'Active Mode Assumptions'!K11*'Active Mode Assumptions'!K15/(1+'Active Mode Assumptions'!K11))-(K28*'Active Mode Assumptions'!K20*'Active Mode Assumptions'!K24/(1+'Active Mode Assumptions'!K20))</f>
        <v>90.762455736446654</v>
      </c>
    </row>
    <row r="31" spans="1:11" x14ac:dyDescent="0.2">
      <c r="A31" t="str">
        <f ca="1">OFFSET(Waikato_Reference,28,2)</f>
        <v>Taxi/Vehicle Share</v>
      </c>
      <c r="B31" s="4">
        <f ca="1">B163*'Total Duration Tables Sup #1'!B31*(1+'Other Assumptions'!D$46)</f>
        <v>0.1633822556</v>
      </c>
      <c r="C31" s="4">
        <f ca="1">C163*'Total Duration Tables Sup #1'!C31*(1+'Other Assumptions'!G$46)</f>
        <v>0.20542062975732076</v>
      </c>
      <c r="D31" s="4">
        <f ca="1">D163*'Total Duration Tables Sup #1'!D31*(1+'Other Assumptions'!H$46)</f>
        <v>0.2490748441755819</v>
      </c>
      <c r="E31" s="4">
        <f ca="1">E163*'Total Duration Tables Sup #1'!E31*(1+'Other Assumptions'!I$46)</f>
        <v>0.29111768928094395</v>
      </c>
      <c r="F31" s="4">
        <f ca="1">F163*'Total Duration Tables Sup #1'!F31*(1+'Other Assumptions'!J$46)</f>
        <v>0.33193317868493039</v>
      </c>
      <c r="G31" s="4">
        <f ca="1">G163*'Total Duration Tables Sup #1'!G31*(1+'Other Assumptions'!K$46)</f>
        <v>0.36868507679058604</v>
      </c>
      <c r="H31" s="4">
        <f ca="1">H163*'Total Duration Tables Sup #1'!H31*(1+'Other Assumptions'!L$46)</f>
        <v>0.40381102380144979</v>
      </c>
      <c r="I31" s="4">
        <f ca="1">I163*'Total Duration Tables Sup #1'!I31*(1+'Other Assumptions'!M$46)</f>
        <v>0.43323224078862288</v>
      </c>
      <c r="J31" s="4">
        <f ca="1">J163*'Total Duration Tables Sup #1'!J31*(1+'Other Assumptions'!N$46)</f>
        <v>0.46974339427187806</v>
      </c>
      <c r="K31" s="4">
        <f ca="1">K163*'Total Duration Tables Sup #1'!K31*(1+'Other Assumptions'!O$46)</f>
        <v>0.50850266853581516</v>
      </c>
    </row>
    <row r="32" spans="1:11" x14ac:dyDescent="0.2">
      <c r="A32" t="str">
        <f ca="1">OFFSET(Waikato_Reference,35,2)</f>
        <v>Motorcyclist</v>
      </c>
      <c r="B32" s="4">
        <f ca="1">B164*'Total Duration Tables Sup #1'!B32*(1+'Other Assumptions'!D$46)</f>
        <v>0.60639269429999998</v>
      </c>
      <c r="C32" s="4">
        <f ca="1">C164*'Total Duration Tables Sup #1'!C32*(1+'Other Assumptions'!G$46)</f>
        <v>0.71100804934891837</v>
      </c>
      <c r="D32" s="4">
        <f ca="1">D164*'Total Duration Tables Sup #1'!D32*(1+'Other Assumptions'!H$46)</f>
        <v>0.80335968730329954</v>
      </c>
      <c r="E32" s="4">
        <f ca="1">E164*'Total Duration Tables Sup #1'!E32*(1+'Other Assumptions'!I$46)</f>
        <v>0.88437519729724723</v>
      </c>
      <c r="F32" s="4">
        <f ca="1">F164*'Total Duration Tables Sup #1'!F32*(1+'Other Assumptions'!J$46)</f>
        <v>0.95543983306709879</v>
      </c>
      <c r="G32" s="4">
        <f ca="1">G164*'Total Duration Tables Sup #1'!G32*(1+'Other Assumptions'!K$46)</f>
        <v>1.008944668646294</v>
      </c>
      <c r="H32" s="4">
        <f ca="1">H164*'Total Duration Tables Sup #1'!H32*(1+'Other Assumptions'!L$46)</f>
        <v>1.0521990030607784</v>
      </c>
      <c r="I32" s="4">
        <f ca="1">I164*'Total Duration Tables Sup #1'!I32*(1+'Other Assumptions'!M$46)</f>
        <v>1.1313898095563304</v>
      </c>
      <c r="J32" s="4">
        <f ca="1">J164*'Total Duration Tables Sup #1'!J32*(1+'Other Assumptions'!N$46)</f>
        <v>1.2292285426270331</v>
      </c>
      <c r="K32" s="4">
        <f ca="1">K164*'Total Duration Tables Sup #1'!K32*(1+'Other Assumptions'!O$46)</f>
        <v>1.3331623091518428</v>
      </c>
    </row>
    <row r="33" spans="1:11" x14ac:dyDescent="0.2">
      <c r="A33" t="str">
        <f ca="1">OFFSET(Waikato_Reference,42,2)</f>
        <v>Local Train</v>
      </c>
      <c r="B33" s="4">
        <f ca="1">B165*'Total Duration Tables Sup #1'!B33*(1+'Other Assumptions'!D$46)</f>
        <v>0</v>
      </c>
      <c r="C33" s="4">
        <f ca="1">C165*'Total Duration Tables Sup #1'!C33*(1+'Other Assumptions'!G$46)</f>
        <v>0</v>
      </c>
      <c r="D33" s="4">
        <f ca="1">D165*'Total Duration Tables Sup #1'!D33*(1+'Other Assumptions'!H$46)</f>
        <v>0</v>
      </c>
      <c r="E33" s="4">
        <f ca="1">E165*'Total Duration Tables Sup #1'!E33*(1+'Other Assumptions'!I$46)</f>
        <v>0</v>
      </c>
      <c r="F33" s="4">
        <f ca="1">F165*'Total Duration Tables Sup #1'!F33*(1+'Other Assumptions'!J$46)</f>
        <v>0</v>
      </c>
      <c r="G33" s="4">
        <f ca="1">G165*'Total Duration Tables Sup #1'!G33*(1+'Other Assumptions'!K$46)</f>
        <v>0</v>
      </c>
      <c r="H33" s="4">
        <f ca="1">H165*'Total Duration Tables Sup #1'!H33*(1+'Other Assumptions'!L$46)</f>
        <v>0</v>
      </c>
      <c r="I33" s="4">
        <f ca="1">I165*'Total Duration Tables Sup #1'!I33*(1+'Other Assumptions'!M$46)</f>
        <v>0</v>
      </c>
      <c r="J33" s="4">
        <f ca="1">J165*'Total Duration Tables Sup #1'!J33*(1+'Other Assumptions'!N$46)</f>
        <v>0</v>
      </c>
      <c r="K33" s="4">
        <f ca="1">K165*'Total Duration Tables Sup #1'!K33*(1+'Other Assumptions'!O$46)</f>
        <v>0</v>
      </c>
    </row>
    <row r="34" spans="1:11" x14ac:dyDescent="0.2">
      <c r="A34" t="str">
        <f ca="1">OFFSET(Waikato_Reference,49,2)</f>
        <v>Local Bus</v>
      </c>
      <c r="B34" s="4">
        <f ca="1">B166*'Total Duration Tables Sup #1'!B34*(1+'Other Assumptions'!D$46)</f>
        <v>2.2088814398999999</v>
      </c>
      <c r="C34" s="4">
        <f ca="1">C166*'Total Duration Tables Sup #1'!C34*(1+'Other Assumptions'!G$46)</f>
        <v>2.2698248994428072</v>
      </c>
      <c r="D34" s="4">
        <f ca="1">D166*'Total Duration Tables Sup #1'!D34*(1+'Other Assumptions'!H$46)</f>
        <v>2.5123759354681732</v>
      </c>
      <c r="E34" s="4">
        <f ca="1">E166*'Total Duration Tables Sup #1'!E34*(1+'Other Assumptions'!I$46)</f>
        <v>2.7013448489492817</v>
      </c>
      <c r="F34" s="4">
        <f ca="1">F166*'Total Duration Tables Sup #1'!F34*(1+'Other Assumptions'!J$46)</f>
        <v>2.8801198836651705</v>
      </c>
      <c r="G34" s="4">
        <f ca="1">G166*'Total Duration Tables Sup #1'!G34*(1+'Other Assumptions'!K$46)</f>
        <v>3.0823544470159714</v>
      </c>
      <c r="H34" s="4">
        <f ca="1">H166*'Total Duration Tables Sup #1'!H34*(1+'Other Assumptions'!L$46)</f>
        <v>3.2871585804300536</v>
      </c>
      <c r="I34" s="4">
        <f ca="1">I166*'Total Duration Tables Sup #1'!I34*(1+'Other Assumptions'!M$46)</f>
        <v>3.5280490162314453</v>
      </c>
      <c r="J34" s="4">
        <f ca="1">J166*'Total Duration Tables Sup #1'!J34*(1+'Other Assumptions'!N$46)</f>
        <v>3.8249268074164853</v>
      </c>
      <c r="K34" s="4">
        <f ca="1">K166*'Total Duration Tables Sup #1'!K34*(1+'Other Assumptions'!O$46)</f>
        <v>4.139611754851793</v>
      </c>
    </row>
    <row r="35" spans="1:11" x14ac:dyDescent="0.2">
      <c r="A35" t="str">
        <f ca="1">OFFSET(Waikato_Reference,56,2)</f>
        <v>Local Ferry</v>
      </c>
      <c r="B35" s="4">
        <f ca="1">B167*'Total Duration Tables Sup #1'!B35*(1+'Other Assumptions'!D$46)</f>
        <v>9.334266179999999E-2</v>
      </c>
      <c r="C35" s="4">
        <f ca="1">C167*'Total Duration Tables Sup #1'!C35*(1+'Other Assumptions'!G$46)</f>
        <v>0.12003215940014444</v>
      </c>
      <c r="D35" s="4">
        <f ca="1">D167*'Total Duration Tables Sup #1'!D35*(1+'Other Assumptions'!H$46)</f>
        <v>0.1319729376999593</v>
      </c>
      <c r="E35" s="4">
        <f ca="1">E167*'Total Duration Tables Sup #1'!E35*(1+'Other Assumptions'!I$46)</f>
        <v>0.14571686276312953</v>
      </c>
      <c r="F35" s="4">
        <f ca="1">F167*'Total Duration Tables Sup #1'!F35*(1+'Other Assumptions'!J$46)</f>
        <v>0.15688704274971088</v>
      </c>
      <c r="G35" s="4">
        <f ca="1">G167*'Total Duration Tables Sup #1'!G35*(1+'Other Assumptions'!K$46)</f>
        <v>0.1702821515967331</v>
      </c>
      <c r="H35" s="4">
        <f ca="1">H167*'Total Duration Tables Sup #1'!H35*(1+'Other Assumptions'!L$46)</f>
        <v>0.18141824298294534</v>
      </c>
      <c r="I35" s="4">
        <f ca="1">I167*'Total Duration Tables Sup #1'!I35*(1+'Other Assumptions'!M$46)</f>
        <v>0.19161043133656949</v>
      </c>
      <c r="J35" s="4">
        <f ca="1">J167*'Total Duration Tables Sup #1'!J35*(1+'Other Assumptions'!N$46)</f>
        <v>0.20356637601161701</v>
      </c>
      <c r="K35" s="4">
        <f ca="1">K167*'Total Duration Tables Sup #1'!K35*(1+'Other Assumptions'!O$46)</f>
        <v>0.21599513011924526</v>
      </c>
    </row>
    <row r="36" spans="1:11" x14ac:dyDescent="0.2">
      <c r="A36" t="str">
        <f ca="1">OFFSET(Waikato_Reference,63,2)</f>
        <v>Other Household Travel</v>
      </c>
      <c r="B36" s="4">
        <f ca="1">B168*'Total Duration Tables Sup #1'!B36*(1+'Other Assumptions'!D$46)</f>
        <v>0.63404452519999999</v>
      </c>
      <c r="C36" s="4">
        <f ca="1">C168*'Total Duration Tables Sup #1'!C36*(1+'Other Assumptions'!G$46)</f>
        <v>0.7657515328733201</v>
      </c>
      <c r="D36" s="4">
        <f ca="1">D168*'Total Duration Tables Sup #1'!D36*(1+'Other Assumptions'!H$46)</f>
        <v>0.85886228088099104</v>
      </c>
      <c r="E36" s="4">
        <f ca="1">E168*'Total Duration Tables Sup #1'!E36*(1+'Other Assumptions'!I$46)</f>
        <v>0.94401222293575793</v>
      </c>
      <c r="F36" s="4">
        <f ca="1">F168*'Total Duration Tables Sup #1'!F36*(1+'Other Assumptions'!J$46)</f>
        <v>1.0168760758916502</v>
      </c>
      <c r="G36" s="4">
        <f ca="1">G168*'Total Duration Tables Sup #1'!G36*(1+'Other Assumptions'!K$46)</f>
        <v>1.0901273662413011</v>
      </c>
      <c r="H36" s="4">
        <f ca="1">H168*'Total Duration Tables Sup #1'!H36*(1+'Other Assumptions'!L$46)</f>
        <v>1.1505277008751273</v>
      </c>
      <c r="I36" s="4">
        <f ca="1">I168*'Total Duration Tables Sup #1'!I36*(1+'Other Assumptions'!M$46)</f>
        <v>1.2286813671200072</v>
      </c>
      <c r="J36" s="4">
        <f ca="1">J168*'Total Duration Tables Sup #1'!J36*(1+'Other Assumptions'!N$46)</f>
        <v>1.3242924899255661</v>
      </c>
      <c r="K36" s="4">
        <f ca="1">K168*'Total Duration Tables Sup #1'!K36*(1+'Other Assumptions'!O$46)</f>
        <v>1.4250735926242624</v>
      </c>
    </row>
    <row r="37" spans="1:11" x14ac:dyDescent="0.2">
      <c r="A37" t="str">
        <f ca="1">OFFSET(BOP_Reference,0,0)</f>
        <v>04 BAY OF PLENTY</v>
      </c>
    </row>
    <row r="38" spans="1:11" x14ac:dyDescent="0.2">
      <c r="A38" t="str">
        <f ca="1">OFFSET(BOP_Reference,0,2)</f>
        <v>Pedestrian</v>
      </c>
      <c r="B38" s="4">
        <f ca="1">B159*'Total Duration Tables Sup #1'!B38*(1+'Other Assumptions'!D$47)*(1+'Active Mode Assumptions'!B11)</f>
        <v>9.1706746114000008</v>
      </c>
      <c r="C38" s="4">
        <f ca="1">C159*'Total Duration Tables Sup #1'!C38*(1+'Other Assumptions'!G$47)*(1+'Active Mode Assumptions'!C11)</f>
        <v>10.455065107874807</v>
      </c>
      <c r="D38" s="4">
        <f ca="1">D159*'Total Duration Tables Sup #1'!D38*(1+'Other Assumptions'!H$47)*(1+'Active Mode Assumptions'!D11)</f>
        <v>11.783354825921526</v>
      </c>
      <c r="E38" s="4">
        <f ca="1">E159*'Total Duration Tables Sup #1'!E38*(1+'Other Assumptions'!I$47)*(1+'Active Mode Assumptions'!E11)</f>
        <v>12.935931200380782</v>
      </c>
      <c r="F38" s="4">
        <f ca="1">F159*'Total Duration Tables Sup #1'!F38*(1+'Other Assumptions'!J$47)*(1+'Active Mode Assumptions'!F11)</f>
        <v>14.026756488353584</v>
      </c>
      <c r="G38" s="4">
        <f ca="1">G159*'Total Duration Tables Sup #1'!G38*(1+'Other Assumptions'!K$47)*(1+'Active Mode Assumptions'!G11)</f>
        <v>15.12615439554199</v>
      </c>
      <c r="H38" s="4">
        <f ca="1">H159*'Total Duration Tables Sup #1'!H38*(1+'Other Assumptions'!L$47)*(1+'Active Mode Assumptions'!H11)</f>
        <v>16.168906979821255</v>
      </c>
      <c r="I38" s="4">
        <f ca="1">I159*'Total Duration Tables Sup #1'!I38*(1+'Other Assumptions'!M$47)*(1+'Active Mode Assumptions'!I11)</f>
        <v>17.352957783342589</v>
      </c>
      <c r="J38" s="4">
        <f ca="1">J159*'Total Duration Tables Sup #1'!J38*(1+'Other Assumptions'!N$47)*(1+'Active Mode Assumptions'!J11)</f>
        <v>18.818103537633164</v>
      </c>
      <c r="K38" s="4">
        <f ca="1">K159*'Total Duration Tables Sup #1'!K38*(1+'Other Assumptions'!O$47)*(1+'Active Mode Assumptions'!K11)</f>
        <v>20.372805669493225</v>
      </c>
    </row>
    <row r="39" spans="1:11" x14ac:dyDescent="0.2">
      <c r="A39" t="str">
        <f ca="1">OFFSET(BOP_Reference,7,2)</f>
        <v>Cyclist</v>
      </c>
      <c r="B39" s="4">
        <f ca="1">B160*'Total Duration Tables Sup #1'!B39*(1+'Other Assumptions'!D$47)*(1+'Active Mode Assumptions'!B20)</f>
        <v>0.91801276549999999</v>
      </c>
      <c r="C39" s="4">
        <f ca="1">C160*'Total Duration Tables Sup #1'!C39*(1+'Other Assumptions'!G$47)*(1+'Active Mode Assumptions'!C20)</f>
        <v>1.0643505288073183</v>
      </c>
      <c r="D39" s="4">
        <f ca="1">D160*'Total Duration Tables Sup #1'!D39*(1+'Other Assumptions'!H$47)*(1+'Active Mode Assumptions'!D20)</f>
        <v>1.3564005182158769</v>
      </c>
      <c r="E39" s="4">
        <f ca="1">E160*'Total Duration Tables Sup #1'!E39*(1+'Other Assumptions'!I$47)*(1+'Active Mode Assumptions'!E20)</f>
        <v>1.6250574570782672</v>
      </c>
      <c r="F39" s="4">
        <f ca="1">F160*'Total Duration Tables Sup #1'!F39*(1+'Other Assumptions'!J$47)*(1+'Active Mode Assumptions'!F20)</f>
        <v>1.9420761882536455</v>
      </c>
      <c r="G39" s="4">
        <f ca="1">G160*'Total Duration Tables Sup #1'!G39*(1+'Other Assumptions'!K$47)*(1+'Active Mode Assumptions'!G20)</f>
        <v>2.3239943753402983</v>
      </c>
      <c r="H39" s="4">
        <f ca="1">H160*'Total Duration Tables Sup #1'!H39*(1+'Other Assumptions'!L$47)*(1+'Active Mode Assumptions'!H20)</f>
        <v>2.7507287025605844</v>
      </c>
      <c r="I39" s="4">
        <f ca="1">I160*'Total Duration Tables Sup #1'!I39*(1+'Other Assumptions'!M$47)*(1+'Active Mode Assumptions'!I20)</f>
        <v>2.9725769166990768</v>
      </c>
      <c r="J39" s="4">
        <f ca="1">J160*'Total Duration Tables Sup #1'!J39*(1+'Other Assumptions'!N$47)*(1+'Active Mode Assumptions'!J20)</f>
        <v>3.2549340822023929</v>
      </c>
      <c r="K39" s="4">
        <f ca="1">K160*'Total Duration Tables Sup #1'!K39*(1+'Other Assumptions'!O$47)*(1+'Active Mode Assumptions'!K20)</f>
        <v>3.5588186178130865</v>
      </c>
    </row>
    <row r="40" spans="1:11" x14ac:dyDescent="0.2">
      <c r="A40" t="str">
        <f ca="1">OFFSET(BOP_Reference,14,2)</f>
        <v>Light Vehicle Driver</v>
      </c>
      <c r="B40" s="4">
        <f ca="1">B161*'Total Duration Tables Sup #1'!B40*(1+'Other Assumptions'!D$47)-(B38*'Active Mode Assumptions'!B11*'Active Mode Assumptions'!B14/(1+'Active Mode Assumptions'!B11))-(B39*'Active Mode Assumptions'!B20*'Active Mode Assumptions'!B23/(1+'Active Mode Assumptions'!B20))</f>
        <v>45.59682093</v>
      </c>
      <c r="C40" s="4">
        <f ca="1">C161*'Total Duration Tables Sup #1'!C40*(1+'Other Assumptions'!G$47)-(C38*'Active Mode Assumptions'!C11*'Active Mode Assumptions'!C14/(1+'Active Mode Assumptions'!C11))-(C39*'Active Mode Assumptions'!C20*'Active Mode Assumptions'!C23/(1+'Active Mode Assumptions'!C20))</f>
        <v>54.339467353036852</v>
      </c>
      <c r="D40" s="4">
        <f ca="1">D161*'Total Duration Tables Sup #1'!D40*(1+'Other Assumptions'!H$47)-(D38*'Active Mode Assumptions'!D11*'Active Mode Assumptions'!D14/(1+'Active Mode Assumptions'!D11))-(D39*'Active Mode Assumptions'!D20*'Active Mode Assumptions'!D23/(1+'Active Mode Assumptions'!D20))</f>
        <v>61.308311247101862</v>
      </c>
      <c r="E40" s="4">
        <f ca="1">E161*'Total Duration Tables Sup #1'!E40*(1+'Other Assumptions'!I$47)-(E38*'Active Mode Assumptions'!E11*'Active Mode Assumptions'!E14/(1+'Active Mode Assumptions'!E11))-(E39*'Active Mode Assumptions'!E20*'Active Mode Assumptions'!E23/(1+'Active Mode Assumptions'!E20))</f>
        <v>68.431380084037642</v>
      </c>
      <c r="F40" s="4">
        <f ca="1">F161*'Total Duration Tables Sup #1'!F40*(1+'Other Assumptions'!J$47)-(F38*'Active Mode Assumptions'!F11*'Active Mode Assumptions'!F14/(1+'Active Mode Assumptions'!F11))-(F39*'Active Mode Assumptions'!F20*'Active Mode Assumptions'!F23/(1+'Active Mode Assumptions'!F20))</f>
        <v>75.311113278871701</v>
      </c>
      <c r="G40" s="4">
        <f ca="1">G161*'Total Duration Tables Sup #1'!G40*(1+'Other Assumptions'!K$47)-(G38*'Active Mode Assumptions'!G11*'Active Mode Assumptions'!G14/(1+'Active Mode Assumptions'!G11))-(G39*'Active Mode Assumptions'!G20*'Active Mode Assumptions'!G23/(1+'Active Mode Assumptions'!G20))</f>
        <v>81.731867662694427</v>
      </c>
      <c r="H40" s="4">
        <f ca="1">H161*'Total Duration Tables Sup #1'!H40*(1+'Other Assumptions'!L$47)-(H38*'Active Mode Assumptions'!H11*'Active Mode Assumptions'!H14/(1+'Active Mode Assumptions'!H11))-(H39*'Active Mode Assumptions'!H20*'Active Mode Assumptions'!H23/(1+'Active Mode Assumptions'!H20))</f>
        <v>87.732163165216562</v>
      </c>
      <c r="I40" s="4">
        <f ca="1">I161*'Total Duration Tables Sup #1'!I40*(1+'Other Assumptions'!M$47)-(I38*'Active Mode Assumptions'!I11*'Active Mode Assumptions'!I14/(1+'Active Mode Assumptions'!I11))-(I39*'Active Mode Assumptions'!I20*'Active Mode Assumptions'!I23/(1+'Active Mode Assumptions'!I20))</f>
        <v>93.97853177984517</v>
      </c>
      <c r="J40" s="4">
        <f ca="1">J161*'Total Duration Tables Sup #1'!J40*(1+'Other Assumptions'!N$47)-(J38*'Active Mode Assumptions'!J11*'Active Mode Assumptions'!J14/(1+'Active Mode Assumptions'!J11))-(J39*'Active Mode Assumptions'!J20*'Active Mode Assumptions'!J23/(1+'Active Mode Assumptions'!J20))</f>
        <v>101.65980953080997</v>
      </c>
      <c r="K40" s="4">
        <f ca="1">K161*'Total Duration Tables Sup #1'!K40*(1+'Other Assumptions'!O$47)-(K38*'Active Mode Assumptions'!K11*'Active Mode Assumptions'!K14/(1+'Active Mode Assumptions'!K11))-(K39*'Active Mode Assumptions'!K20*'Active Mode Assumptions'!K23/(1+'Active Mode Assumptions'!K20))</f>
        <v>109.78431262548513</v>
      </c>
    </row>
    <row r="41" spans="1:11" x14ac:dyDescent="0.2">
      <c r="A41" t="str">
        <f ca="1">OFFSET(BOP_Reference,21,2)</f>
        <v>Light Vehicle Passenger</v>
      </c>
      <c r="B41" s="4">
        <f ca="1">B162*'Total Duration Tables Sup #1'!B41*(1+'Other Assumptions'!D$47)-(B38*'Active Mode Assumptions'!B11*'Active Mode Assumptions'!B15/(1+'Active Mode Assumptions'!B11))-(B39*'Active Mode Assumptions'!B20*'Active Mode Assumptions'!B24/(1+'Active Mode Assumptions'!B20))</f>
        <v>28.895615969000001</v>
      </c>
      <c r="C41" s="4">
        <f ca="1">C162*'Total Duration Tables Sup #1'!C41*(1+'Other Assumptions'!G$47)-(C38*'Active Mode Assumptions'!C11*'Active Mode Assumptions'!C15/(1+'Active Mode Assumptions'!C11))-(C39*'Active Mode Assumptions'!C20*'Active Mode Assumptions'!C24/(1+'Active Mode Assumptions'!C20))</f>
        <v>32.855581344629769</v>
      </c>
      <c r="D41" s="4">
        <f ca="1">D162*'Total Duration Tables Sup #1'!D41*(1+'Other Assumptions'!H$47)-(D38*'Active Mode Assumptions'!D11*'Active Mode Assumptions'!D15/(1+'Active Mode Assumptions'!D11))-(D39*'Active Mode Assumptions'!D20*'Active Mode Assumptions'!D24/(1+'Active Mode Assumptions'!D20))</f>
        <v>36.536768347245207</v>
      </c>
      <c r="E41" s="4">
        <f ca="1">E162*'Total Duration Tables Sup #1'!E41*(1+'Other Assumptions'!I$47)-(E38*'Active Mode Assumptions'!E11*'Active Mode Assumptions'!E15/(1+'Active Mode Assumptions'!E11))-(E39*'Active Mode Assumptions'!E20*'Active Mode Assumptions'!E24/(1+'Active Mode Assumptions'!E20))</f>
        <v>40.092211692936992</v>
      </c>
      <c r="F41" s="4">
        <f ca="1">F162*'Total Duration Tables Sup #1'!F41*(1+'Other Assumptions'!J$47)-(F38*'Active Mode Assumptions'!F11*'Active Mode Assumptions'!F15/(1+'Active Mode Assumptions'!F11))-(F39*'Active Mode Assumptions'!F20*'Active Mode Assumptions'!F24/(1+'Active Mode Assumptions'!F20))</f>
        <v>43.483858477902061</v>
      </c>
      <c r="G41" s="4">
        <f ca="1">G162*'Total Duration Tables Sup #1'!G41*(1+'Other Assumptions'!K$47)-(G38*'Active Mode Assumptions'!G11*'Active Mode Assumptions'!G15/(1+'Active Mode Assumptions'!G11))-(G39*'Active Mode Assumptions'!G20*'Active Mode Assumptions'!G24/(1+'Active Mode Assumptions'!G20))</f>
        <v>46.756544812786728</v>
      </c>
      <c r="H41" s="4">
        <f ca="1">H162*'Total Duration Tables Sup #1'!H41*(1+'Other Assumptions'!L$47)-(H38*'Active Mode Assumptions'!H11*'Active Mode Assumptions'!H15/(1+'Active Mode Assumptions'!H11))-(H39*'Active Mode Assumptions'!H20*'Active Mode Assumptions'!H24/(1+'Active Mode Assumptions'!H20))</f>
        <v>49.82881646595888</v>
      </c>
      <c r="I41" s="4">
        <f ca="1">I162*'Total Duration Tables Sup #1'!I41*(1+'Other Assumptions'!M$47)-(I38*'Active Mode Assumptions'!I11*'Active Mode Assumptions'!I15/(1+'Active Mode Assumptions'!I11))-(I39*'Active Mode Assumptions'!I20*'Active Mode Assumptions'!I24/(1+'Active Mode Assumptions'!I20))</f>
        <v>53.414262599696592</v>
      </c>
      <c r="J41" s="4">
        <f ca="1">J162*'Total Duration Tables Sup #1'!J41*(1+'Other Assumptions'!N$47)-(J38*'Active Mode Assumptions'!J11*'Active Mode Assumptions'!J15/(1+'Active Mode Assumptions'!J11))-(J39*'Active Mode Assumptions'!J20*'Active Mode Assumptions'!J24/(1+'Active Mode Assumptions'!J20))</f>
        <v>57.82763730685388</v>
      </c>
      <c r="K41" s="4">
        <f ca="1">K162*'Total Duration Tables Sup #1'!K41*(1+'Other Assumptions'!O$47)-(K38*'Active Mode Assumptions'!K11*'Active Mode Assumptions'!K15/(1+'Active Mode Assumptions'!K11))-(K39*'Active Mode Assumptions'!K20*'Active Mode Assumptions'!K24/(1+'Active Mode Assumptions'!K20))</f>
        <v>62.499359964728569</v>
      </c>
    </row>
    <row r="42" spans="1:11" x14ac:dyDescent="0.2">
      <c r="A42" t="str">
        <f ca="1">OFFSET(BOP_Reference,28,2)</f>
        <v>Taxi/Vehicle Share</v>
      </c>
      <c r="B42" s="4">
        <f ca="1">B163*'Total Duration Tables Sup #1'!B42*(1+'Other Assumptions'!D$47)</f>
        <v>7.3048454499999999E-2</v>
      </c>
      <c r="C42" s="4">
        <f ca="1">C163*'Total Duration Tables Sup #1'!C42*(1+'Other Assumptions'!G$47)</f>
        <v>9.1843875401785013E-2</v>
      </c>
      <c r="D42" s="4">
        <f ca="1">D163*'Total Duration Tables Sup #1'!D42*(1+'Other Assumptions'!H$47)</f>
        <v>0.11136174093715095</v>
      </c>
      <c r="E42" s="4">
        <f ca="1">E163*'Total Duration Tables Sup #1'!E42*(1+'Other Assumptions'!I$47)</f>
        <v>0.13015916080659232</v>
      </c>
      <c r="F42" s="4">
        <f ca="1">F163*'Total Duration Tables Sup #1'!F42*(1+'Other Assumptions'!J$47)</f>
        <v>0.14840782807877034</v>
      </c>
      <c r="G42" s="4">
        <f ca="1">G163*'Total Duration Tables Sup #1'!G42*(1+'Other Assumptions'!K$47)</f>
        <v>0.16483965751275947</v>
      </c>
      <c r="H42" s="4">
        <f ca="1">H163*'Total Duration Tables Sup #1'!H42*(1+'Other Assumptions'!L$47)</f>
        <v>0.18054452174400404</v>
      </c>
      <c r="I42" s="4">
        <f ca="1">I163*'Total Duration Tables Sup #1'!I42*(1+'Other Assumptions'!M$47)</f>
        <v>0.19369879252163272</v>
      </c>
      <c r="J42" s="4">
        <f ca="1">J163*'Total Duration Tables Sup #1'!J42*(1+'Other Assumptions'!N$47)</f>
        <v>0.21002298466948602</v>
      </c>
      <c r="K42" s="4">
        <f ca="1">K163*'Total Duration Tables Sup #1'!K42*(1+'Other Assumptions'!O$47)</f>
        <v>0.22735231503112549</v>
      </c>
    </row>
    <row r="43" spans="1:11" x14ac:dyDescent="0.2">
      <c r="A43" t="str">
        <f ca="1">OFFSET(BOP_Reference,35,2)</f>
        <v>Motorcyclist</v>
      </c>
      <c r="B43" s="4">
        <f ca="1">B164*'Total Duration Tables Sup #1'!B43*(1+'Other Assumptions'!D$47)</f>
        <v>0.60409197079999999</v>
      </c>
      <c r="C43" s="4">
        <f ca="1">C164*'Total Duration Tables Sup #1'!C43*(1+'Other Assumptions'!G$47)</f>
        <v>0.70831040318133953</v>
      </c>
      <c r="D43" s="4">
        <f ca="1">D164*'Total Duration Tables Sup #1'!D43*(1+'Other Assumptions'!H$47)</f>
        <v>0.80031164841875313</v>
      </c>
      <c r="E43" s="4">
        <f ca="1">E164*'Total Duration Tables Sup #1'!E43*(1+'Other Assumptions'!I$47)</f>
        <v>0.88101977626667594</v>
      </c>
      <c r="F43" s="4">
        <f ca="1">F164*'Total Duration Tables Sup #1'!F43*(1+'Other Assumptions'!J$47)</f>
        <v>0.95181478464973424</v>
      </c>
      <c r="G43" s="4">
        <f ca="1">G164*'Total Duration Tables Sup #1'!G43*(1+'Other Assumptions'!K$47)</f>
        <v>1.0051166167400392</v>
      </c>
      <c r="H43" s="4">
        <f ca="1">H164*'Total Duration Tables Sup #1'!H43*(1+'Other Assumptions'!L$47)</f>
        <v>1.0482068392438759</v>
      </c>
      <c r="I43" s="4">
        <f ca="1">I164*'Total Duration Tables Sup #1'!I43*(1+'Other Assumptions'!M$47)</f>
        <v>1.127097186727964</v>
      </c>
      <c r="J43" s="4">
        <f ca="1">J164*'Total Duration Tables Sup #1'!J43*(1+'Other Assumptions'!N$47)</f>
        <v>1.2245647084128735</v>
      </c>
      <c r="K43" s="4">
        <f ca="1">K164*'Total Duration Tables Sup #1'!K43*(1+'Other Assumptions'!O$47)</f>
        <v>1.3281041382952157</v>
      </c>
    </row>
    <row r="44" spans="1:11" x14ac:dyDescent="0.2">
      <c r="A44" t="str">
        <f ca="1">OFFSET(Auckland_Reference,42,2)</f>
        <v>Local Train</v>
      </c>
      <c r="B44" s="4">
        <f ca="1">B165*'Total Duration Tables Sup #1'!B44*(1+'Other Assumptions'!D$47)</f>
        <v>0</v>
      </c>
      <c r="C44" s="4">
        <f ca="1">C165*'Total Duration Tables Sup #1'!C44*(1+'Other Assumptions'!G$47)</f>
        <v>0</v>
      </c>
      <c r="D44" s="4">
        <f ca="1">D165*'Total Duration Tables Sup #1'!D44*(1+'Other Assumptions'!H$47)</f>
        <v>0</v>
      </c>
      <c r="E44" s="4">
        <f ca="1">E165*'Total Duration Tables Sup #1'!E44*(1+'Other Assumptions'!I$47)</f>
        <v>0</v>
      </c>
      <c r="F44" s="4">
        <f ca="1">F165*'Total Duration Tables Sup #1'!F44*(1+'Other Assumptions'!J$47)</f>
        <v>0</v>
      </c>
      <c r="G44" s="4">
        <f ca="1">G165*'Total Duration Tables Sup #1'!G44*(1+'Other Assumptions'!K$47)</f>
        <v>0</v>
      </c>
      <c r="H44" s="4">
        <f ca="1">H165*'Total Duration Tables Sup #1'!H44*(1+'Other Assumptions'!L$47)</f>
        <v>0</v>
      </c>
      <c r="I44" s="4">
        <f ca="1">I165*'Total Duration Tables Sup #1'!I44*(1+'Other Assumptions'!M$47)</f>
        <v>0</v>
      </c>
      <c r="J44" s="4">
        <f ca="1">J165*'Total Duration Tables Sup #1'!J44*(1+'Other Assumptions'!N$47)</f>
        <v>0</v>
      </c>
      <c r="K44" s="4">
        <f ca="1">K165*'Total Duration Tables Sup #1'!K44*(1+'Other Assumptions'!O$47)</f>
        <v>0</v>
      </c>
    </row>
    <row r="45" spans="1:11" x14ac:dyDescent="0.2">
      <c r="A45" t="str">
        <f ca="1">OFFSET(BOP_Reference,42,2)</f>
        <v>Local Bus</v>
      </c>
      <c r="B45" s="4">
        <f ca="1">B166*'Total Duration Tables Sup #1'!B45*(1+'Other Assumptions'!D$47)</f>
        <v>2.9412276716000001</v>
      </c>
      <c r="C45" s="4">
        <f ca="1">C166*'Total Duration Tables Sup #1'!C45*(1+'Other Assumptions'!G$47)</f>
        <v>3.0223767031290323</v>
      </c>
      <c r="D45" s="4">
        <f ca="1">D166*'Total Duration Tables Sup #1'!D45*(1+'Other Assumptions'!H$47)</f>
        <v>3.3453446117033168</v>
      </c>
      <c r="E45" s="4">
        <f ca="1">E166*'Total Duration Tables Sup #1'!E45*(1+'Other Assumptions'!I$47)</f>
        <v>3.5969654490027514</v>
      </c>
      <c r="F45" s="4">
        <f ca="1">F166*'Total Duration Tables Sup #1'!F45*(1+'Other Assumptions'!J$47)</f>
        <v>3.8350126658427053</v>
      </c>
      <c r="G45" s="4">
        <f ca="1">G166*'Total Duration Tables Sup #1'!G45*(1+'Other Assumptions'!K$47)</f>
        <v>4.1042973287208762</v>
      </c>
      <c r="H45" s="4">
        <f ca="1">H166*'Total Duration Tables Sup #1'!H45*(1+'Other Assumptions'!L$47)</f>
        <v>4.3770034928338895</v>
      </c>
      <c r="I45" s="4">
        <f ca="1">I166*'Total Duration Tables Sup #1'!I45*(1+'Other Assumptions'!M$47)</f>
        <v>4.6977602355022103</v>
      </c>
      <c r="J45" s="4">
        <f ca="1">J166*'Total Duration Tables Sup #1'!J45*(1+'Other Assumptions'!N$47)</f>
        <v>5.0930667280754189</v>
      </c>
      <c r="K45" s="4">
        <f ca="1">K166*'Total Duration Tables Sup #1'!K45*(1+'Other Assumptions'!O$47)</f>
        <v>5.5120842717578995</v>
      </c>
    </row>
    <row r="46" spans="1:11" x14ac:dyDescent="0.2">
      <c r="A46" t="str">
        <f ca="1">OFFSET(Waikato_Reference,56,2)</f>
        <v>Local Ferry</v>
      </c>
      <c r="B46" s="4">
        <f ca="1">B167*'Total Duration Tables Sup #1'!B46*(1+'Other Assumptions'!D$47)</f>
        <v>0</v>
      </c>
      <c r="C46" s="4">
        <f ca="1">C167*'Total Duration Tables Sup #1'!C46*(1+'Other Assumptions'!G$47)</f>
        <v>0</v>
      </c>
      <c r="D46" s="4">
        <f ca="1">D167*'Total Duration Tables Sup #1'!D46*(1+'Other Assumptions'!H$47)</f>
        <v>0</v>
      </c>
      <c r="E46" s="4">
        <f ca="1">E167*'Total Duration Tables Sup #1'!E46*(1+'Other Assumptions'!I$47)</f>
        <v>0</v>
      </c>
      <c r="F46" s="4">
        <f ca="1">F167*'Total Duration Tables Sup #1'!F46*(1+'Other Assumptions'!J$47)</f>
        <v>0</v>
      </c>
      <c r="G46" s="4">
        <f ca="1">G167*'Total Duration Tables Sup #1'!G46*(1+'Other Assumptions'!K$47)</f>
        <v>0</v>
      </c>
      <c r="H46" s="4">
        <f ca="1">H167*'Total Duration Tables Sup #1'!H46*(1+'Other Assumptions'!L$47)</f>
        <v>0</v>
      </c>
      <c r="I46" s="4">
        <f ca="1">I167*'Total Duration Tables Sup #1'!I46*(1+'Other Assumptions'!M$47)</f>
        <v>0</v>
      </c>
      <c r="J46" s="4">
        <f ca="1">J167*'Total Duration Tables Sup #1'!J46*(1+'Other Assumptions'!N$47)</f>
        <v>0</v>
      </c>
      <c r="K46" s="4">
        <f ca="1">K167*'Total Duration Tables Sup #1'!K46*(1+'Other Assumptions'!O$47)</f>
        <v>0</v>
      </c>
    </row>
    <row r="47" spans="1:11" x14ac:dyDescent="0.2">
      <c r="A47" t="str">
        <f ca="1">OFFSET(BOP_Reference,49,2)</f>
        <v>Other Household Travel</v>
      </c>
      <c r="B47" s="4">
        <f ca="1">B168*'Total Duration Tables Sup #1'!B47*(1+'Other Assumptions'!D$47)</f>
        <v>0.21279540499999999</v>
      </c>
      <c r="C47" s="4">
        <f ca="1">C168*'Total Duration Tables Sup #1'!C47*(1+'Other Assumptions'!G$47)</f>
        <v>0.25699836697706568</v>
      </c>
      <c r="D47" s="4">
        <f ca="1">D168*'Total Duration Tables Sup #1'!D47*(1+'Other Assumptions'!H$47)</f>
        <v>0.28824781168427349</v>
      </c>
      <c r="E47" s="4">
        <f ca="1">E168*'Total Duration Tables Sup #1'!E47*(1+'Other Assumptions'!I$47)</f>
        <v>0.31682548357498991</v>
      </c>
      <c r="F47" s="4">
        <f ca="1">F168*'Total Duration Tables Sup #1'!F47*(1+'Other Assumptions'!J$47)</f>
        <v>0.34127974898279978</v>
      </c>
      <c r="G47" s="4">
        <f ca="1">G168*'Total Duration Tables Sup #1'!G47*(1+'Other Assumptions'!K$47)</f>
        <v>0.36586404452862076</v>
      </c>
      <c r="H47" s="4">
        <f ca="1">H168*'Total Duration Tables Sup #1'!H47*(1+'Other Assumptions'!L$47)</f>
        <v>0.38613535539040339</v>
      </c>
      <c r="I47" s="4">
        <f ca="1">I168*'Total Duration Tables Sup #1'!I47*(1+'Other Assumptions'!M$47)</f>
        <v>0.41236496608780376</v>
      </c>
      <c r="J47" s="4">
        <f ca="1">J168*'Total Duration Tables Sup #1'!J47*(1+'Other Assumptions'!N$47)</f>
        <v>0.44445357625835274</v>
      </c>
      <c r="K47" s="4">
        <f ca="1">K168*'Total Duration Tables Sup #1'!K47*(1+'Other Assumptions'!O$47)</f>
        <v>0.47827731372907833</v>
      </c>
    </row>
    <row r="48" spans="1:11" x14ac:dyDescent="0.2">
      <c r="A48" t="str">
        <f ca="1">OFFSET(Gisborne_Reference,0,0)</f>
        <v>05 GISBORNE</v>
      </c>
    </row>
    <row r="49" spans="1:11" x14ac:dyDescent="0.2">
      <c r="A49" t="str">
        <f ca="1">OFFSET(Gisborne_Reference,0,2)</f>
        <v>Pedestrian</v>
      </c>
      <c r="B49" s="4">
        <f ca="1">B159*'Total Duration Tables Sup #1'!B49*(1+'Other Assumptions'!D$48)*(1+'Active Mode Assumptions'!B11)</f>
        <v>2.2694063563000002</v>
      </c>
      <c r="C49" s="4">
        <f ca="1">C159*'Total Duration Tables Sup #1'!C49*(1+'Other Assumptions'!G$48)*(1+'Active Mode Assumptions'!C11)</f>
        <v>2.2749716371625386</v>
      </c>
      <c r="D49" s="4">
        <f ca="1">D159*'Total Duration Tables Sup #1'!D49*(1+'Other Assumptions'!H$48)*(1+'Active Mode Assumptions'!D11)</f>
        <v>2.3236975059772926</v>
      </c>
      <c r="E49" s="4">
        <f ca="1">E159*'Total Duration Tables Sup #1'!E49*(1+'Other Assumptions'!I$48)*(1+'Active Mode Assumptions'!E11)</f>
        <v>2.3434537614480746</v>
      </c>
      <c r="F49" s="4">
        <f ca="1">F159*'Total Duration Tables Sup #1'!F49*(1+'Other Assumptions'!J$48)*(1+'Active Mode Assumptions'!F11)</f>
        <v>2.3427545072081517</v>
      </c>
      <c r="G49" s="4">
        <f ca="1">G159*'Total Duration Tables Sup #1'!G49*(1+'Other Assumptions'!K$48)*(1+'Active Mode Assumptions'!G11)</f>
        <v>2.3316500035628103</v>
      </c>
      <c r="H49" s="4">
        <f ca="1">H159*'Total Duration Tables Sup #1'!H49*(1+'Other Assumptions'!L$48)*(1+'Active Mode Assumptions'!H11)</f>
        <v>2.3059534079121371</v>
      </c>
      <c r="I49" s="4">
        <f ca="1">I159*'Total Duration Tables Sup #1'!I49*(1+'Other Assumptions'!M$48)*(1+'Active Mode Assumptions'!I11)</f>
        <v>2.3275148676679365</v>
      </c>
      <c r="J49" s="4">
        <f ca="1">J159*'Total Duration Tables Sup #1'!J49*(1+'Other Assumptions'!N$48)*(1+'Active Mode Assumptions'!J11)</f>
        <v>2.341922527409614</v>
      </c>
      <c r="K49" s="4">
        <f ca="1">K159*'Total Duration Tables Sup #1'!K49*(1+'Other Assumptions'!O$48)*(1+'Active Mode Assumptions'!K11)</f>
        <v>2.3507086724466264</v>
      </c>
    </row>
    <row r="50" spans="1:11" x14ac:dyDescent="0.2">
      <c r="A50" t="str">
        <f ca="1">OFFSET(Gisborne_Reference,7,2)</f>
        <v>Cyclist</v>
      </c>
      <c r="B50" s="4">
        <f ca="1">B160*'Total Duration Tables Sup #1'!B50*(1+'Other Assumptions'!D$48)*(1+'Active Mode Assumptions'!B20)</f>
        <v>0.28046850410000002</v>
      </c>
      <c r="C50" s="4">
        <f ca="1">C160*'Total Duration Tables Sup #1'!C50*(1+'Other Assumptions'!G$48)*(1+'Active Mode Assumptions'!C20)</f>
        <v>0.2859290756731464</v>
      </c>
      <c r="D50" s="4">
        <f ca="1">D160*'Total Duration Tables Sup #1'!D50*(1+'Other Assumptions'!H$48)*(1+'Active Mode Assumptions'!D20)</f>
        <v>0.3302349075487665</v>
      </c>
      <c r="E50" s="4">
        <f ca="1">E160*'Total Duration Tables Sup #1'!E50*(1+'Other Assumptions'!I$48)*(1+'Active Mode Assumptions'!E20)</f>
        <v>0.36345597091270387</v>
      </c>
      <c r="F50" s="4">
        <f ca="1">F160*'Total Duration Tables Sup #1'!F50*(1+'Other Assumptions'!J$48)*(1+'Active Mode Assumptions'!F20)</f>
        <v>0.4004609591656097</v>
      </c>
      <c r="G50" s="4">
        <f ca="1">G160*'Total Duration Tables Sup #1'!G50*(1+'Other Assumptions'!K$48)*(1+'Active Mode Assumptions'!G20)</f>
        <v>0.44227694315190103</v>
      </c>
      <c r="H50" s="4">
        <f ca="1">H160*'Total Duration Tables Sup #1'!H50*(1+'Other Assumptions'!L$48)*(1+'Active Mode Assumptions'!H20)</f>
        <v>0.48433072405856303</v>
      </c>
      <c r="I50" s="4">
        <f ca="1">I160*'Total Duration Tables Sup #1'!I50*(1+'Other Assumptions'!M$48)*(1+'Active Mode Assumptions'!I20)</f>
        <v>0.49223948739764195</v>
      </c>
      <c r="J50" s="4">
        <f ca="1">J160*'Total Duration Tables Sup #1'!J50*(1+'Other Assumptions'!N$48)*(1+'Active Mode Assumptions'!J20)</f>
        <v>0.50010738010755207</v>
      </c>
      <c r="K50" s="4">
        <f ca="1">K160*'Total Duration Tables Sup #1'!K50*(1+'Other Assumptions'!O$48)*(1+'Active Mode Assumptions'!K20)</f>
        <v>0.50696527859276452</v>
      </c>
    </row>
    <row r="51" spans="1:11" x14ac:dyDescent="0.2">
      <c r="A51" t="str">
        <f ca="1">OFFSET(Gisborne_Reference,14,2)</f>
        <v>Light Vehicle Driver</v>
      </c>
      <c r="B51" s="4">
        <f ca="1">B161*'Total Duration Tables Sup #1'!B51*(1+'Other Assumptions'!D$48)-(B49*'Active Mode Assumptions'!B11*'Active Mode Assumptions'!B14/(1+'Active Mode Assumptions'!B11))-(B50*'Active Mode Assumptions'!B20*'Active Mode Assumptions'!B23/(1+'Active Mode Assumptions'!B20))</f>
        <v>6.0182660548999998</v>
      </c>
      <c r="C51" s="4">
        <f ca="1">C161*'Total Duration Tables Sup #1'!C51*(1+'Other Assumptions'!G$48)-(C49*'Active Mode Assumptions'!C11*'Active Mode Assumptions'!C14/(1+'Active Mode Assumptions'!C11))-(C50*'Active Mode Assumptions'!C20*'Active Mode Assumptions'!C23/(1+'Active Mode Assumptions'!C20))</f>
        <v>6.306529887287982</v>
      </c>
      <c r="D51" s="4">
        <f ca="1">D161*'Total Duration Tables Sup #1'!D51*(1+'Other Assumptions'!H$48)-(D49*'Active Mode Assumptions'!D11*'Active Mode Assumptions'!D14/(1+'Active Mode Assumptions'!D11))-(D50*'Active Mode Assumptions'!D20*'Active Mode Assumptions'!D23/(1+'Active Mode Assumptions'!D20))</f>
        <v>6.4388790980967086</v>
      </c>
      <c r="E51" s="4">
        <f ca="1">E161*'Total Duration Tables Sup #1'!E51*(1+'Other Assumptions'!I$48)-(E49*'Active Mode Assumptions'!E11*'Active Mode Assumptions'!E14/(1+'Active Mode Assumptions'!E11))-(E50*'Active Mode Assumptions'!E20*'Active Mode Assumptions'!E23/(1+'Active Mode Assumptions'!E20))</f>
        <v>6.5929900260142178</v>
      </c>
      <c r="F51" s="4">
        <f ca="1">F161*'Total Duration Tables Sup #1'!F51*(1+'Other Assumptions'!J$48)-(F49*'Active Mode Assumptions'!F11*'Active Mode Assumptions'!F14/(1+'Active Mode Assumptions'!F11))-(F50*'Active Mode Assumptions'!F20*'Active Mode Assumptions'!F23/(1+'Active Mode Assumptions'!F20))</f>
        <v>6.680355735157101</v>
      </c>
      <c r="G51" s="4">
        <f ca="1">G161*'Total Duration Tables Sup #1'!G51*(1+'Other Assumptions'!K$48)-(G49*'Active Mode Assumptions'!G11*'Active Mode Assumptions'!G14/(1+'Active Mode Assumptions'!G11))-(G50*'Active Mode Assumptions'!G20*'Active Mode Assumptions'!G23/(1+'Active Mode Assumptions'!G20))</f>
        <v>6.6816422638467108</v>
      </c>
      <c r="H51" s="4">
        <f ca="1">H161*'Total Duration Tables Sup #1'!H51*(1+'Other Assumptions'!L$48)-(H49*'Active Mode Assumptions'!H11*'Active Mode Assumptions'!H14/(1+'Active Mode Assumptions'!H11))-(H50*'Active Mode Assumptions'!H20*'Active Mode Assumptions'!H23/(1+'Active Mode Assumptions'!H20))</f>
        <v>6.6261338272737991</v>
      </c>
      <c r="I51" s="4">
        <f ca="1">I161*'Total Duration Tables Sup #1'!I51*(1+'Other Assumptions'!M$48)-(I49*'Active Mode Assumptions'!I11*'Active Mode Assumptions'!I14/(1+'Active Mode Assumptions'!I11))-(I50*'Active Mode Assumptions'!I20*'Active Mode Assumptions'!I23/(1+'Active Mode Assumptions'!I20))</f>
        <v>6.6751773662797405</v>
      </c>
      <c r="J51" s="4">
        <f ca="1">J161*'Total Duration Tables Sup #1'!J51*(1+'Other Assumptions'!N$48)-(J49*'Active Mode Assumptions'!J11*'Active Mode Assumptions'!J14/(1+'Active Mode Assumptions'!J11))-(J50*'Active Mode Assumptions'!J20*'Active Mode Assumptions'!J23/(1+'Active Mode Assumptions'!J20))</f>
        <v>6.699441291070678</v>
      </c>
      <c r="K51" s="4">
        <f ca="1">K161*'Total Duration Tables Sup #1'!K51*(1+'Other Assumptions'!O$48)-(K49*'Active Mode Assumptions'!K11*'Active Mode Assumptions'!K14/(1+'Active Mode Assumptions'!K11))-(K50*'Active Mode Assumptions'!K20*'Active Mode Assumptions'!K23/(1+'Active Mode Assumptions'!K20))</f>
        <v>6.7074547599545351</v>
      </c>
    </row>
    <row r="52" spans="1:11" x14ac:dyDescent="0.2">
      <c r="A52" t="str">
        <f ca="1">OFFSET(Gisborne_Reference,21,2)</f>
        <v>Light Vehicle Passenger</v>
      </c>
      <c r="B52" s="4">
        <f ca="1">B162*'Total Duration Tables Sup #1'!B52*(1+'Other Assumptions'!D$48)-(B49*'Active Mode Assumptions'!B11*'Active Mode Assumptions'!B15/(1+'Active Mode Assumptions'!B11))-(B50*'Active Mode Assumptions'!B20*'Active Mode Assumptions'!B24/(1+'Active Mode Assumptions'!B20))</f>
        <v>4.5909579553000004</v>
      </c>
      <c r="C52" s="4">
        <f ca="1">C162*'Total Duration Tables Sup #1'!C52*(1+'Other Assumptions'!G$48)-(C49*'Active Mode Assumptions'!C11*'Active Mode Assumptions'!C15/(1+'Active Mode Assumptions'!C11))-(C50*'Active Mode Assumptions'!C20*'Active Mode Assumptions'!C24/(1+'Active Mode Assumptions'!C20))</f>
        <v>4.5900643792055931</v>
      </c>
      <c r="D52" s="4">
        <f ca="1">D162*'Total Duration Tables Sup #1'!D52*(1+'Other Assumptions'!H$48)-(D49*'Active Mode Assumptions'!D11*'Active Mode Assumptions'!D15/(1+'Active Mode Assumptions'!D11))-(D50*'Active Mode Assumptions'!D20*'Active Mode Assumptions'!D24/(1+'Active Mode Assumptions'!D20))</f>
        <v>4.6182725297593032</v>
      </c>
      <c r="E52" s="4">
        <f ca="1">E162*'Total Duration Tables Sup #1'!E52*(1+'Other Assumptions'!I$48)-(E49*'Active Mode Assumptions'!E11*'Active Mode Assumptions'!E15/(1+'Active Mode Assumptions'!E11))-(E50*'Active Mode Assumptions'!E20*'Active Mode Assumptions'!E24/(1+'Active Mode Assumptions'!E20))</f>
        <v>4.6478121747359342</v>
      </c>
      <c r="F52" s="4">
        <f ca="1">F162*'Total Duration Tables Sup #1'!F52*(1+'Other Assumptions'!J$48)-(F49*'Active Mode Assumptions'!F11*'Active Mode Assumptions'!F15/(1+'Active Mode Assumptions'!F11))-(F50*'Active Mode Assumptions'!F20*'Active Mode Assumptions'!F24/(1+'Active Mode Assumptions'!F20))</f>
        <v>4.6399640797443862</v>
      </c>
      <c r="G52" s="4">
        <f ca="1">G162*'Total Duration Tables Sup #1'!G52*(1+'Other Assumptions'!K$48)-(G49*'Active Mode Assumptions'!G11*'Active Mode Assumptions'!G15/(1+'Active Mode Assumptions'!G11))-(G50*'Active Mode Assumptions'!G20*'Active Mode Assumptions'!G24/(1+'Active Mode Assumptions'!G20))</f>
        <v>4.5967872298311292</v>
      </c>
      <c r="H52" s="4">
        <f ca="1">H162*'Total Duration Tables Sup #1'!H52*(1+'Other Assumptions'!L$48)-(H49*'Active Mode Assumptions'!H11*'Active Mode Assumptions'!H15/(1+'Active Mode Assumptions'!H11))-(H50*'Active Mode Assumptions'!H20*'Active Mode Assumptions'!H24/(1+'Active Mode Assumptions'!H20))</f>
        <v>4.5244516102995345</v>
      </c>
      <c r="I52" s="4">
        <f ca="1">I162*'Total Duration Tables Sup #1'!I52*(1+'Other Assumptions'!M$48)-(I49*'Active Mode Assumptions'!I11*'Active Mode Assumptions'!I15/(1+'Active Mode Assumptions'!I11))-(I50*'Active Mode Assumptions'!I20*'Active Mode Assumptions'!I24/(1+'Active Mode Assumptions'!I20))</f>
        <v>4.5611512696783656</v>
      </c>
      <c r="J52" s="4">
        <f ca="1">J162*'Total Duration Tables Sup #1'!J52*(1+'Other Assumptions'!N$48)-(J49*'Active Mode Assumptions'!J11*'Active Mode Assumptions'!J15/(1+'Active Mode Assumptions'!J11))-(J50*'Active Mode Assumptions'!J20*'Active Mode Assumptions'!J24/(1+'Active Mode Assumptions'!J20))</f>
        <v>4.581482049214447</v>
      </c>
      <c r="K52" s="4">
        <f ca="1">K162*'Total Duration Tables Sup #1'!K52*(1+'Other Assumptions'!O$48)-(K49*'Active Mode Assumptions'!K11*'Active Mode Assumptions'!K15/(1+'Active Mode Assumptions'!K11))-(K50*'Active Mode Assumptions'!K20*'Active Mode Assumptions'!K24/(1+'Active Mode Assumptions'!K20))</f>
        <v>4.5906299719746224</v>
      </c>
    </row>
    <row r="53" spans="1:11" x14ac:dyDescent="0.2">
      <c r="A53" t="str">
        <f ca="1">OFFSET(Gisborne_Reference,28,2)</f>
        <v>Taxi/Vehicle Share</v>
      </c>
      <c r="B53" s="4">
        <f ca="1">B163*'Total Duration Tables Sup #1'!B53*(1+'Other Assumptions'!D$48)</f>
        <v>5.0534828E-3</v>
      </c>
      <c r="C53" s="4">
        <f ca="1">C163*'Total Duration Tables Sup #1'!C53*(1+'Other Assumptions'!G$48)</f>
        <v>5.5868655874435008E-3</v>
      </c>
      <c r="D53" s="4">
        <f ca="1">D163*'Total Duration Tables Sup #1'!D53*(1+'Other Assumptions'!H$48)</f>
        <v>6.1392515053126616E-3</v>
      </c>
      <c r="E53" s="4">
        <f ca="1">E163*'Total Duration Tables Sup #1'!E53*(1+'Other Assumptions'!I$48)</f>
        <v>6.5917724808497889E-3</v>
      </c>
      <c r="F53" s="4">
        <f ca="1">F163*'Total Duration Tables Sup #1'!F53*(1+'Other Assumptions'!J$48)</f>
        <v>6.9293916959686204E-3</v>
      </c>
      <c r="G53" s="4">
        <f ca="1">G163*'Total Duration Tables Sup #1'!G53*(1+'Other Assumptions'!K$48)</f>
        <v>7.103384320503771E-3</v>
      </c>
      <c r="H53" s="4">
        <f ca="1">H163*'Total Duration Tables Sup #1'!H53*(1+'Other Assumptions'!L$48)</f>
        <v>7.198184235097934E-3</v>
      </c>
      <c r="I53" s="4">
        <f ca="1">I163*'Total Duration Tables Sup #1'!I53*(1+'Other Assumptions'!M$48)</f>
        <v>7.2629765910507647E-3</v>
      </c>
      <c r="J53" s="4">
        <f ca="1">J163*'Total Duration Tables Sup #1'!J53*(1+'Other Assumptions'!N$48)</f>
        <v>7.3068850275482405E-3</v>
      </c>
      <c r="K53" s="4">
        <f ca="1">K163*'Total Duration Tables Sup #1'!K53*(1+'Other Assumptions'!O$48)</f>
        <v>7.3335815398494625E-3</v>
      </c>
    </row>
    <row r="54" spans="1:11" x14ac:dyDescent="0.2">
      <c r="A54" t="str">
        <f ca="1">OFFSET(Gisborne_Reference,35,2)</f>
        <v>Motorcyclist</v>
      </c>
      <c r="B54" s="4">
        <f ca="1">B164*'Total Duration Tables Sup #1'!B54*(1+'Other Assumptions'!D$48)</f>
        <v>4.6418087199999999E-2</v>
      </c>
      <c r="C54" s="4">
        <f ca="1">C164*'Total Duration Tables Sup #1'!C54*(1+'Other Assumptions'!G$48)</f>
        <v>4.7857064875940228E-2</v>
      </c>
      <c r="D54" s="4">
        <f ca="1">D164*'Total Duration Tables Sup #1'!D54*(1+'Other Assumptions'!H$48)</f>
        <v>4.9005290542431613E-2</v>
      </c>
      <c r="E54" s="4">
        <f ca="1">E164*'Total Duration Tables Sup #1'!E54*(1+'Other Assumptions'!I$48)</f>
        <v>4.9558430388200174E-2</v>
      </c>
      <c r="F54" s="4">
        <f ca="1">F164*'Total Duration Tables Sup #1'!F54*(1+'Other Assumptions'!J$48)</f>
        <v>4.9362274765788056E-2</v>
      </c>
      <c r="G54" s="4">
        <f ca="1">G164*'Total Duration Tables Sup #1'!G54*(1+'Other Assumptions'!K$48)</f>
        <v>4.8108794917294348E-2</v>
      </c>
      <c r="H54" s="4">
        <f ca="1">H164*'Total Duration Tables Sup #1'!H54*(1+'Other Assumptions'!L$48)</f>
        <v>4.6418387383575857E-2</v>
      </c>
      <c r="I54" s="4">
        <f ca="1">I164*'Total Duration Tables Sup #1'!I54*(1+'Other Assumptions'!M$48)</f>
        <v>4.694112712560676E-2</v>
      </c>
      <c r="J54" s="4">
        <f ca="1">J164*'Total Duration Tables Sup #1'!J54*(1+'Other Assumptions'!N$48)</f>
        <v>4.7320748289544308E-2</v>
      </c>
      <c r="K54" s="4">
        <f ca="1">K164*'Total Duration Tables Sup #1'!K54*(1+'Other Assumptions'!O$48)</f>
        <v>4.7583161180881385E-2</v>
      </c>
    </row>
    <row r="55" spans="1:11" x14ac:dyDescent="0.2">
      <c r="A55" t="str">
        <f ca="1">OFFSET(Gisborne_Reference,42,2)</f>
        <v>Local Train</v>
      </c>
      <c r="B55" s="4">
        <f ca="1">B165*'Total Duration Tables Sup #1'!B55*(1+'Other Assumptions'!D$48)</f>
        <v>0</v>
      </c>
      <c r="C55" s="4">
        <f ca="1">C165*'Total Duration Tables Sup #1'!C55*(1+'Other Assumptions'!G$48)</f>
        <v>0</v>
      </c>
      <c r="D55" s="4">
        <f ca="1">D165*'Total Duration Tables Sup #1'!D55*(1+'Other Assumptions'!H$48)</f>
        <v>0</v>
      </c>
      <c r="E55" s="4">
        <f ca="1">E165*'Total Duration Tables Sup #1'!E55*(1+'Other Assumptions'!I$48)</f>
        <v>0</v>
      </c>
      <c r="F55" s="4">
        <f ca="1">F165*'Total Duration Tables Sup #1'!F55*(1+'Other Assumptions'!J$48)</f>
        <v>0</v>
      </c>
      <c r="G55" s="4">
        <f ca="1">G165*'Total Duration Tables Sup #1'!G55*(1+'Other Assumptions'!K$48)</f>
        <v>0</v>
      </c>
      <c r="H55" s="4">
        <f ca="1">H165*'Total Duration Tables Sup #1'!H55*(1+'Other Assumptions'!L$48)</f>
        <v>0</v>
      </c>
      <c r="I55" s="4">
        <f ca="1">I165*'Total Duration Tables Sup #1'!I55*(1+'Other Assumptions'!M$48)</f>
        <v>0</v>
      </c>
      <c r="J55" s="4">
        <f ca="1">J165*'Total Duration Tables Sup #1'!J55*(1+'Other Assumptions'!N$48)</f>
        <v>0</v>
      </c>
      <c r="K55" s="4">
        <f ca="1">K165*'Total Duration Tables Sup #1'!K55*(1+'Other Assumptions'!O$48)</f>
        <v>0</v>
      </c>
    </row>
    <row r="56" spans="1:11" x14ac:dyDescent="0.2">
      <c r="A56" t="str">
        <f ca="1">OFFSET(Gisborne_Reference,49,2)</f>
        <v>Local Bus</v>
      </c>
      <c r="B56" s="4">
        <f ca="1">B166*'Total Duration Tables Sup #1'!B56*(1+'Other Assumptions'!D$48)</f>
        <v>0.17812381360000001</v>
      </c>
      <c r="C56" s="4">
        <f ca="1">C166*'Total Duration Tables Sup #1'!C56*(1+'Other Assumptions'!G$48)</f>
        <v>0.16094600337907702</v>
      </c>
      <c r="D56" s="4">
        <f ca="1">D166*'Total Duration Tables Sup #1'!D56*(1+'Other Assumptions'!H$48)</f>
        <v>0.16144844159646696</v>
      </c>
      <c r="E56" s="4">
        <f ca="1">E166*'Total Duration Tables Sup #1'!E56*(1+'Other Assumptions'!I$48)</f>
        <v>0.15946938408348851</v>
      </c>
      <c r="F56" s="4">
        <f ca="1">F166*'Total Duration Tables Sup #1'!F56*(1+'Other Assumptions'!J$48)</f>
        <v>0.15675401959478927</v>
      </c>
      <c r="G56" s="4">
        <f ca="1">G166*'Total Duration Tables Sup #1'!G56*(1+'Other Assumptions'!K$48)</f>
        <v>0.15483031782451062</v>
      </c>
      <c r="H56" s="4">
        <f ca="1">H166*'Total Duration Tables Sup #1'!H56*(1+'Other Assumptions'!L$48)</f>
        <v>0.15276684785069461</v>
      </c>
      <c r="I56" s="4">
        <f ca="1">I166*'Total Duration Tables Sup #1'!I56*(1+'Other Assumptions'!M$48)</f>
        <v>0.15420276460488425</v>
      </c>
      <c r="J56" s="4">
        <f ca="1">J166*'Total Duration Tables Sup #1'!J56*(1+'Other Assumptions'!N$48)</f>
        <v>0.15511664240493322</v>
      </c>
      <c r="K56" s="4">
        <f ca="1">K166*'Total Duration Tables Sup #1'!K56*(1+'Other Assumptions'!O$48)</f>
        <v>0.15564894256181813</v>
      </c>
    </row>
    <row r="57" spans="1:11" x14ac:dyDescent="0.2">
      <c r="A57" t="str">
        <f ca="1">OFFSET(Gisborne_Reference,56,2)</f>
        <v>Local Ferry</v>
      </c>
      <c r="B57" s="4">
        <f ca="1">B167*'Total Duration Tables Sup #1'!B57*(1+'Other Assumptions'!D$48)</f>
        <v>6.5213138999999981E-3</v>
      </c>
      <c r="C57" s="4">
        <f ca="1">C167*'Total Duration Tables Sup #1'!C57*(1+'Other Assumptions'!G$48)</f>
        <v>7.3737906855403075E-3</v>
      </c>
      <c r="D57" s="4">
        <f ca="1">D167*'Total Duration Tables Sup #1'!D57*(1+'Other Assumptions'!H$48)</f>
        <v>7.3474977514578297E-3</v>
      </c>
      <c r="E57" s="4">
        <f ca="1">E167*'Total Duration Tables Sup #1'!E57*(1+'Other Assumptions'!I$48)</f>
        <v>7.4526795118351257E-3</v>
      </c>
      <c r="F57" s="4">
        <f ca="1">F167*'Total Duration Tables Sup #1'!F57*(1+'Other Assumptions'!J$48)</f>
        <v>7.3977651972381023E-3</v>
      </c>
      <c r="G57" s="4">
        <f ca="1">G167*'Total Duration Tables Sup #1'!G57*(1+'Other Assumptions'!K$48)</f>
        <v>7.4105066593247466E-3</v>
      </c>
      <c r="H57" s="4">
        <f ca="1">H167*'Total Duration Tables Sup #1'!H57*(1+'Other Assumptions'!L$48)</f>
        <v>7.3045718191981574E-3</v>
      </c>
      <c r="I57" s="4">
        <f ca="1">I167*'Total Duration Tables Sup #1'!I57*(1+'Other Assumptions'!M$48)</f>
        <v>7.2557455397775361E-3</v>
      </c>
      <c r="J57" s="4">
        <f ca="1">J167*'Total Duration Tables Sup #1'!J57*(1+'Other Assumptions'!N$48)</f>
        <v>7.1523153917488541E-3</v>
      </c>
      <c r="K57" s="4">
        <f ca="1">K167*'Total Duration Tables Sup #1'!K57*(1+'Other Assumptions'!O$48)</f>
        <v>7.0361626132697799E-3</v>
      </c>
    </row>
    <row r="58" spans="1:11" x14ac:dyDescent="0.2">
      <c r="A58" t="str">
        <f ca="1">OFFSET(Gisborne_Reference,63,2)</f>
        <v>Other Household Travel</v>
      </c>
      <c r="B58" s="4">
        <f ca="1">B168*'Total Duration Tables Sup #1'!B58*(1+'Other Assumptions'!D$48)</f>
        <v>5.2226492000000003E-3</v>
      </c>
      <c r="C58" s="4">
        <f ca="1">C168*'Total Duration Tables Sup #1'!C58*(1+'Other Assumptions'!G$48)</f>
        <v>5.5462218301998746E-3</v>
      </c>
      <c r="D58" s="4">
        <f ca="1">D168*'Total Duration Tables Sup #1'!D58*(1+'Other Assumptions'!H$48)</f>
        <v>5.6376003121422135E-3</v>
      </c>
      <c r="E58" s="4">
        <f ca="1">E168*'Total Duration Tables Sup #1'!E58*(1+'Other Assumptions'!I$48)</f>
        <v>5.6924133109619969E-3</v>
      </c>
      <c r="F58" s="4">
        <f ca="1">F168*'Total Duration Tables Sup #1'!F58*(1+'Other Assumptions'!J$48)</f>
        <v>5.6532432206590939E-3</v>
      </c>
      <c r="G58" s="4">
        <f ca="1">G168*'Total Duration Tables Sup #1'!G58*(1+'Other Assumptions'!K$48)</f>
        <v>5.5933524982488235E-3</v>
      </c>
      <c r="H58" s="4">
        <f ca="1">H168*'Total Duration Tables Sup #1'!H58*(1+'Other Assumptions'!L$48)</f>
        <v>5.4616901868708495E-3</v>
      </c>
      <c r="I58" s="4">
        <f ca="1">I168*'Total Duration Tables Sup #1'!I58*(1+'Other Assumptions'!M$48)</f>
        <v>5.4855268117506633E-3</v>
      </c>
      <c r="J58" s="4">
        <f ca="1">J168*'Total Duration Tables Sup #1'!J58*(1+'Other Assumptions'!N$48)</f>
        <v>5.485809255304154E-3</v>
      </c>
      <c r="K58" s="4">
        <f ca="1">K168*'Total Duration Tables Sup #1'!K58*(1+'Other Assumptions'!O$48)</f>
        <v>5.4732511329816892E-3</v>
      </c>
    </row>
    <row r="59" spans="1:11" x14ac:dyDescent="0.2">
      <c r="A59" t="str">
        <f ca="1">OFFSET(Hawkes_Bay_Reference,0,0)</f>
        <v>06 HAWKE`S BAY</v>
      </c>
    </row>
    <row r="60" spans="1:11" x14ac:dyDescent="0.2">
      <c r="A60" t="str">
        <f ca="1">OFFSET(Hawkes_Bay_Reference,0,2)</f>
        <v>Pedestrian</v>
      </c>
      <c r="B60" s="4">
        <f ca="1">B159*'Total Duration Tables Sup #1'!B60*(1+'Other Assumptions'!D$49)*(1+'Active Mode Assumptions'!B11)</f>
        <v>5.9462513095</v>
      </c>
      <c r="C60" s="4">
        <f ca="1">C159*'Total Duration Tables Sup #1'!C60*(1+'Other Assumptions'!G$49)*(1+'Active Mode Assumptions'!C11)</f>
        <v>5.9994935823451314</v>
      </c>
      <c r="D60" s="4">
        <f ca="1">D159*'Total Duration Tables Sup #1'!D60*(1+'Other Assumptions'!H$49)*(1+'Active Mode Assumptions'!D11)</f>
        <v>6.1373354420008255</v>
      </c>
      <c r="E60" s="4">
        <f ca="1">E159*'Total Duration Tables Sup #1'!E60*(1+'Other Assumptions'!I$49)*(1+'Active Mode Assumptions'!E11)</f>
        <v>6.2065681374125461</v>
      </c>
      <c r="F60" s="4">
        <f ca="1">F159*'Total Duration Tables Sup #1'!F60*(1+'Other Assumptions'!J$49)*(1+'Active Mode Assumptions'!F11)</f>
        <v>6.2149025245956659</v>
      </c>
      <c r="G60" s="4">
        <f ca="1">G159*'Total Duration Tables Sup #1'!G60*(1+'Other Assumptions'!K$49)*(1+'Active Mode Assumptions'!G11)</f>
        <v>6.2050062746564567</v>
      </c>
      <c r="H60" s="4">
        <f ca="1">H159*'Total Duration Tables Sup #1'!H60*(1+'Other Assumptions'!L$49)*(1+'Active Mode Assumptions'!H11)</f>
        <v>6.1519048953787454</v>
      </c>
      <c r="I60" s="4">
        <f ca="1">I159*'Total Duration Tables Sup #1'!I60*(1+'Other Assumptions'!M$49)*(1+'Active Mode Assumptions'!I11)</f>
        <v>6.2248912550560203</v>
      </c>
      <c r="J60" s="4">
        <f ca="1">J159*'Total Duration Tables Sup #1'!J60*(1+'Other Assumptions'!N$49)*(1+'Active Mode Assumptions'!J11)</f>
        <v>6.2790226490905949</v>
      </c>
      <c r="K60" s="4">
        <f ca="1">K159*'Total Duration Tables Sup #1'!K60*(1+'Other Assumptions'!O$49)*(1+'Active Mode Assumptions'!K11)</f>
        <v>6.3182754485361876</v>
      </c>
    </row>
    <row r="61" spans="1:11" x14ac:dyDescent="0.2">
      <c r="A61" t="str">
        <f ca="1">OFFSET(Hawkes_Bay_Reference,7,2)</f>
        <v>Cyclist</v>
      </c>
      <c r="B61" s="4">
        <f ca="1">B160*'Total Duration Tables Sup #1'!B61*(1+'Other Assumptions'!D$49)*(1+'Active Mode Assumptions'!B20)</f>
        <v>0.88401106659999995</v>
      </c>
      <c r="C61" s="4">
        <f ca="1">C160*'Total Duration Tables Sup #1'!C61*(1+'Other Assumptions'!G$49)*(1+'Active Mode Assumptions'!C20)</f>
        <v>0.90706735555661344</v>
      </c>
      <c r="D61" s="4">
        <f ca="1">D160*'Total Duration Tables Sup #1'!D61*(1+'Other Assumptions'!H$49)*(1+'Active Mode Assumptions'!D20)</f>
        <v>1.0492183027803725</v>
      </c>
      <c r="E61" s="4">
        <f ca="1">E160*'Total Duration Tables Sup #1'!E61*(1+'Other Assumptions'!I$49)*(1+'Active Mode Assumptions'!E20)</f>
        <v>1.1579493334586055</v>
      </c>
      <c r="F61" s="4">
        <f ca="1">F160*'Total Duration Tables Sup #1'!F61*(1+'Other Assumptions'!J$49)*(1+'Active Mode Assumptions'!F20)</f>
        <v>1.2779396151553482</v>
      </c>
      <c r="G61" s="4">
        <f ca="1">G160*'Total Duration Tables Sup #1'!G61*(1+'Other Assumptions'!K$49)*(1+'Active Mode Assumptions'!G20)</f>
        <v>1.4158452049779462</v>
      </c>
      <c r="H61" s="4">
        <f ca="1">H160*'Total Duration Tables Sup #1'!H61*(1+'Other Assumptions'!L$49)*(1+'Active Mode Assumptions'!H20)</f>
        <v>1.5543317389020888</v>
      </c>
      <c r="I61" s="4">
        <f ca="1">I160*'Total Duration Tables Sup #1'!I61*(1+'Other Assumptions'!M$49)*(1+'Active Mode Assumptions'!I20)</f>
        <v>1.5836469382382263</v>
      </c>
      <c r="J61" s="4">
        <f ca="1">J160*'Total Duration Tables Sup #1'!J61*(1+'Other Assumptions'!N$49)*(1+'Active Mode Assumptions'!J20)</f>
        <v>1.6129666927394508</v>
      </c>
      <c r="K61" s="4">
        <f ca="1">K160*'Total Duration Tables Sup #1'!K61*(1+'Other Assumptions'!O$49)*(1+'Active Mode Assumptions'!K20)</f>
        <v>1.6391570739861963</v>
      </c>
    </row>
    <row r="62" spans="1:11" x14ac:dyDescent="0.2">
      <c r="A62" t="str">
        <f ca="1">OFFSET(Hawkes_Bay_Reference,14,2)</f>
        <v>Light Vehicle Driver</v>
      </c>
      <c r="B62" s="4">
        <f ca="1">B161*'Total Duration Tables Sup #1'!B62*(1+'Other Assumptions'!D$49)-(B60*'Active Mode Assumptions'!B11*'Active Mode Assumptions'!B14/(1+'Active Mode Assumptions'!B11))-(B61*'Active Mode Assumptions'!B20*'Active Mode Assumptions'!B23/(1+'Active Mode Assumptions'!B20))</f>
        <v>25.377986313000001</v>
      </c>
      <c r="C62" s="4">
        <f ca="1">C161*'Total Duration Tables Sup #1'!C62*(1+'Other Assumptions'!G$49)-(C60*'Active Mode Assumptions'!C11*'Active Mode Assumptions'!C14/(1+'Active Mode Assumptions'!C11))-(C61*'Active Mode Assumptions'!C20*'Active Mode Assumptions'!C23/(1+'Active Mode Assumptions'!C20))</f>
        <v>26.766023037093095</v>
      </c>
      <c r="D62" s="4">
        <f ca="1">D161*'Total Duration Tables Sup #1'!D62*(1+'Other Assumptions'!H$49)-(D60*'Active Mode Assumptions'!D11*'Active Mode Assumptions'!D14/(1+'Active Mode Assumptions'!D11))-(D61*'Active Mode Assumptions'!D20*'Active Mode Assumptions'!D23/(1+'Active Mode Assumptions'!D20))</f>
        <v>27.395792280346541</v>
      </c>
      <c r="E62" s="4">
        <f ca="1">E161*'Total Duration Tables Sup #1'!E62*(1+'Other Assumptions'!I$49)-(E60*'Active Mode Assumptions'!E11*'Active Mode Assumptions'!E14/(1+'Active Mode Assumptions'!E11))-(E61*'Active Mode Assumptions'!E20*'Active Mode Assumptions'!E23/(1+'Active Mode Assumptions'!E20))</f>
        <v>28.154350938511236</v>
      </c>
      <c r="F62" s="4">
        <f ca="1">F161*'Total Duration Tables Sup #1'!F62*(1+'Other Assumptions'!J$49)-(F60*'Active Mode Assumptions'!F11*'Active Mode Assumptions'!F14/(1+'Active Mode Assumptions'!F11))-(F61*'Active Mode Assumptions'!F20*'Active Mode Assumptions'!F23/(1+'Active Mode Assumptions'!F20))</f>
        <v>28.5993152715001</v>
      </c>
      <c r="G62" s="4">
        <f ca="1">G161*'Total Duration Tables Sup #1'!G62*(1+'Other Assumptions'!K$49)-(G60*'Active Mode Assumptions'!G11*'Active Mode Assumptions'!G14/(1+'Active Mode Assumptions'!G11))-(G61*'Active Mode Assumptions'!G20*'Active Mode Assumptions'!G23/(1+'Active Mode Assumptions'!G20))</f>
        <v>28.720712741197648</v>
      </c>
      <c r="H62" s="4">
        <f ca="1">H161*'Total Duration Tables Sup #1'!H62*(1+'Other Assumptions'!L$49)-(H60*'Active Mode Assumptions'!H11*'Active Mode Assumptions'!H14/(1+'Active Mode Assumptions'!H11))-(H61*'Active Mode Assumptions'!H20*'Active Mode Assumptions'!H23/(1+'Active Mode Assumptions'!H20))</f>
        <v>28.578424737442589</v>
      </c>
      <c r="I62" s="4">
        <f ca="1">I161*'Total Duration Tables Sup #1'!I62*(1+'Other Assumptions'!M$49)-(I60*'Active Mode Assumptions'!I11*'Active Mode Assumptions'!I14/(1+'Active Mode Assumptions'!I11))-(I61*'Active Mode Assumptions'!I20*'Active Mode Assumptions'!I23/(1+'Active Mode Assumptions'!I20))</f>
        <v>28.862205323278168</v>
      </c>
      <c r="J62" s="4">
        <f ca="1">J161*'Total Duration Tables Sup #1'!J62*(1+'Other Assumptions'!N$49)-(J60*'Active Mode Assumptions'!J11*'Active Mode Assumptions'!J14/(1+'Active Mode Assumptions'!J11))-(J61*'Active Mode Assumptions'!J20*'Active Mode Assumptions'!J23/(1+'Active Mode Assumptions'!J20))</f>
        <v>29.04003033410137</v>
      </c>
      <c r="K62" s="4">
        <f ca="1">K161*'Total Duration Tables Sup #1'!K62*(1+'Other Assumptions'!O$49)-(K60*'Active Mode Assumptions'!K11*'Active Mode Assumptions'!K14/(1+'Active Mode Assumptions'!K11))-(K61*'Active Mode Assumptions'!K20*'Active Mode Assumptions'!K23/(1+'Active Mode Assumptions'!K20))</f>
        <v>29.147966553743792</v>
      </c>
    </row>
    <row r="63" spans="1:11" x14ac:dyDescent="0.2">
      <c r="A63" t="str">
        <f ca="1">OFFSET(Hawkes_Bay_Reference,21,2)</f>
        <v>Light Vehicle Passenger</v>
      </c>
      <c r="B63" s="4">
        <f ca="1">B162*'Total Duration Tables Sup #1'!B63*(1+'Other Assumptions'!D$49)-(B60*'Active Mode Assumptions'!B11*'Active Mode Assumptions'!B15/(1+'Active Mode Assumptions'!B11))-(B61*'Active Mode Assumptions'!B20*'Active Mode Assumptions'!B24/(1+'Active Mode Assumptions'!B20))</f>
        <v>15.230731736999999</v>
      </c>
      <c r="C63" s="4">
        <f ca="1">C162*'Total Duration Tables Sup #1'!C63*(1+'Other Assumptions'!G$49)-(C60*'Active Mode Assumptions'!C11*'Active Mode Assumptions'!C15/(1+'Active Mode Assumptions'!C11))-(C61*'Active Mode Assumptions'!C20*'Active Mode Assumptions'!C24/(1+'Active Mode Assumptions'!C20))</f>
        <v>15.326530144629915</v>
      </c>
      <c r="D63" s="4">
        <f ca="1">D162*'Total Duration Tables Sup #1'!D63*(1+'Other Assumptions'!H$49)-(D60*'Active Mode Assumptions'!D11*'Active Mode Assumptions'!D15/(1+'Active Mode Assumptions'!D11))-(D61*'Active Mode Assumptions'!D20*'Active Mode Assumptions'!D24/(1+'Active Mode Assumptions'!D20))</f>
        <v>15.453491321912551</v>
      </c>
      <c r="E63" s="4">
        <f ca="1">E162*'Total Duration Tables Sup #1'!E63*(1+'Other Assumptions'!I$49)-(E60*'Active Mode Assumptions'!E11*'Active Mode Assumptions'!E15/(1+'Active Mode Assumptions'!E11))-(E61*'Active Mode Assumptions'!E20*'Active Mode Assumptions'!E24/(1+'Active Mode Assumptions'!E20))</f>
        <v>15.604257595847198</v>
      </c>
      <c r="F63" s="4">
        <f ca="1">F162*'Total Duration Tables Sup #1'!F63*(1+'Other Assumptions'!J$49)-(F60*'Active Mode Assumptions'!F11*'Active Mode Assumptions'!F15/(1+'Active Mode Assumptions'!F11))-(F61*'Active Mode Assumptions'!F20*'Active Mode Assumptions'!F24/(1+'Active Mode Assumptions'!F20))</f>
        <v>15.612346933032741</v>
      </c>
      <c r="G63" s="4">
        <f ca="1">G162*'Total Duration Tables Sup #1'!G63*(1+'Other Assumptions'!K$49)-(G60*'Active Mode Assumptions'!G11*'Active Mode Assumptions'!G15/(1+'Active Mode Assumptions'!G11))-(G61*'Active Mode Assumptions'!G20*'Active Mode Assumptions'!G24/(1+'Active Mode Assumptions'!G20))</f>
        <v>15.524767546984554</v>
      </c>
      <c r="H63" s="4">
        <f ca="1">H162*'Total Duration Tables Sup #1'!H63*(1+'Other Assumptions'!L$49)-(H60*'Active Mode Assumptions'!H11*'Active Mode Assumptions'!H15/(1+'Active Mode Assumptions'!H11))-(H61*'Active Mode Assumptions'!H20*'Active Mode Assumptions'!H24/(1+'Active Mode Assumptions'!H20))</f>
        <v>15.32712093062259</v>
      </c>
      <c r="I63" s="4">
        <f ca="1">I162*'Total Duration Tables Sup #1'!I63*(1+'Other Assumptions'!M$49)-(I60*'Active Mode Assumptions'!I11*'Active Mode Assumptions'!I15/(1+'Active Mode Assumptions'!I11))-(I61*'Active Mode Assumptions'!I20*'Active Mode Assumptions'!I24/(1+'Active Mode Assumptions'!I20))</f>
        <v>15.490027916099335</v>
      </c>
      <c r="J63" s="4">
        <f ca="1">J162*'Total Duration Tables Sup #1'!J63*(1+'Other Assumptions'!N$49)-(J60*'Active Mode Assumptions'!J11*'Active Mode Assumptions'!J15/(1+'Active Mode Assumptions'!J11))-(J61*'Active Mode Assumptions'!J20*'Active Mode Assumptions'!J24/(1+'Active Mode Assumptions'!J20))</f>
        <v>15.59796662594265</v>
      </c>
      <c r="K63" s="4">
        <f ca="1">K162*'Total Duration Tables Sup #1'!K63*(1+'Other Assumptions'!O$49)-(K60*'Active Mode Assumptions'!K11*'Active Mode Assumptions'!K15/(1+'Active Mode Assumptions'!K11))-(K61*'Active Mode Assumptions'!K20*'Active Mode Assumptions'!K24/(1+'Active Mode Assumptions'!K20))</f>
        <v>15.668183799929391</v>
      </c>
    </row>
    <row r="64" spans="1:11" x14ac:dyDescent="0.2">
      <c r="A64" t="str">
        <f ca="1">OFFSET(Hawkes_Bay_Reference,28,2)</f>
        <v>Taxi/Vehicle Share</v>
      </c>
      <c r="B64" s="4">
        <f ca="1">B163*'Total Duration Tables Sup #1'!B64*(1+'Other Assumptions'!D$49)</f>
        <v>4.5837477299999999E-2</v>
      </c>
      <c r="C64" s="4">
        <f ca="1">C163*'Total Duration Tables Sup #1'!C64*(1+'Other Assumptions'!G$49)</f>
        <v>5.1004177960159443E-2</v>
      </c>
      <c r="D64" s="4">
        <f ca="1">D163*'Total Duration Tables Sup #1'!D64*(1+'Other Assumptions'!H$49)</f>
        <v>5.6132529997257673E-2</v>
      </c>
      <c r="E64" s="4">
        <f ca="1">E163*'Total Duration Tables Sup #1'!E64*(1+'Other Assumptions'!I$49)</f>
        <v>6.0436077651672367E-2</v>
      </c>
      <c r="F64" s="4">
        <f ca="1">F163*'Total Duration Tables Sup #1'!F64*(1+'Other Assumptions'!J$49)</f>
        <v>6.3635809573125521E-2</v>
      </c>
      <c r="G64" s="4">
        <f ca="1">G163*'Total Duration Tables Sup #1'!G64*(1+'Other Assumptions'!K$49)</f>
        <v>6.5439971233724178E-2</v>
      </c>
      <c r="H64" s="4">
        <f ca="1">H163*'Total Duration Tables Sup #1'!H64*(1+'Other Assumptions'!L$49)</f>
        <v>6.6478462375572062E-2</v>
      </c>
      <c r="I64" s="4">
        <f ca="1">I163*'Total Duration Tables Sup #1'!I64*(1+'Other Assumptions'!M$49)</f>
        <v>6.7243896716138354E-2</v>
      </c>
      <c r="J64" s="4">
        <f ca="1">J163*'Total Duration Tables Sup #1'!J64*(1+'Other Assumptions'!N$49)</f>
        <v>6.7818896997470443E-2</v>
      </c>
      <c r="K64" s="4">
        <f ca="1">K163*'Total Duration Tables Sup #1'!K64*(1+'Other Assumptions'!O$49)</f>
        <v>6.8236193759116992E-2</v>
      </c>
    </row>
    <row r="65" spans="1:11" x14ac:dyDescent="0.2">
      <c r="A65" t="str">
        <f ca="1">OFFSET(Hawkes_Bay_Reference,35,2)</f>
        <v>Motorcyclist</v>
      </c>
      <c r="B65" s="4">
        <f ca="1">B164*'Total Duration Tables Sup #1'!B65*(1+'Other Assumptions'!D$49)</f>
        <v>0.11763194120000001</v>
      </c>
      <c r="C65" s="4">
        <f ca="1">C164*'Total Duration Tables Sup #1'!C65*(1+'Other Assumptions'!G$49)</f>
        <v>0.12206515211951599</v>
      </c>
      <c r="D65" s="4">
        <f ca="1">D164*'Total Duration Tables Sup #1'!D65*(1+'Other Assumptions'!H$49)</f>
        <v>0.12518441610186642</v>
      </c>
      <c r="E65" s="4">
        <f ca="1">E164*'Total Duration Tables Sup #1'!E65*(1+'Other Assumptions'!I$49)</f>
        <v>0.12694620208218749</v>
      </c>
      <c r="F65" s="4">
        <f ca="1">F164*'Total Duration Tables Sup #1'!F65*(1+'Other Assumptions'!J$49)</f>
        <v>0.12665132430838</v>
      </c>
      <c r="G65" s="4">
        <f ca="1">G164*'Total Duration Tables Sup #1'!G65*(1+'Other Assumptions'!K$49)</f>
        <v>0.12382558078938027</v>
      </c>
      <c r="H65" s="4">
        <f ca="1">H164*'Total Duration Tables Sup #1'!H65*(1+'Other Assumptions'!L$49)</f>
        <v>0.11977223788521679</v>
      </c>
      <c r="I65" s="4">
        <f ca="1">I164*'Total Duration Tables Sup #1'!I65*(1+'Other Assumptions'!M$49)</f>
        <v>0.12142268981078491</v>
      </c>
      <c r="J65" s="4">
        <f ca="1">J164*'Total Duration Tables Sup #1'!J65*(1+'Other Assumptions'!N$49)</f>
        <v>0.12270949244004954</v>
      </c>
      <c r="K65" s="4">
        <f ca="1">K164*'Total Duration Tables Sup #1'!K65*(1+'Other Assumptions'!O$49)</f>
        <v>0.12369725649177617</v>
      </c>
    </row>
    <row r="66" spans="1:11" x14ac:dyDescent="0.2">
      <c r="A66" t="str">
        <f ca="1">OFFSET(Auckland_Reference,42,2)</f>
        <v>Local Train</v>
      </c>
      <c r="B66" s="4">
        <f ca="1">B165*'Total Duration Tables Sup #1'!B66*(1+'Other Assumptions'!D$49)</f>
        <v>0</v>
      </c>
      <c r="C66" s="4">
        <f ca="1">C165*'Total Duration Tables Sup #1'!C66*(1+'Other Assumptions'!G$49)</f>
        <v>0</v>
      </c>
      <c r="D66" s="4">
        <f ca="1">D165*'Total Duration Tables Sup #1'!D66*(1+'Other Assumptions'!H$49)</f>
        <v>0</v>
      </c>
      <c r="E66" s="4">
        <f ca="1">E165*'Total Duration Tables Sup #1'!E66*(1+'Other Assumptions'!I$49)</f>
        <v>0</v>
      </c>
      <c r="F66" s="4">
        <f ca="1">F165*'Total Duration Tables Sup #1'!F66*(1+'Other Assumptions'!J$49)</f>
        <v>0</v>
      </c>
      <c r="G66" s="4">
        <f ca="1">G165*'Total Duration Tables Sup #1'!G66*(1+'Other Assumptions'!K$49)</f>
        <v>0</v>
      </c>
      <c r="H66" s="4">
        <f ca="1">H165*'Total Duration Tables Sup #1'!H66*(1+'Other Assumptions'!L$49)</f>
        <v>0</v>
      </c>
      <c r="I66" s="4">
        <f ca="1">I165*'Total Duration Tables Sup #1'!I66*(1+'Other Assumptions'!M$49)</f>
        <v>0</v>
      </c>
      <c r="J66" s="4">
        <f ca="1">J165*'Total Duration Tables Sup #1'!J66*(1+'Other Assumptions'!N$49)</f>
        <v>0</v>
      </c>
      <c r="K66" s="4">
        <f ca="1">K165*'Total Duration Tables Sup #1'!K66*(1+'Other Assumptions'!O$49)</f>
        <v>0</v>
      </c>
    </row>
    <row r="67" spans="1:11" x14ac:dyDescent="0.2">
      <c r="A67" t="str">
        <f ca="1">OFFSET(Hawkes_Bay_Reference,42,2)</f>
        <v>Local Bus</v>
      </c>
      <c r="B67" s="4">
        <f ca="1">B166*'Total Duration Tables Sup #1'!B67*(1+'Other Assumptions'!D$49)</f>
        <v>1.3660147812000001</v>
      </c>
      <c r="C67" s="4">
        <f ca="1">C166*'Total Duration Tables Sup #1'!C67*(1+'Other Assumptions'!G$49)</f>
        <v>1.2422849508215292</v>
      </c>
      <c r="D67" s="4">
        <f ca="1">D166*'Total Duration Tables Sup #1'!D67*(1+'Other Assumptions'!H$49)</f>
        <v>1.2480631111839793</v>
      </c>
      <c r="E67" s="4">
        <f ca="1">E166*'Total Duration Tables Sup #1'!E67*(1+'Other Assumptions'!I$49)</f>
        <v>1.2361605405588925</v>
      </c>
      <c r="F67" s="4">
        <f ca="1">F166*'Total Duration Tables Sup #1'!F67*(1+'Other Assumptions'!J$49)</f>
        <v>1.2171066810332281</v>
      </c>
      <c r="G67" s="4">
        <f ca="1">G166*'Total Duration Tables Sup #1'!G67*(1+'Other Assumptions'!K$49)</f>
        <v>1.2059721836582493</v>
      </c>
      <c r="H67" s="4">
        <f ca="1">H166*'Total Duration Tables Sup #1'!H67*(1+'Other Assumptions'!L$49)</f>
        <v>1.192863152138437</v>
      </c>
      <c r="I67" s="4">
        <f ca="1">I166*'Total Duration Tables Sup #1'!I67*(1+'Other Assumptions'!M$49)</f>
        <v>1.2070739736614029</v>
      </c>
      <c r="J67" s="4">
        <f ca="1">J166*'Total Duration Tables Sup #1'!J67*(1+'Other Assumptions'!N$49)</f>
        <v>1.2172515658551035</v>
      </c>
      <c r="K67" s="4">
        <f ca="1">K166*'Total Duration Tables Sup #1'!K67*(1+'Other Assumptions'!O$49)</f>
        <v>1.2244705410965233</v>
      </c>
    </row>
    <row r="68" spans="1:11" x14ac:dyDescent="0.2">
      <c r="A68" t="str">
        <f ca="1">OFFSET(Waikato_Reference,56,2)</f>
        <v>Local Ferry</v>
      </c>
      <c r="B68" s="4">
        <f ca="1">B167*'Total Duration Tables Sup #1'!B68*(1+'Other Assumptions'!D$49)</f>
        <v>0</v>
      </c>
      <c r="C68" s="4">
        <f ca="1">C167*'Total Duration Tables Sup #1'!C68*(1+'Other Assumptions'!G$49)</f>
        <v>0</v>
      </c>
      <c r="D68" s="4">
        <f ca="1">D167*'Total Duration Tables Sup #1'!D68*(1+'Other Assumptions'!H$49)</f>
        <v>0</v>
      </c>
      <c r="E68" s="4">
        <f ca="1">E167*'Total Duration Tables Sup #1'!E68*(1+'Other Assumptions'!I$49)</f>
        <v>0</v>
      </c>
      <c r="F68" s="4">
        <f ca="1">F167*'Total Duration Tables Sup #1'!F68*(1+'Other Assumptions'!J$49)</f>
        <v>0</v>
      </c>
      <c r="G68" s="4">
        <f ca="1">G167*'Total Duration Tables Sup #1'!G68*(1+'Other Assumptions'!K$49)</f>
        <v>0</v>
      </c>
      <c r="H68" s="4">
        <f ca="1">H167*'Total Duration Tables Sup #1'!H68*(1+'Other Assumptions'!L$49)</f>
        <v>0</v>
      </c>
      <c r="I68" s="4">
        <f ca="1">I167*'Total Duration Tables Sup #1'!I68*(1+'Other Assumptions'!M$49)</f>
        <v>0</v>
      </c>
      <c r="J68" s="4">
        <f ca="1">J167*'Total Duration Tables Sup #1'!J68*(1+'Other Assumptions'!N$49)</f>
        <v>0</v>
      </c>
      <c r="K68" s="4">
        <f ca="1">K167*'Total Duration Tables Sup #1'!K68*(1+'Other Assumptions'!O$49)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Duration Tables Sup #1'!B69*(1+'Other Assumptions'!D$49)</f>
        <v>0.15778150060000001</v>
      </c>
      <c r="C69" s="4">
        <f ca="1">C168*'Total Duration Tables Sup #1'!C69*(1+'Other Assumptions'!G$49)</f>
        <v>0.16864368207679648</v>
      </c>
      <c r="D69" s="4">
        <f ca="1">D168*'Total Duration Tables Sup #1'!D69*(1+'Other Assumptions'!H$49)</f>
        <v>0.17168358946458775</v>
      </c>
      <c r="E69" s="4">
        <f ca="1">E168*'Total Duration Tables Sup #1'!E69*(1+'Other Assumptions'!I$49)</f>
        <v>0.1738304272047006</v>
      </c>
      <c r="F69" s="4">
        <f ca="1">F168*'Total Duration Tables Sup #1'!F69*(1+'Other Assumptions'!J$49)</f>
        <v>0.17291769722438707</v>
      </c>
      <c r="G69" s="4">
        <f ca="1">G168*'Total Duration Tables Sup #1'!G69*(1+'Other Assumptions'!K$49)</f>
        <v>0.17162687216617578</v>
      </c>
      <c r="H69" s="4">
        <f ca="1">H168*'Total Duration Tables Sup #1'!H69*(1+'Other Assumptions'!L$49)</f>
        <v>0.16800429302009759</v>
      </c>
      <c r="I69" s="4">
        <f ca="1">I168*'Total Duration Tables Sup #1'!I69*(1+'Other Assumptions'!M$49)</f>
        <v>0.16915774247659551</v>
      </c>
      <c r="J69" s="4">
        <f ca="1">J168*'Total Duration Tables Sup #1'!J69*(1+'Other Assumptions'!N$49)</f>
        <v>0.16958774350801167</v>
      </c>
      <c r="K69" s="4">
        <f ca="1">K168*'Total Duration Tables Sup #1'!K69*(1+'Other Assumptions'!O$49)</f>
        <v>0.16962089665566349</v>
      </c>
    </row>
    <row r="70" spans="1:11" x14ac:dyDescent="0.2">
      <c r="A70" t="str">
        <f ca="1">OFFSET(Taranaki_Reference,0,0)</f>
        <v>07 TARANAKI</v>
      </c>
    </row>
    <row r="71" spans="1:11" x14ac:dyDescent="0.2">
      <c r="A71" t="str">
        <f ca="1">OFFSET(Taranaki_Reference,0,2)</f>
        <v>Pedestrian</v>
      </c>
      <c r="B71" s="4">
        <f ca="1">B159*'Total Duration Tables Sup #1'!B71*(1+'Other Assumptions'!D$50)*(1+'Active Mode Assumptions'!B11)</f>
        <v>4.7547330373000003</v>
      </c>
      <c r="C71" s="4">
        <f ca="1">C159*'Total Duration Tables Sup #1'!C71*(1+'Other Assumptions'!G$50)*(1+'Active Mode Assumptions'!C11)</f>
        <v>4.8426090218265836</v>
      </c>
      <c r="D71" s="4">
        <f ca="1">D159*'Total Duration Tables Sup #1'!D71*(1+'Other Assumptions'!H$50)*(1+'Active Mode Assumptions'!D11)</f>
        <v>4.9948463026929284</v>
      </c>
      <c r="E71" s="4">
        <f ca="1">E159*'Total Duration Tables Sup #1'!E71*(1+'Other Assumptions'!I$50)*(1+'Active Mode Assumptions'!E11)</f>
        <v>5.0987475278838064</v>
      </c>
      <c r="F71" s="4">
        <f ca="1">F159*'Total Duration Tables Sup #1'!F71*(1+'Other Assumptions'!J$50)*(1+'Active Mode Assumptions'!F11)</f>
        <v>5.1596833316747297</v>
      </c>
      <c r="G71" s="4">
        <f ca="1">G159*'Total Duration Tables Sup #1'!G71*(1+'Other Assumptions'!K$50)*(1+'Active Mode Assumptions'!G11)</f>
        <v>5.2139013413404074</v>
      </c>
      <c r="H71" s="4">
        <f ca="1">H159*'Total Duration Tables Sup #1'!H71*(1+'Other Assumptions'!L$50)*(1+'Active Mode Assumptions'!H11)</f>
        <v>5.2395154318159225</v>
      </c>
      <c r="I71" s="4">
        <f ca="1">I159*'Total Duration Tables Sup #1'!I71*(1+'Other Assumptions'!M$50)*(1+'Active Mode Assumptions'!I11)</f>
        <v>5.3737097682959636</v>
      </c>
      <c r="J71" s="4">
        <f ca="1">J159*'Total Duration Tables Sup #1'!J71*(1+'Other Assumptions'!N$50)*(1+'Active Mode Assumptions'!J11)</f>
        <v>5.4940855050110553</v>
      </c>
      <c r="K71" s="4">
        <f ca="1">K159*'Total Duration Tables Sup #1'!K71*(1+'Other Assumptions'!O$50)*(1+'Active Mode Assumptions'!K11)</f>
        <v>5.6035447760159016</v>
      </c>
    </row>
    <row r="72" spans="1:11" x14ac:dyDescent="0.2">
      <c r="A72" t="str">
        <f ca="1">OFFSET(Taranaki_Reference,7,2)</f>
        <v>Cyclist</v>
      </c>
      <c r="B72" s="4">
        <f ca="1">B160*'Total Duration Tables Sup #1'!B72*(1+'Other Assumptions'!D$50)*(1+'Active Mode Assumptions'!B20)</f>
        <v>0.51341482110000003</v>
      </c>
      <c r="C72" s="4">
        <f ca="1">C160*'Total Duration Tables Sup #1'!C72*(1+'Other Assumptions'!G$50)*(1+'Active Mode Assumptions'!C20)</f>
        <v>0.53178021244915974</v>
      </c>
      <c r="D72" s="4">
        <f ca="1">D160*'Total Duration Tables Sup #1'!D72*(1+'Other Assumptions'!H$50)*(1+'Active Mode Assumptions'!D20)</f>
        <v>0.62020597848414583</v>
      </c>
      <c r="E72" s="4">
        <f ca="1">E160*'Total Duration Tables Sup #1'!E72*(1+'Other Assumptions'!I$50)*(1+'Active Mode Assumptions'!E20)</f>
        <v>0.6909225375471596</v>
      </c>
      <c r="F72" s="4">
        <f ca="1">F160*'Total Duration Tables Sup #1'!F72*(1+'Other Assumptions'!J$50)*(1+'Active Mode Assumptions'!F20)</f>
        <v>0.7705962335660691</v>
      </c>
      <c r="G72" s="4">
        <f ca="1">G160*'Total Duration Tables Sup #1'!G72*(1+'Other Assumptions'!K$50)*(1+'Active Mode Assumptions'!G20)</f>
        <v>0.86410034895336862</v>
      </c>
      <c r="H72" s="4">
        <f ca="1">H160*'Total Duration Tables Sup #1'!H72*(1+'Other Assumptions'!L$50)*(1+'Active Mode Assumptions'!H20)</f>
        <v>0.96150832367254424</v>
      </c>
      <c r="I72" s="4">
        <f ca="1">I160*'Total Duration Tables Sup #1'!I72*(1+'Other Assumptions'!M$50)*(1+'Active Mode Assumptions'!I20)</f>
        <v>0.99295284679293272</v>
      </c>
      <c r="J72" s="4">
        <f ca="1">J160*'Total Duration Tables Sup #1'!J72*(1+'Other Assumptions'!N$50)*(1+'Active Mode Assumptions'!J20)</f>
        <v>1.0250772285384233</v>
      </c>
      <c r="K72" s="4">
        <f ca="1">K160*'Total Duration Tables Sup #1'!K72*(1+'Other Assumptions'!O$50)*(1+'Active Mode Assumptions'!K20)</f>
        <v>1.055875434022044</v>
      </c>
    </row>
    <row r="73" spans="1:11" x14ac:dyDescent="0.2">
      <c r="A73" t="str">
        <f ca="1">OFFSET(Taranaki_Reference,14,2)</f>
        <v>Light Vehicle Driver</v>
      </c>
      <c r="B73" s="4">
        <f ca="1">B161*'Total Duration Tables Sup #1'!B73*(1+'Other Assumptions'!D$50)-(B71*'Active Mode Assumptions'!B11*'Active Mode Assumptions'!B14/(1+'Active Mode Assumptions'!B11))-(B72*'Active Mode Assumptions'!B20*'Active Mode Assumptions'!B23/(1+'Active Mode Assumptions'!B20))</f>
        <v>21.205429401</v>
      </c>
      <c r="C73" s="4">
        <f ca="1">C161*'Total Duration Tables Sup #1'!C73*(1+'Other Assumptions'!G$50)-(C71*'Active Mode Assumptions'!C11*'Active Mode Assumptions'!C14/(1+'Active Mode Assumptions'!C11))-(C72*'Active Mode Assumptions'!C20*'Active Mode Assumptions'!C23/(1+'Active Mode Assumptions'!C20))</f>
        <v>22.576452224700802</v>
      </c>
      <c r="D73" s="4">
        <f ca="1">D161*'Total Duration Tables Sup #1'!D73*(1+'Other Assumptions'!H$50)-(D71*'Active Mode Assumptions'!D11*'Active Mode Assumptions'!D14/(1+'Active Mode Assumptions'!D11))-(D72*'Active Mode Assumptions'!D20*'Active Mode Assumptions'!D23/(1+'Active Mode Assumptions'!D20))</f>
        <v>23.306064719870999</v>
      </c>
      <c r="E73" s="4">
        <f ca="1">E161*'Total Duration Tables Sup #1'!E73*(1+'Other Assumptions'!I$50)-(E71*'Active Mode Assumptions'!E11*'Active Mode Assumptions'!E14/(1+'Active Mode Assumptions'!E11))-(E72*'Active Mode Assumptions'!E20*'Active Mode Assumptions'!E23/(1+'Active Mode Assumptions'!E20))</f>
        <v>24.184161161771673</v>
      </c>
      <c r="F73" s="4">
        <f ca="1">F161*'Total Duration Tables Sup #1'!F73*(1+'Other Assumptions'!J$50)-(F71*'Active Mode Assumptions'!F11*'Active Mode Assumptions'!F14/(1+'Active Mode Assumptions'!F11))-(F72*'Active Mode Assumptions'!F20*'Active Mode Assumptions'!F23/(1+'Active Mode Assumptions'!F20))</f>
        <v>24.834196057832674</v>
      </c>
      <c r="G73" s="4">
        <f ca="1">G161*'Total Duration Tables Sup #1'!G73*(1+'Other Assumptions'!K$50)-(G71*'Active Mode Assumptions'!G11*'Active Mode Assumptions'!G14/(1+'Active Mode Assumptions'!G11))-(G72*'Active Mode Assumptions'!G20*'Active Mode Assumptions'!G23/(1+'Active Mode Assumptions'!G20))</f>
        <v>25.250129739937083</v>
      </c>
      <c r="H73" s="4">
        <f ca="1">H161*'Total Duration Tables Sup #1'!H73*(1+'Other Assumptions'!L$50)-(H71*'Active Mode Assumptions'!H11*'Active Mode Assumptions'!H14/(1+'Active Mode Assumptions'!H11))-(H72*'Active Mode Assumptions'!H20*'Active Mode Assumptions'!H23/(1+'Active Mode Assumptions'!H20))</f>
        <v>25.475221912608053</v>
      </c>
      <c r="I73" s="4">
        <f ca="1">I161*'Total Duration Tables Sup #1'!I73*(1+'Other Assumptions'!M$50)-(I71*'Active Mode Assumptions'!I11*'Active Mode Assumptions'!I14/(1+'Active Mode Assumptions'!I11))-(I72*'Active Mode Assumptions'!I20*'Active Mode Assumptions'!I23/(1+'Active Mode Assumptions'!I20))</f>
        <v>26.078079328756676</v>
      </c>
      <c r="J73" s="4">
        <f ca="1">J161*'Total Duration Tables Sup #1'!J73*(1+'Other Assumptions'!N$50)-(J71*'Active Mode Assumptions'!J11*'Active Mode Assumptions'!J14/(1+'Active Mode Assumptions'!J11))-(J72*'Active Mode Assumptions'!J20*'Active Mode Assumptions'!J23/(1+'Active Mode Assumptions'!J20))</f>
        <v>26.595718996329754</v>
      </c>
      <c r="K73" s="4">
        <f ca="1">K161*'Total Duration Tables Sup #1'!K73*(1+'Other Assumptions'!O$50)-(K71*'Active Mode Assumptions'!K11*'Active Mode Assumptions'!K14/(1+'Active Mode Assumptions'!K11))-(K72*'Active Mode Assumptions'!K20*'Active Mode Assumptions'!K23/(1+'Active Mode Assumptions'!K20))</f>
        <v>27.057752811712309</v>
      </c>
    </row>
    <row r="74" spans="1:11" x14ac:dyDescent="0.2">
      <c r="A74" t="str">
        <f ca="1">OFFSET(Taranaki_Reference,21,2)</f>
        <v>Light Vehicle Passenger</v>
      </c>
      <c r="B74" s="4">
        <f ca="1">B162*'Total Duration Tables Sup #1'!B74*(1+'Other Assumptions'!D$50)-(B71*'Active Mode Assumptions'!B11*'Active Mode Assumptions'!B15/(1+'Active Mode Assumptions'!B11))-(B72*'Active Mode Assumptions'!B20*'Active Mode Assumptions'!B24/(1+'Active Mode Assumptions'!B20))</f>
        <v>13.125178352000001</v>
      </c>
      <c r="C74" s="4">
        <f ca="1">C162*'Total Duration Tables Sup #1'!C74*(1+'Other Assumptions'!G$50)-(C71*'Active Mode Assumptions'!C11*'Active Mode Assumptions'!C15/(1+'Active Mode Assumptions'!C11))-(C72*'Active Mode Assumptions'!C20*'Active Mode Assumptions'!C24/(1+'Active Mode Assumptions'!C20))</f>
        <v>13.332458005986545</v>
      </c>
      <c r="D74" s="4">
        <f ca="1">D162*'Total Duration Tables Sup #1'!D74*(1+'Other Assumptions'!H$50)-(D71*'Active Mode Assumptions'!D11*'Active Mode Assumptions'!D15/(1+'Active Mode Assumptions'!D11))-(D72*'Active Mode Assumptions'!D20*'Active Mode Assumptions'!D24/(1+'Active Mode Assumptions'!D20))</f>
        <v>13.56281462739927</v>
      </c>
      <c r="E74" s="4">
        <f ca="1">E162*'Total Duration Tables Sup #1'!E74*(1+'Other Assumptions'!I$50)-(E71*'Active Mode Assumptions'!E11*'Active Mode Assumptions'!E15/(1+'Active Mode Assumptions'!E11))-(E72*'Active Mode Assumptions'!E20*'Active Mode Assumptions'!E24/(1+'Active Mode Assumptions'!E20))</f>
        <v>13.832921003483808</v>
      </c>
      <c r="F74" s="4">
        <f ca="1">F162*'Total Duration Tables Sup #1'!F74*(1+'Other Assumptions'!J$50)-(F71*'Active Mode Assumptions'!F11*'Active Mode Assumptions'!F15/(1+'Active Mode Assumptions'!F11))-(F72*'Active Mode Assumptions'!F20*'Active Mode Assumptions'!F24/(1+'Active Mode Assumptions'!F20))</f>
        <v>13.995962478045987</v>
      </c>
      <c r="G74" s="4">
        <f ca="1">G162*'Total Duration Tables Sup #1'!G74*(1+'Other Assumptions'!K$50)-(G71*'Active Mode Assumptions'!G11*'Active Mode Assumptions'!G15/(1+'Active Mode Assumptions'!G11))-(G72*'Active Mode Assumptions'!G20*'Active Mode Assumptions'!G24/(1+'Active Mode Assumptions'!G20))</f>
        <v>14.096131381359232</v>
      </c>
      <c r="H74" s="4">
        <f ca="1">H162*'Total Duration Tables Sup #1'!H74*(1+'Other Assumptions'!L$50)-(H71*'Active Mode Assumptions'!H11*'Active Mode Assumptions'!H15/(1+'Active Mode Assumptions'!H11))-(H72*'Active Mode Assumptions'!H20*'Active Mode Assumptions'!H24/(1+'Active Mode Assumptions'!H20))</f>
        <v>14.116384079394161</v>
      </c>
      <c r="I74" s="4">
        <f ca="1">I162*'Total Duration Tables Sup #1'!I74*(1+'Other Assumptions'!M$50)-(I71*'Active Mode Assumptions'!I11*'Active Mode Assumptions'!I15/(1+'Active Mode Assumptions'!I11))-(I72*'Active Mode Assumptions'!I20*'Active Mode Assumptions'!I24/(1+'Active Mode Assumptions'!I20))</f>
        <v>14.460591941635901</v>
      </c>
      <c r="J74" s="4">
        <f ca="1">J162*'Total Duration Tables Sup #1'!J74*(1+'Other Assumptions'!N$50)-(J71*'Active Mode Assumptions'!J11*'Active Mode Assumptions'!J15/(1+'Active Mode Assumptions'!J11))-(J72*'Active Mode Assumptions'!J20*'Active Mode Assumptions'!J24/(1+'Active Mode Assumptions'!J20))</f>
        <v>14.759683958941769</v>
      </c>
      <c r="K74" s="4">
        <f ca="1">K162*'Total Duration Tables Sup #1'!K74*(1+'Other Assumptions'!O$50)-(K71*'Active Mode Assumptions'!K11*'Active Mode Assumptions'!K15/(1+'Active Mode Assumptions'!K11))-(K72*'Active Mode Assumptions'!K20*'Active Mode Assumptions'!K24/(1+'Active Mode Assumptions'!K20))</f>
        <v>15.028075210566767</v>
      </c>
    </row>
    <row r="75" spans="1:11" x14ac:dyDescent="0.2">
      <c r="A75" t="str">
        <f ca="1">OFFSET(Taranaki_Reference,28,2)</f>
        <v>Taxi/Vehicle Share</v>
      </c>
      <c r="B75" s="4">
        <f ca="1">B163*'Total Duration Tables Sup #1'!B75*(1+'Other Assumptions'!D$50)</f>
        <v>0.10005985589999999</v>
      </c>
      <c r="C75" s="4">
        <f ca="1">C163*'Total Duration Tables Sup #1'!C75*(1+'Other Assumptions'!G$50)</f>
        <v>0.11238978841308572</v>
      </c>
      <c r="D75" s="4">
        <f ca="1">D163*'Total Duration Tables Sup #1'!D75*(1+'Other Assumptions'!H$50)</f>
        <v>0.12471341539412543</v>
      </c>
      <c r="E75" s="4">
        <f ca="1">E163*'Total Duration Tables Sup #1'!E75*(1+'Other Assumptions'!I$50)</f>
        <v>0.13553908150465435</v>
      </c>
      <c r="F75" s="4">
        <f ca="1">F163*'Total Duration Tables Sup #1'!F75*(1+'Other Assumptions'!J$50)</f>
        <v>0.14422700590755827</v>
      </c>
      <c r="G75" s="4">
        <f ca="1">G163*'Total Duration Tables Sup #1'!G75*(1+'Other Assumptions'!K$50)</f>
        <v>0.15011357618956045</v>
      </c>
      <c r="H75" s="4">
        <f ca="1">H163*'Total Duration Tables Sup #1'!H75*(1+'Other Assumptions'!L$50)</f>
        <v>0.15456770699417241</v>
      </c>
      <c r="I75" s="4">
        <f ca="1">I163*'Total Duration Tables Sup #1'!I75*(1+'Other Assumptions'!M$50)</f>
        <v>0.15847165651349454</v>
      </c>
      <c r="J75" s="4">
        <f ca="1">J163*'Total Duration Tables Sup #1'!J75*(1+'Other Assumptions'!N$50)</f>
        <v>0.1619982690722914</v>
      </c>
      <c r="K75" s="4">
        <f ca="1">K163*'Total Duration Tables Sup #1'!K75*(1+'Other Assumptions'!O$50)</f>
        <v>0.16520963532506955</v>
      </c>
    </row>
    <row r="76" spans="1:11" x14ac:dyDescent="0.2">
      <c r="A76" t="str">
        <f ca="1">OFFSET(Taranaki_Reference,35,2)</f>
        <v>Motorcyclist</v>
      </c>
      <c r="B76" s="4">
        <f ca="1">B164*'Total Duration Tables Sup #1'!B76*(1+'Other Assumptions'!D$50)</f>
        <v>0.25001806910000002</v>
      </c>
      <c r="C76" s="4">
        <f ca="1">C164*'Total Duration Tables Sup #1'!C76*(1+'Other Assumptions'!G$50)</f>
        <v>0.26189051249532325</v>
      </c>
      <c r="D76" s="4">
        <f ca="1">D164*'Total Duration Tables Sup #1'!D76*(1+'Other Assumptions'!H$50)</f>
        <v>0.27080444677329896</v>
      </c>
      <c r="E76" s="4">
        <f ca="1">E164*'Total Duration Tables Sup #1'!E76*(1+'Other Assumptions'!I$50)</f>
        <v>0.27720109898924256</v>
      </c>
      <c r="F76" s="4">
        <f ca="1">F164*'Total Duration Tables Sup #1'!F76*(1+'Other Assumptions'!J$50)</f>
        <v>0.2794870676768228</v>
      </c>
      <c r="G76" s="4">
        <f ca="1">G164*'Total Duration Tables Sup #1'!G76*(1+'Other Assumptions'!K$50)</f>
        <v>0.27656308620335446</v>
      </c>
      <c r="H76" s="4">
        <f ca="1">H164*'Total Duration Tables Sup #1'!H76*(1+'Other Assumptions'!L$50)</f>
        <v>0.27114458165929994</v>
      </c>
      <c r="I76" s="4">
        <f ca="1">I164*'Total Duration Tables Sup #1'!I76*(1+'Other Assumptions'!M$50)</f>
        <v>0.27861567235401125</v>
      </c>
      <c r="J76" s="4">
        <f ca="1">J164*'Total Duration Tables Sup #1'!J76*(1+'Other Assumptions'!N$50)</f>
        <v>0.28539396119872862</v>
      </c>
      <c r="K76" s="4">
        <f ca="1">K164*'Total Duration Tables Sup #1'!K76*(1+'Other Assumptions'!O$50)</f>
        <v>0.29160006327765242</v>
      </c>
    </row>
    <row r="77" spans="1:11" x14ac:dyDescent="0.2">
      <c r="A77" t="str">
        <f ca="1">OFFSET(Taranaki_Reference,42,2)</f>
        <v>Local Train</v>
      </c>
      <c r="B77" s="4">
        <f ca="1">B165*'Total Duration Tables Sup #1'!B77*(1+'Other Assumptions'!D$50)</f>
        <v>0</v>
      </c>
      <c r="C77" s="4">
        <f ca="1">C165*'Total Duration Tables Sup #1'!C77*(1+'Other Assumptions'!G$50)</f>
        <v>0</v>
      </c>
      <c r="D77" s="4">
        <f ca="1">D165*'Total Duration Tables Sup #1'!D77*(1+'Other Assumptions'!H$50)</f>
        <v>0</v>
      </c>
      <c r="E77" s="4">
        <f ca="1">E165*'Total Duration Tables Sup #1'!E77*(1+'Other Assumptions'!I$50)</f>
        <v>0</v>
      </c>
      <c r="F77" s="4">
        <f ca="1">F165*'Total Duration Tables Sup #1'!F77*(1+'Other Assumptions'!J$50)</f>
        <v>0</v>
      </c>
      <c r="G77" s="4">
        <f ca="1">G165*'Total Duration Tables Sup #1'!G77*(1+'Other Assumptions'!K$50)</f>
        <v>0</v>
      </c>
      <c r="H77" s="4">
        <f ca="1">H165*'Total Duration Tables Sup #1'!H77*(1+'Other Assumptions'!L$50)</f>
        <v>0</v>
      </c>
      <c r="I77" s="4">
        <f ca="1">I165*'Total Duration Tables Sup #1'!I77*(1+'Other Assumptions'!M$50)</f>
        <v>0</v>
      </c>
      <c r="J77" s="4">
        <f ca="1">J165*'Total Duration Tables Sup #1'!J77*(1+'Other Assumptions'!N$50)</f>
        <v>0</v>
      </c>
      <c r="K77" s="4">
        <f ca="1">K165*'Total Duration Tables Sup #1'!K77*(1+'Other Assumptions'!O$50)</f>
        <v>0</v>
      </c>
    </row>
    <row r="78" spans="1:11" x14ac:dyDescent="0.2">
      <c r="A78" t="str">
        <f ca="1">OFFSET(Taranaki_Reference,49,2)</f>
        <v>Local Bus</v>
      </c>
      <c r="B78" s="4">
        <f ca="1">B166*'Total Duration Tables Sup #1'!B78*(1+'Other Assumptions'!D$50)</f>
        <v>0.4632962336</v>
      </c>
      <c r="C78" s="4">
        <f ca="1">C166*'Total Duration Tables Sup #1'!C78*(1+'Other Assumptions'!G$50)</f>
        <v>0.4253109175690154</v>
      </c>
      <c r="D78" s="4">
        <f ca="1">D166*'Total Duration Tables Sup #1'!D78*(1+'Other Assumptions'!H$50)</f>
        <v>0.43082342448982214</v>
      </c>
      <c r="E78" s="4">
        <f ca="1">E166*'Total Duration Tables Sup #1'!E78*(1+'Other Assumptions'!I$50)</f>
        <v>0.43073221039814824</v>
      </c>
      <c r="F78" s="4">
        <f ca="1">F166*'Total Duration Tables Sup #1'!F78*(1+'Other Assumptions'!J$50)</f>
        <v>0.42858588734632069</v>
      </c>
      <c r="G78" s="4">
        <f ca="1">G166*'Total Duration Tables Sup #1'!G78*(1+'Other Assumptions'!K$50)</f>
        <v>0.42981183324009237</v>
      </c>
      <c r="H78" s="4">
        <f ca="1">H166*'Total Duration Tables Sup #1'!H78*(1+'Other Assumptions'!L$50)</f>
        <v>0.43091600750216974</v>
      </c>
      <c r="I78" s="4">
        <f ca="1">I166*'Total Duration Tables Sup #1'!I78*(1+'Other Assumptions'!M$50)</f>
        <v>0.44197409667423287</v>
      </c>
      <c r="J78" s="4">
        <f ca="1">J166*'Total Duration Tables Sup #1'!J78*(1+'Other Assumptions'!N$50)</f>
        <v>0.45175628108173427</v>
      </c>
      <c r="K78" s="4">
        <f ca="1">K166*'Total Duration Tables Sup #1'!K78*(1+'Other Assumptions'!O$50)</f>
        <v>0.46060974884952721</v>
      </c>
    </row>
    <row r="79" spans="1:11" x14ac:dyDescent="0.2">
      <c r="A79" t="str">
        <f ca="1">OFFSET(Waikato_Reference,56,2)</f>
        <v>Local Ferry</v>
      </c>
      <c r="B79" s="4">
        <f ca="1">B167*'Total Duration Tables Sup #1'!B79*(1+'Other Assumptions'!D$50)</f>
        <v>0</v>
      </c>
      <c r="C79" s="4">
        <f ca="1">C167*'Total Duration Tables Sup #1'!C79*(1+'Other Assumptions'!G$50)</f>
        <v>0</v>
      </c>
      <c r="D79" s="4">
        <f ca="1">D167*'Total Duration Tables Sup #1'!D79*(1+'Other Assumptions'!H$50)</f>
        <v>0</v>
      </c>
      <c r="E79" s="4">
        <f ca="1">E167*'Total Duration Tables Sup #1'!E79*(1+'Other Assumptions'!I$50)</f>
        <v>0</v>
      </c>
      <c r="F79" s="4">
        <f ca="1">F167*'Total Duration Tables Sup #1'!F79*(1+'Other Assumptions'!J$50)</f>
        <v>0</v>
      </c>
      <c r="G79" s="4">
        <f ca="1">G167*'Total Duration Tables Sup #1'!G79*(1+'Other Assumptions'!K$50)</f>
        <v>0</v>
      </c>
      <c r="H79" s="4">
        <f ca="1">H167*'Total Duration Tables Sup #1'!H79*(1+'Other Assumptions'!L$50)</f>
        <v>0</v>
      </c>
      <c r="I79" s="4">
        <f ca="1">I167*'Total Duration Tables Sup #1'!I79*(1+'Other Assumptions'!M$50)</f>
        <v>0</v>
      </c>
      <c r="J79" s="4">
        <f ca="1">J167*'Total Duration Tables Sup #1'!J79*(1+'Other Assumptions'!N$50)</f>
        <v>0</v>
      </c>
      <c r="K79" s="4">
        <f ca="1">K167*'Total Duration Tables Sup #1'!K79*(1+'Other Assumptions'!O$50)</f>
        <v>0</v>
      </c>
    </row>
    <row r="80" spans="1:11" x14ac:dyDescent="0.2">
      <c r="A80" t="str">
        <f ca="1">OFFSET(Taranaki_Reference,56,2)</f>
        <v>Other Household Travel</v>
      </c>
      <c r="B80" s="4">
        <f ca="1">B168*'Total Duration Tables Sup #1'!B80*(1+'Other Assumptions'!D$50)</f>
        <v>5.6354069499999999E-2</v>
      </c>
      <c r="C80" s="4">
        <f ca="1">C168*'Total Duration Tables Sup #1'!C80*(1+'Other Assumptions'!G$50)</f>
        <v>6.0802468707559496E-2</v>
      </c>
      <c r="D80" s="4">
        <f ca="1">D168*'Total Duration Tables Sup #1'!D80*(1+'Other Assumptions'!H$50)</f>
        <v>6.241045897042493E-2</v>
      </c>
      <c r="E80" s="4">
        <f ca="1">E168*'Total Duration Tables Sup #1'!E80*(1+'Other Assumptions'!I$50)</f>
        <v>6.3785813850670225E-2</v>
      </c>
      <c r="F80" s="4">
        <f ca="1">F168*'Total Duration Tables Sup #1'!F80*(1+'Other Assumptions'!J$50)</f>
        <v>6.4123097568980422E-2</v>
      </c>
      <c r="G80" s="4">
        <f ca="1">G168*'Total Duration Tables Sup #1'!G80*(1+'Other Assumptions'!K$50)</f>
        <v>6.4415768913239219E-2</v>
      </c>
      <c r="H80" s="4">
        <f ca="1">H168*'Total Duration Tables Sup #1'!H80*(1+'Other Assumptions'!L$50)</f>
        <v>6.391285436985962E-2</v>
      </c>
      <c r="I80" s="4">
        <f ca="1">I168*'Total Duration Tables Sup #1'!I80*(1+'Other Assumptions'!M$50)</f>
        <v>6.5225984313061661E-2</v>
      </c>
      <c r="J80" s="4">
        <f ca="1">J168*'Total Duration Tables Sup #1'!J80*(1+'Other Assumptions'!N$50)</f>
        <v>6.6280251781904151E-2</v>
      </c>
      <c r="K80" s="4">
        <f ca="1">K168*'Total Duration Tables Sup #1'!K80*(1+'Other Assumptions'!O$50)</f>
        <v>6.7193918672667802E-2</v>
      </c>
    </row>
    <row r="81" spans="1:11" x14ac:dyDescent="0.2">
      <c r="A81" t="str">
        <f ca="1">OFFSET(Manawatu_Reference,0,0)</f>
        <v>08 MANAWATU-WANGANUI</v>
      </c>
    </row>
    <row r="82" spans="1:11" x14ac:dyDescent="0.2">
      <c r="A82" t="str">
        <f ca="1">OFFSET(Manawatu_Reference,0,2)</f>
        <v>Pedestrian</v>
      </c>
      <c r="B82" s="4">
        <f ca="1">B159*'Total Duration Tables Sup #1'!B82*(1+'Other Assumptions'!D$51)*(1+'Active Mode Assumptions'!B11)</f>
        <v>8.3408449691000008</v>
      </c>
      <c r="C82" s="4">
        <f ca="1">C159*'Total Duration Tables Sup #1'!C82*(1+'Other Assumptions'!G$51)*(1+'Active Mode Assumptions'!C11)</f>
        <v>8.4286328987279102</v>
      </c>
      <c r="D82" s="4">
        <f ca="1">D159*'Total Duration Tables Sup #1'!D82*(1+'Other Assumptions'!H$51)*(1+'Active Mode Assumptions'!D11)</f>
        <v>8.596405749411991</v>
      </c>
      <c r="E82" s="4">
        <f ca="1">E159*'Total Duration Tables Sup #1'!E82*(1+'Other Assumptions'!I$51)*(1+'Active Mode Assumptions'!E11)</f>
        <v>8.6670120056051978</v>
      </c>
      <c r="F82" s="4">
        <f ca="1">F159*'Total Duration Tables Sup #1'!F82*(1+'Other Assumptions'!J$51)*(1+'Active Mode Assumptions'!F11)</f>
        <v>8.6614679749791339</v>
      </c>
      <c r="G82" s="4">
        <f ca="1">G159*'Total Duration Tables Sup #1'!G82*(1+'Other Assumptions'!K$51)*(1+'Active Mode Assumptions'!G11)</f>
        <v>8.634115015747712</v>
      </c>
      <c r="H82" s="4">
        <f ca="1">H159*'Total Duration Tables Sup #1'!H82*(1+'Other Assumptions'!L$51)*(1+'Active Mode Assumptions'!H11)</f>
        <v>8.548864491533541</v>
      </c>
      <c r="I82" s="4">
        <f ca="1">I159*'Total Duration Tables Sup #1'!I82*(1+'Other Assumptions'!M$51)*(1+'Active Mode Assumptions'!I11)</f>
        <v>8.6388076607216</v>
      </c>
      <c r="J82" s="4">
        <f ca="1">J159*'Total Duration Tables Sup #1'!J82*(1+'Other Assumptions'!N$51)*(1+'Active Mode Assumptions'!J11)</f>
        <v>8.7023651229532657</v>
      </c>
      <c r="K82" s="4">
        <f ca="1">K159*'Total Duration Tables Sup #1'!K82*(1+'Other Assumptions'!O$51)*(1+'Active Mode Assumptions'!K11)</f>
        <v>8.745145149181079</v>
      </c>
    </row>
    <row r="83" spans="1:11" x14ac:dyDescent="0.2">
      <c r="A83" t="str">
        <f ca="1">OFFSET(Manawatu_Reference,7,2)</f>
        <v>Cyclist</v>
      </c>
      <c r="B83" s="4">
        <f ca="1">B160*'Total Duration Tables Sup #1'!B83*(1+'Other Assumptions'!D$51)*(1+'Active Mode Assumptions'!B20)</f>
        <v>1.7566260256999999</v>
      </c>
      <c r="C83" s="4">
        <f ca="1">C160*'Total Duration Tables Sup #1'!C83*(1+'Other Assumptions'!G$51)*(1+'Active Mode Assumptions'!C20)</f>
        <v>1.8052481362730051</v>
      </c>
      <c r="D83" s="4">
        <f ca="1">D160*'Total Duration Tables Sup #1'!D83*(1+'Other Assumptions'!H$51)*(1+'Active Mode Assumptions'!D20)</f>
        <v>2.0818897414270143</v>
      </c>
      <c r="E83" s="4">
        <f ca="1">E160*'Total Duration Tables Sup #1'!E83*(1+'Other Assumptions'!I$51)*(1+'Active Mode Assumptions'!E20)</f>
        <v>2.2906685318114666</v>
      </c>
      <c r="F83" s="4">
        <f ca="1">F160*'Total Duration Tables Sup #1'!F83*(1+'Other Assumptions'!J$51)*(1+'Active Mode Assumptions'!F20)</f>
        <v>2.5230295535216474</v>
      </c>
      <c r="G83" s="4">
        <f ca="1">G160*'Total Duration Tables Sup #1'!G83*(1+'Other Assumptions'!K$51)*(1+'Active Mode Assumptions'!G20)</f>
        <v>2.7909123727401806</v>
      </c>
      <c r="H83" s="4">
        <f ca="1">H160*'Total Duration Tables Sup #1'!H83*(1+'Other Assumptions'!L$51)*(1+'Active Mode Assumptions'!H20)</f>
        <v>3.0598304166456542</v>
      </c>
      <c r="I83" s="4">
        <f ca="1">I160*'Total Duration Tables Sup #1'!I83*(1+'Other Assumptions'!M$51)*(1+'Active Mode Assumptions'!I20)</f>
        <v>3.1134021663926701</v>
      </c>
      <c r="J83" s="4">
        <f ca="1">J160*'Total Duration Tables Sup #1'!J83*(1+'Other Assumptions'!N$51)*(1+'Active Mode Assumptions'!J20)</f>
        <v>3.1668352673693438</v>
      </c>
      <c r="K83" s="4">
        <f ca="1">K160*'Total Duration Tables Sup #1'!K83*(1+'Other Assumptions'!O$51)*(1+'Active Mode Assumptions'!K20)</f>
        <v>3.2139851161515631</v>
      </c>
    </row>
    <row r="84" spans="1:11" x14ac:dyDescent="0.2">
      <c r="A84" t="str">
        <f ca="1">OFFSET(Manawatu_Reference,14,2)</f>
        <v>Light Vehicle Driver</v>
      </c>
      <c r="B84" s="4">
        <f ca="1">B161*'Total Duration Tables Sup #1'!B84*(1+'Other Assumptions'!D$51)-(B82*'Active Mode Assumptions'!B11*'Active Mode Assumptions'!B14/(1+'Active Mode Assumptions'!B11))-(B83*'Active Mode Assumptions'!B20*'Active Mode Assumptions'!B23/(1+'Active Mode Assumptions'!B20))</f>
        <v>42.09204356</v>
      </c>
      <c r="C84" s="4">
        <f ca="1">C161*'Total Duration Tables Sup #1'!C84*(1+'Other Assumptions'!G$51)-(C82*'Active Mode Assumptions'!C11*'Active Mode Assumptions'!C14/(1+'Active Mode Assumptions'!C11))-(C83*'Active Mode Assumptions'!C20*'Active Mode Assumptions'!C23/(1+'Active Mode Assumptions'!C20))</f>
        <v>44.463378257207786</v>
      </c>
      <c r="D84" s="4">
        <f ca="1">D161*'Total Duration Tables Sup #1'!D84*(1+'Other Assumptions'!H$51)-(D82*'Active Mode Assumptions'!D11*'Active Mode Assumptions'!D14/(1+'Active Mode Assumptions'!D11))-(D83*'Active Mode Assumptions'!D20*'Active Mode Assumptions'!D23/(1+'Active Mode Assumptions'!D20))</f>
        <v>45.372810891187434</v>
      </c>
      <c r="E84" s="4">
        <f ca="1">E161*'Total Duration Tables Sup #1'!E84*(1+'Other Assumptions'!I$51)-(E82*'Active Mode Assumptions'!E11*'Active Mode Assumptions'!E14/(1+'Active Mode Assumptions'!E11))-(E83*'Active Mode Assumptions'!E20*'Active Mode Assumptions'!E23/(1+'Active Mode Assumptions'!E20))</f>
        <v>46.487273786753313</v>
      </c>
      <c r="F84" s="4">
        <f ca="1">F161*'Total Duration Tables Sup #1'!F84*(1+'Other Assumptions'!J$51)-(F82*'Active Mode Assumptions'!F11*'Active Mode Assumptions'!F14/(1+'Active Mode Assumptions'!F11))-(F83*'Active Mode Assumptions'!F20*'Active Mode Assumptions'!F23/(1+'Active Mode Assumptions'!F20))</f>
        <v>47.127367964003021</v>
      </c>
      <c r="G84" s="4">
        <f ca="1">G161*'Total Duration Tables Sup #1'!G84*(1+'Other Assumptions'!K$51)-(G82*'Active Mode Assumptions'!G11*'Active Mode Assumptions'!G14/(1+'Active Mode Assumptions'!G11))-(G83*'Active Mode Assumptions'!G20*'Active Mode Assumptions'!G23/(1+'Active Mode Assumptions'!G20))</f>
        <v>47.251116544012099</v>
      </c>
      <c r="H84" s="4">
        <f ca="1">H161*'Total Duration Tables Sup #1'!H84*(1+'Other Assumptions'!L$51)-(H82*'Active Mode Assumptions'!H11*'Active Mode Assumptions'!H14/(1+'Active Mode Assumptions'!H11))-(H83*'Active Mode Assumptions'!H20*'Active Mode Assumptions'!H23/(1+'Active Mode Assumptions'!H20))</f>
        <v>46.951678361581408</v>
      </c>
      <c r="I84" s="4">
        <f ca="1">I161*'Total Duration Tables Sup #1'!I84*(1+'Other Assumptions'!M$51)-(I82*'Active Mode Assumptions'!I11*'Active Mode Assumptions'!I14/(1+'Active Mode Assumptions'!I11))-(I83*'Active Mode Assumptions'!I20*'Active Mode Assumptions'!I23/(1+'Active Mode Assumptions'!I20))</f>
        <v>47.354662138817588</v>
      </c>
      <c r="J84" s="4">
        <f ca="1">J161*'Total Duration Tables Sup #1'!J84*(1+'Other Assumptions'!N$51)-(J82*'Active Mode Assumptions'!J11*'Active Mode Assumptions'!J14/(1+'Active Mode Assumptions'!J11))-(J83*'Active Mode Assumptions'!J20*'Active Mode Assumptions'!J23/(1+'Active Mode Assumptions'!J20))</f>
        <v>47.582746908085497</v>
      </c>
      <c r="K84" s="4">
        <f ca="1">K161*'Total Duration Tables Sup #1'!K84*(1+'Other Assumptions'!O$51)-(K82*'Active Mode Assumptions'!K11*'Active Mode Assumptions'!K14/(1+'Active Mode Assumptions'!K11))-(K83*'Active Mode Assumptions'!K20*'Active Mode Assumptions'!K23/(1+'Active Mode Assumptions'!K20))</f>
        <v>47.69576145701464</v>
      </c>
    </row>
    <row r="85" spans="1:11" x14ac:dyDescent="0.2">
      <c r="A85" t="str">
        <f ca="1">OFFSET(Manawatu_Reference,21,2)</f>
        <v>Light Vehicle Passenger</v>
      </c>
      <c r="B85" s="4">
        <f ca="1">B162*'Total Duration Tables Sup #1'!B85*(1+'Other Assumptions'!D$51)-(B82*'Active Mode Assumptions'!B11*'Active Mode Assumptions'!B15/(1+'Active Mode Assumptions'!B11))-(B83*'Active Mode Assumptions'!B20*'Active Mode Assumptions'!B24/(1+'Active Mode Assumptions'!B20))</f>
        <v>20.286542670999999</v>
      </c>
      <c r="C85" s="4">
        <f ca="1">C162*'Total Duration Tables Sup #1'!C85*(1+'Other Assumptions'!G$51)-(C82*'Active Mode Assumptions'!C11*'Active Mode Assumptions'!C15/(1+'Active Mode Assumptions'!C11))-(C83*'Active Mode Assumptions'!C20*'Active Mode Assumptions'!C24/(1+'Active Mode Assumptions'!C20))</f>
        <v>20.44593004567923</v>
      </c>
      <c r="D85" s="4">
        <f ca="1">D162*'Total Duration Tables Sup #1'!D85*(1+'Other Assumptions'!H$51)-(D82*'Active Mode Assumptions'!D11*'Active Mode Assumptions'!D15/(1+'Active Mode Assumptions'!D11))-(D83*'Active Mode Assumptions'!D20*'Active Mode Assumptions'!D24/(1+'Active Mode Assumptions'!D20))</f>
        <v>20.535696061737543</v>
      </c>
      <c r="E85" s="4">
        <f ca="1">E162*'Total Duration Tables Sup #1'!E85*(1+'Other Assumptions'!I$51)-(E82*'Active Mode Assumptions'!E11*'Active Mode Assumptions'!E15/(1+'Active Mode Assumptions'!E11))-(E83*'Active Mode Assumptions'!E20*'Active Mode Assumptions'!E24/(1+'Active Mode Assumptions'!E20))</f>
        <v>20.65532670235411</v>
      </c>
      <c r="F85" s="4">
        <f ca="1">F162*'Total Duration Tables Sup #1'!F85*(1+'Other Assumptions'!J$51)-(F82*'Active Mode Assumptions'!F11*'Active Mode Assumptions'!F15/(1+'Active Mode Assumptions'!F11))-(F83*'Active Mode Assumptions'!F20*'Active Mode Assumptions'!F24/(1+'Active Mode Assumptions'!F20))</f>
        <v>20.606564682722627</v>
      </c>
      <c r="G85" s="4">
        <f ca="1">G162*'Total Duration Tables Sup #1'!G85*(1+'Other Assumptions'!K$51)-(G82*'Active Mode Assumptions'!G11*'Active Mode Assumptions'!G15/(1+'Active Mode Assumptions'!G11))-(G83*'Active Mode Assumptions'!G20*'Active Mode Assumptions'!G24/(1+'Active Mode Assumptions'!G20))</f>
        <v>20.438830035852956</v>
      </c>
      <c r="H85" s="4">
        <f ca="1">H162*'Total Duration Tables Sup #1'!H85*(1+'Other Assumptions'!L$51)-(H82*'Active Mode Assumptions'!H11*'Active Mode Assumptions'!H15/(1+'Active Mode Assumptions'!H11))-(H83*'Active Mode Assumptions'!H20*'Active Mode Assumptions'!H24/(1+'Active Mode Assumptions'!H20))</f>
        <v>20.130726232665612</v>
      </c>
      <c r="I85" s="4">
        <f ca="1">I162*'Total Duration Tables Sup #1'!I85*(1+'Other Assumptions'!M$51)-(I82*'Active Mode Assumptions'!I11*'Active Mode Assumptions'!I15/(1+'Active Mode Assumptions'!I11))-(I83*'Active Mode Assumptions'!I20*'Active Mode Assumptions'!I24/(1+'Active Mode Assumptions'!I20))</f>
        <v>20.316984216961298</v>
      </c>
      <c r="J85" s="4">
        <f ca="1">J162*'Total Duration Tables Sup #1'!J85*(1+'Other Assumptions'!N$51)-(J82*'Active Mode Assumptions'!J11*'Active Mode Assumptions'!J15/(1+'Active Mode Assumptions'!J11))-(J83*'Active Mode Assumptions'!J20*'Active Mode Assumptions'!J24/(1+'Active Mode Assumptions'!J20))</f>
        <v>20.430402155943963</v>
      </c>
      <c r="K85" s="4">
        <f ca="1">K162*'Total Duration Tables Sup #1'!K85*(1+'Other Assumptions'!O$51)-(K82*'Active Mode Assumptions'!K11*'Active Mode Assumptions'!K15/(1+'Active Mode Assumptions'!K11))-(K83*'Active Mode Assumptions'!K20*'Active Mode Assumptions'!K24/(1+'Active Mode Assumptions'!K20))</f>
        <v>20.494098664293372</v>
      </c>
    </row>
    <row r="86" spans="1:11" x14ac:dyDescent="0.2">
      <c r="A86" t="str">
        <f ca="1">OFFSET(Manawatu_Reference,28,2)</f>
        <v>Taxi/Vehicle Share</v>
      </c>
      <c r="B86" s="4">
        <f ca="1">B163*'Total Duration Tables Sup #1'!B86*(1+'Other Assumptions'!D$51)</f>
        <v>0.26821620219999998</v>
      </c>
      <c r="C86" s="4">
        <f ca="1">C163*'Total Duration Tables Sup #1'!C86*(1+'Other Assumptions'!G$51)</f>
        <v>0.29891369300805165</v>
      </c>
      <c r="D86" s="4">
        <f ca="1">D163*'Total Duration Tables Sup #1'!D86*(1+'Other Assumptions'!H$51)</f>
        <v>0.32798136901656572</v>
      </c>
      <c r="E86" s="4">
        <f ca="1">E163*'Total Duration Tables Sup #1'!E86*(1+'Other Assumptions'!I$51)</f>
        <v>0.35205592120332857</v>
      </c>
      <c r="F86" s="4">
        <f ca="1">F163*'Total Duration Tables Sup #1'!F86*(1+'Other Assumptions'!J$51)</f>
        <v>0.36996127542020435</v>
      </c>
      <c r="G86" s="4">
        <f ca="1">G163*'Total Duration Tables Sup #1'!G86*(1+'Other Assumptions'!K$51)</f>
        <v>0.37985357343042164</v>
      </c>
      <c r="H86" s="4">
        <f ca="1">H163*'Total Duration Tables Sup #1'!H86*(1+'Other Assumptions'!L$51)</f>
        <v>0.38536946311468495</v>
      </c>
      <c r="I86" s="4">
        <f ca="1">I163*'Total Duration Tables Sup #1'!I86*(1+'Other Assumptions'!M$51)</f>
        <v>0.38928925810637954</v>
      </c>
      <c r="J86" s="4">
        <f ca="1">J163*'Total Duration Tables Sup #1'!J86*(1+'Other Assumptions'!N$51)</f>
        <v>0.39209696928467302</v>
      </c>
      <c r="K86" s="4">
        <f ca="1">K163*'Total Duration Tables Sup #1'!K86*(1+'Other Assumptions'!O$51)</f>
        <v>0.39398598438859167</v>
      </c>
    </row>
    <row r="87" spans="1:11" x14ac:dyDescent="0.2">
      <c r="A87" t="str">
        <f ca="1">OFFSET(Manawatu_Reference,35,2)</f>
        <v>Motorcyclist</v>
      </c>
      <c r="B87" s="4">
        <f ca="1">B164*'Total Duration Tables Sup #1'!B87*(1+'Other Assumptions'!D$51)</f>
        <v>0.1643149203</v>
      </c>
      <c r="C87" s="4">
        <f ca="1">C164*'Total Duration Tables Sup #1'!C87*(1+'Other Assumptions'!G$51)</f>
        <v>0.17077299303443491</v>
      </c>
      <c r="D87" s="4">
        <f ca="1">D164*'Total Duration Tables Sup #1'!D87*(1+'Other Assumptions'!H$51)</f>
        <v>0.17461126585604239</v>
      </c>
      <c r="E87" s="4">
        <f ca="1">E164*'Total Duration Tables Sup #1'!E87*(1+'Other Assumptions'!I$51)</f>
        <v>0.17653162970256689</v>
      </c>
      <c r="F87" s="4">
        <f ca="1">F164*'Total Duration Tables Sup #1'!F87*(1+'Other Assumptions'!J$51)</f>
        <v>0.17577287866452562</v>
      </c>
      <c r="G87" s="4">
        <f ca="1">G164*'Total Duration Tables Sup #1'!G87*(1+'Other Assumptions'!K$51)</f>
        <v>0.17158168397420928</v>
      </c>
      <c r="H87" s="4">
        <f ca="1">H164*'Total Duration Tables Sup #1'!H87*(1+'Other Assumptions'!L$51)</f>
        <v>0.16574480764293736</v>
      </c>
      <c r="I87" s="4">
        <f ca="1">I164*'Total Duration Tables Sup #1'!I87*(1+'Other Assumptions'!M$51)</f>
        <v>0.16780574785615351</v>
      </c>
      <c r="J87" s="4">
        <f ca="1">J164*'Total Duration Tables Sup #1'!J87*(1+'Other Assumptions'!N$51)</f>
        <v>0.16935903040039343</v>
      </c>
      <c r="K87" s="4">
        <f ca="1">K164*'Total Duration Tables Sup #1'!K87*(1+'Other Assumptions'!O$51)</f>
        <v>0.1704957202419643</v>
      </c>
    </row>
    <row r="88" spans="1:11" x14ac:dyDescent="0.2">
      <c r="A88" t="str">
        <f ca="1">OFFSET(Taranaki_Reference,42,2)</f>
        <v>Local Train</v>
      </c>
      <c r="B88" s="4">
        <f ca="1">B165*'Total Duration Tables Sup #1'!B88*(1+'Other Assumptions'!D$51)</f>
        <v>0</v>
      </c>
      <c r="C88" s="4">
        <f ca="1">C165*'Total Duration Tables Sup #1'!C88*(1+'Other Assumptions'!G$51)</f>
        <v>0</v>
      </c>
      <c r="D88" s="4">
        <f ca="1">D165*'Total Duration Tables Sup #1'!D88*(1+'Other Assumptions'!H$51)</f>
        <v>0</v>
      </c>
      <c r="E88" s="4">
        <f ca="1">E165*'Total Duration Tables Sup #1'!E88*(1+'Other Assumptions'!I$51)</f>
        <v>0</v>
      </c>
      <c r="F88" s="4">
        <f ca="1">F165*'Total Duration Tables Sup #1'!F88*(1+'Other Assumptions'!J$51)</f>
        <v>0</v>
      </c>
      <c r="G88" s="4">
        <f ca="1">G165*'Total Duration Tables Sup #1'!G88*(1+'Other Assumptions'!K$51)</f>
        <v>0</v>
      </c>
      <c r="H88" s="4">
        <f ca="1">H165*'Total Duration Tables Sup #1'!H88*(1+'Other Assumptions'!L$51)</f>
        <v>0</v>
      </c>
      <c r="I88" s="4">
        <f ca="1">I165*'Total Duration Tables Sup #1'!I88*(1+'Other Assumptions'!M$51)</f>
        <v>0</v>
      </c>
      <c r="J88" s="4">
        <f ca="1">J165*'Total Duration Tables Sup #1'!J88*(1+'Other Assumptions'!N$51)</f>
        <v>0</v>
      </c>
      <c r="K88" s="4">
        <f ca="1">K165*'Total Duration Tables Sup #1'!K88*(1+'Other Assumptions'!O$51)</f>
        <v>0</v>
      </c>
    </row>
    <row r="89" spans="1:11" x14ac:dyDescent="0.2">
      <c r="A89" t="str">
        <f ca="1">OFFSET(Manawatu_Reference,42,2)</f>
        <v>Local Bus</v>
      </c>
      <c r="B89" s="4">
        <f ca="1">B166*'Total Duration Tables Sup #1'!B89*(1+'Other Assumptions'!D$51)</f>
        <v>1.7349616699999999</v>
      </c>
      <c r="C89" s="4">
        <f ca="1">C166*'Total Duration Tables Sup #1'!C89*(1+'Other Assumptions'!G$51)</f>
        <v>1.5802706232861932</v>
      </c>
      <c r="D89" s="4">
        <f ca="1">D166*'Total Duration Tables Sup #1'!D89*(1+'Other Assumptions'!H$51)</f>
        <v>1.582855570677596</v>
      </c>
      <c r="E89" s="4">
        <f ca="1">E166*'Total Duration Tables Sup #1'!E89*(1+'Other Assumptions'!I$51)</f>
        <v>1.5630052750710766</v>
      </c>
      <c r="F89" s="4">
        <f ca="1">F166*'Total Duration Tables Sup #1'!F89*(1+'Other Assumptions'!J$51)</f>
        <v>1.5358667046579069</v>
      </c>
      <c r="G89" s="4">
        <f ca="1">G166*'Total Duration Tables Sup #1'!G89*(1+'Other Assumptions'!K$51)</f>
        <v>1.5194296331125061</v>
      </c>
      <c r="H89" s="4">
        <f ca="1">H166*'Total Duration Tables Sup #1'!H89*(1+'Other Assumptions'!L$51)</f>
        <v>1.5009186023828565</v>
      </c>
      <c r="I89" s="4">
        <f ca="1">I166*'Total Duration Tables Sup #1'!I89*(1+'Other Assumptions'!M$51)</f>
        <v>1.5167835798526692</v>
      </c>
      <c r="J89" s="4">
        <f ca="1">J166*'Total Duration Tables Sup #1'!J89*(1+'Other Assumptions'!N$51)</f>
        <v>1.5275424569220613</v>
      </c>
      <c r="K89" s="4">
        <f ca="1">K166*'Total Duration Tables Sup #1'!K89*(1+'Other Assumptions'!O$51)</f>
        <v>1.5345622300592618</v>
      </c>
    </row>
    <row r="90" spans="1:11" x14ac:dyDescent="0.2">
      <c r="A90" t="str">
        <f ca="1">OFFSET(Manawatu_Reference,49,2)</f>
        <v>Local Ferry</v>
      </c>
      <c r="B90" s="4">
        <f ca="1">B167*'Total Duration Tables Sup #1'!B90*(1+'Other Assumptions'!D$51)</f>
        <v>1.3357738999999997E-2</v>
      </c>
      <c r="C90" s="4">
        <f ca="1">C167*'Total Duration Tables Sup #1'!C90*(1+'Other Assumptions'!G$51)</f>
        <v>1.5225516137388458E-2</v>
      </c>
      <c r="D90" s="4">
        <f ca="1">D167*'Total Duration Tables Sup #1'!D90*(1+'Other Assumptions'!H$51)</f>
        <v>1.5148751517469103E-2</v>
      </c>
      <c r="E90" s="4">
        <f ca="1">E167*'Total Duration Tables Sup #1'!E90*(1+'Other Assumptions'!I$51)</f>
        <v>1.5361213345630018E-2</v>
      </c>
      <c r="F90" s="4">
        <f ca="1">F167*'Total Duration Tables Sup #1'!F90*(1+'Other Assumptions'!J$51)</f>
        <v>1.5242820337056168E-2</v>
      </c>
      <c r="G90" s="4">
        <f ca="1">G167*'Total Duration Tables Sup #1'!G90*(1+'Other Assumptions'!K$51)</f>
        <v>1.5293343285508111E-2</v>
      </c>
      <c r="H90" s="4">
        <f ca="1">H167*'Total Duration Tables Sup #1'!H90*(1+'Other Assumptions'!L$51)</f>
        <v>1.5092206351433513E-2</v>
      </c>
      <c r="I90" s="4">
        <f ca="1">I167*'Total Duration Tables Sup #1'!I90*(1+'Other Assumptions'!M$51)</f>
        <v>1.5008712912891327E-2</v>
      </c>
      <c r="J90" s="4">
        <f ca="1">J167*'Total Duration Tables Sup #1'!J90*(1+'Other Assumptions'!N$51)</f>
        <v>1.4811924847073377E-2</v>
      </c>
      <c r="K90" s="4">
        <f ca="1">K167*'Total Duration Tables Sup #1'!K90*(1+'Other Assumptions'!O$51)</f>
        <v>1.4588281888237331E-2</v>
      </c>
    </row>
    <row r="91" spans="1:11" x14ac:dyDescent="0.2">
      <c r="A91" t="str">
        <f ca="1">OFFSET(Manawatu_Reference,56,2)</f>
        <v>Other Household Travel</v>
      </c>
      <c r="B91" s="4">
        <f ca="1">B168*'Total Duration Tables Sup #1'!B91*(1+'Other Assumptions'!D$51)</f>
        <v>3.9735238899999997E-2</v>
      </c>
      <c r="C91" s="4">
        <f ca="1">C168*'Total Duration Tables Sup #1'!C91*(1+'Other Assumptions'!G$51)</f>
        <v>4.2536874800581485E-2</v>
      </c>
      <c r="D91" s="4">
        <f ca="1">D168*'Total Duration Tables Sup #1'!D91*(1+'Other Assumptions'!H$51)</f>
        <v>4.3173652067707582E-2</v>
      </c>
      <c r="E91" s="4">
        <f ca="1">E168*'Total Duration Tables Sup #1'!E91*(1+'Other Assumptions'!I$51)</f>
        <v>4.3580943218554345E-2</v>
      </c>
      <c r="F91" s="4">
        <f ca="1">F168*'Total Duration Tables Sup #1'!F91*(1+'Other Assumptions'!J$51)</f>
        <v>4.3266282649732493E-2</v>
      </c>
      <c r="G91" s="4">
        <f ca="1">G168*'Total Duration Tables Sup #1'!G91*(1+'Other Assumptions'!K$51)</f>
        <v>4.2875959266638418E-2</v>
      </c>
      <c r="H91" s="4">
        <f ca="1">H168*'Total Duration Tables Sup #1'!H91*(1+'Other Assumptions'!L$51)</f>
        <v>4.1915259275911831E-2</v>
      </c>
      <c r="I91" s="4">
        <f ca="1">I168*'Total Duration Tables Sup #1'!I91*(1+'Other Assumptions'!M$51)</f>
        <v>4.2147020032390334E-2</v>
      </c>
      <c r="J91" s="4">
        <f ca="1">J168*'Total Duration Tables Sup #1'!J91*(1+'Other Assumptions'!N$51)</f>
        <v>4.2198077969635699E-2</v>
      </c>
      <c r="K91" s="4">
        <f ca="1">K168*'Total Duration Tables Sup #1'!K91*(1+'Other Assumptions'!O$51)</f>
        <v>4.2150310564648644E-2</v>
      </c>
    </row>
    <row r="92" spans="1:11" x14ac:dyDescent="0.2">
      <c r="A92" t="str">
        <f ca="1">OFFSET(Wellington_Reference,0,0)</f>
        <v>09 WELLINGTON</v>
      </c>
    </row>
    <row r="93" spans="1:11" x14ac:dyDescent="0.2">
      <c r="A93" t="str">
        <f ca="1">OFFSET(Wellington_Reference,0,2)</f>
        <v>Pedestrian</v>
      </c>
      <c r="B93" s="4">
        <f ca="1">B159*'Total Duration Tables Sup #1'!B93*(1+'Other Assumptions'!D$52)*(1+'Active Mode Assumptions'!B11)-('PT Assumptions'!B44*'Total Duration Tables Sup #2'!B171+'PT Assumptions'!B56*'Total Duration Tables Sup #2'!B174)*(1+'Other Assumptions'!D$52)</f>
        <v>32.985647405999998</v>
      </c>
      <c r="C93" s="4">
        <f ca="1">C159*'Total Duration Tables Sup #1'!C93*(1+'Other Assumptions'!G$52)*(1+'Active Mode Assumptions'!C11)-('PT Assumptions'!C44*'Total Duration Tables Sup #2'!C171+'PT Assumptions'!C56*'Total Duration Tables Sup #2'!C174)*(1+'Other Assumptions'!G$52)</f>
        <v>33.919609499960778</v>
      </c>
      <c r="D93" s="4">
        <f ca="1">D159*'Total Duration Tables Sup #1'!D93*(1+'Other Assumptions'!H$52)*(1+'Active Mode Assumptions'!D11)-('PT Assumptions'!D44*'Total Duration Tables Sup #2'!D171+'PT Assumptions'!D56*'Total Duration Tables Sup #2'!D174)*(1+'Other Assumptions'!H$52)</f>
        <v>35.111825992295145</v>
      </c>
      <c r="E93" s="4">
        <f ca="1">E159*'Total Duration Tables Sup #1'!E93*(1+'Other Assumptions'!I$52)*(1+'Active Mode Assumptions'!E11)-('PT Assumptions'!E44*'Total Duration Tables Sup #2'!E171+'PT Assumptions'!E56*'Total Duration Tables Sup #2'!E174)*(1+'Other Assumptions'!I$52)</f>
        <v>35.854578732436224</v>
      </c>
      <c r="F93" s="4">
        <f ca="1">F159*'Total Duration Tables Sup #1'!F93*(1+'Other Assumptions'!J$52)*(1+'Active Mode Assumptions'!F11)-('PT Assumptions'!F44*'Total Duration Tables Sup #2'!F171+'PT Assumptions'!F56*'Total Duration Tables Sup #2'!F174)*(1+'Other Assumptions'!J$52)</f>
        <v>36.347372418506026</v>
      </c>
      <c r="G93" s="4">
        <f ca="1">G159*'Total Duration Tables Sup #1'!G93*(1+'Other Assumptions'!K$52)*(1+'Active Mode Assumptions'!G11)-('PT Assumptions'!G44*'Total Duration Tables Sup #2'!G171+'PT Assumptions'!G56*'Total Duration Tables Sup #2'!G174)*(1+'Other Assumptions'!K$52)</f>
        <v>36.764120116316882</v>
      </c>
      <c r="H93" s="4">
        <f ca="1">H159*'Total Duration Tables Sup #1'!H93*(1+'Other Assumptions'!L$52)*(1+'Active Mode Assumptions'!H11)-('PT Assumptions'!H44*'Total Duration Tables Sup #2'!H171+'PT Assumptions'!H56*'Total Duration Tables Sup #2'!H174)*(1+'Other Assumptions'!L$52)</f>
        <v>36.926223132668596</v>
      </c>
      <c r="I93" s="4">
        <f ca="1">I159*'Total Duration Tables Sup #1'!I93*(1+'Other Assumptions'!M$52)*(1+'Active Mode Assumptions'!I11)-('PT Assumptions'!I44*'Total Duration Tables Sup #2'!I171+'PT Assumptions'!I56*'Total Duration Tables Sup #2'!I174)*(1+'Other Assumptions'!M$52)</f>
        <v>37.861662352606913</v>
      </c>
      <c r="J93" s="4">
        <f ca="1">J159*'Total Duration Tables Sup #1'!J93*(1+'Other Assumptions'!N$52)*(1+'Active Mode Assumptions'!J11)-('PT Assumptions'!J44*'Total Duration Tables Sup #2'!J171+'PT Assumptions'!J56*'Total Duration Tables Sup #2'!J174)*(1+'Other Assumptions'!N$52)</f>
        <v>38.697002269341574</v>
      </c>
      <c r="K93" s="4">
        <f ca="1">K159*'Total Duration Tables Sup #1'!K93*(1+'Other Assumptions'!O$52)*(1+'Active Mode Assumptions'!K11)-('PT Assumptions'!K44*'Total Duration Tables Sup #2'!K171+'PT Assumptions'!K56*'Total Duration Tables Sup #2'!K174)*(1+'Other Assumptions'!O$52)</f>
        <v>39.453118750082105</v>
      </c>
    </row>
    <row r="94" spans="1:11" x14ac:dyDescent="0.2">
      <c r="A94" t="str">
        <f ca="1">OFFSET(Wellington_Reference,7,2)</f>
        <v>Cyclist</v>
      </c>
      <c r="B94" s="4">
        <f ca="1">B160*'Total Duration Tables Sup #1'!B94*(1+'Other Assumptions'!D$52)*(1+'Active Mode Assumptions'!B20)-('PT Assumptions'!B45*'Total Duration Tables Sup #2'!B171+'PT Assumptions'!B57*'Total Duration Tables Sup #2'!B174)*(1+'Other Assumptions'!D$52)</f>
        <v>3.6978261002999999</v>
      </c>
      <c r="C94" s="4">
        <f ca="1">C160*'Total Duration Tables Sup #1'!C94*(1+'Other Assumptions'!G$52)*(1+'Active Mode Assumptions'!C20)-('PT Assumptions'!C45*'Total Duration Tables Sup #2'!C171+'PT Assumptions'!C57*'Total Duration Tables Sup #2'!C174)*(1+'Other Assumptions'!G$52)</f>
        <v>3.8671528064128657</v>
      </c>
      <c r="D94" s="4">
        <f ca="1">D160*'Total Duration Tables Sup #1'!D94*(1+'Other Assumptions'!H$52)*(1+'Active Mode Assumptions'!D20)-('PT Assumptions'!D45*'Total Duration Tables Sup #2'!D171+'PT Assumptions'!D57*'Total Duration Tables Sup #2'!D174)*(1+'Other Assumptions'!H$52)</f>
        <v>4.5322571080364371</v>
      </c>
      <c r="E94" s="4">
        <f ca="1">E160*'Total Duration Tables Sup #1'!E94*(1+'Other Assumptions'!I$52)*(1+'Active Mode Assumptions'!E20)-('PT Assumptions'!E45*'Total Duration Tables Sup #2'!E171+'PT Assumptions'!E57*'Total Duration Tables Sup #2'!E174)*(1+'Other Assumptions'!I$52)</f>
        <v>5.0551307894350606</v>
      </c>
      <c r="F94" s="4">
        <f ca="1">F160*'Total Duration Tables Sup #1'!F94*(1+'Other Assumptions'!J$52)*(1+'Active Mode Assumptions'!F20)-('PT Assumptions'!F45*'Total Duration Tables Sup #2'!F171+'PT Assumptions'!F57*'Total Duration Tables Sup #2'!F174)*(1+'Other Assumptions'!J$52)</f>
        <v>5.6501250465453952</v>
      </c>
      <c r="G94" s="4">
        <f ca="1">G160*'Total Duration Tables Sup #1'!G94*(1+'Other Assumptions'!K$52)*(1+'Active Mode Assumptions'!G20)-('PT Assumptions'!G45*'Total Duration Tables Sup #2'!G171+'PT Assumptions'!G57*'Total Duration Tables Sup #2'!G174)*(1+'Other Assumptions'!K$52)</f>
        <v>6.3445215947770928</v>
      </c>
      <c r="H94" s="4">
        <f ca="1">H160*'Total Duration Tables Sup #1'!H94*(1+'Other Assumptions'!L$52)*(1+'Active Mode Assumptions'!H20)-('PT Assumptions'!H45*'Total Duration Tables Sup #2'!H171+'PT Assumptions'!H57*'Total Duration Tables Sup #2'!H174)*(1+'Other Assumptions'!L$52)</f>
        <v>7.0599982814844058</v>
      </c>
      <c r="I94" s="4">
        <f ca="1">I160*'Total Duration Tables Sup #1'!I94*(1+'Other Assumptions'!M$52)*(1+'Active Mode Assumptions'!I20)-('PT Assumptions'!I45*'Total Duration Tables Sup #2'!I171+'PT Assumptions'!I57*'Total Duration Tables Sup #2'!I174)*(1+'Other Assumptions'!M$52)</f>
        <v>7.291166571241992</v>
      </c>
      <c r="J94" s="4">
        <f ca="1">J160*'Total Duration Tables Sup #1'!J94*(1+'Other Assumptions'!N$52)*(1+'Active Mode Assumptions'!J20)-('PT Assumptions'!J45*'Total Duration Tables Sup #2'!J171+'PT Assumptions'!J57*'Total Duration Tables Sup #2'!J174)*(1+'Other Assumptions'!N$52)</f>
        <v>7.5273451228090495</v>
      </c>
      <c r="K94" s="4">
        <f ca="1">K160*'Total Duration Tables Sup #1'!K94*(1+'Other Assumptions'!O$52)*(1+'Active Mode Assumptions'!K20)-('PT Assumptions'!K45*'Total Duration Tables Sup #2'!K171+'PT Assumptions'!K57*'Total Duration Tables Sup #2'!K174)*(1+'Other Assumptions'!O$52)</f>
        <v>7.7538032352796478</v>
      </c>
    </row>
    <row r="95" spans="1:11" x14ac:dyDescent="0.2">
      <c r="A95" t="str">
        <f ca="1">OFFSET(Wellington_Reference,14,2)</f>
        <v>Light Vehicle Driver</v>
      </c>
      <c r="B95" s="4">
        <f ca="1">(B161*'Total Duration Tables Sup #1'!B95-'PT Assumptions'!B46*'Total Duration Tables Sup #2'!B171-'PT Assumptions'!B58*'Total Duration Tables Sup #2'!B174)*(1+'Other Assumptions'!D$52)-(B159*'Total Duration Tables Sup #1'!B93)*(1+'Other Assumptions'!D$52)*'Active Mode Assumptions'!B11*'Active Mode Assumptions'!B14-(B160*'Total Duration Tables Sup #1'!B94)*(1+'Other Assumptions'!D$52)*'Active Mode Assumptions'!B20*'Active Mode Assumptions'!B23</f>
        <v>92.129697210000003</v>
      </c>
      <c r="C95" s="4">
        <f ca="1">(C161*'Total Duration Tables Sup #1'!C95-'PT Assumptions'!C46*'Total Duration Tables Sup #2'!C171-'PT Assumptions'!C58*'Total Duration Tables Sup #2'!C174)*(1+'Other Assumptions'!G$52)-(C159*'Total Duration Tables Sup #1'!C93)*(1+'Other Assumptions'!G$52)*'Active Mode Assumptions'!C11*'Active Mode Assumptions'!C14-(C160*'Total Duration Tables Sup #1'!C94)*(1+'Other Assumptions'!G$52)*'Active Mode Assumptions'!C20*'Active Mode Assumptions'!C23</f>
        <v>99.013935891666776</v>
      </c>
      <c r="D95" s="4">
        <f ca="1">(D161*'Total Duration Tables Sup #1'!D95-'PT Assumptions'!D46*'Total Duration Tables Sup #2'!D171-'PT Assumptions'!D58*'Total Duration Tables Sup #2'!D174)*(1+'Other Assumptions'!H$52)-(D159*'Total Duration Tables Sup #1'!D93)*(1+'Other Assumptions'!H$52)*'Active Mode Assumptions'!D11*'Active Mode Assumptions'!D14-(D160*'Total Duration Tables Sup #1'!D94)*(1+'Other Assumptions'!H$52)*'Active Mode Assumptions'!D20*'Active Mode Assumptions'!D23</f>
        <v>102.11369995467845</v>
      </c>
      <c r="E95" s="4">
        <f ca="1">(E161*'Total Duration Tables Sup #1'!E95-'PT Assumptions'!E46*'Total Duration Tables Sup #2'!E171-'PT Assumptions'!E58*'Total Duration Tables Sup #2'!E174)*(1+'Other Assumptions'!I$52)-(E159*'Total Duration Tables Sup #1'!E93)*(1+'Other Assumptions'!I$52)*'Active Mode Assumptions'!E11*'Active Mode Assumptions'!E14-(E160*'Total Duration Tables Sup #1'!E94)*(1+'Other Assumptions'!I$52)*'Active Mode Assumptions'!E20*'Active Mode Assumptions'!E23</f>
        <v>105.62839118366918</v>
      </c>
      <c r="F95" s="4">
        <f ca="1">(F161*'Total Duration Tables Sup #1'!F95-'PT Assumptions'!F46*'Total Duration Tables Sup #2'!F171-'PT Assumptions'!F58*'Total Duration Tables Sup #2'!F174)*(1+'Other Assumptions'!J$52)-(F159*'Total Duration Tables Sup #1'!F93)*(1+'Other Assumptions'!J$52)*'Active Mode Assumptions'!F11*'Active Mode Assumptions'!F14-(F160*'Total Duration Tables Sup #1'!F94)*(1+'Other Assumptions'!J$52)*'Active Mode Assumptions'!F20*'Active Mode Assumptions'!F23</f>
        <v>108.38721639471596</v>
      </c>
      <c r="G95" s="4">
        <f ca="1">(G161*'Total Duration Tables Sup #1'!G95-'PT Assumptions'!G46*'Total Duration Tables Sup #2'!G171-'PT Assumptions'!G58*'Total Duration Tables Sup #2'!G174)*(1+'Other Assumptions'!K$52)-(G159*'Total Duration Tables Sup #1'!G93)*(1+'Other Assumptions'!K$52)*'Active Mode Assumptions'!G11*'Active Mode Assumptions'!G14-(G160*'Total Duration Tables Sup #1'!G94)*(1+'Other Assumptions'!K$52)*'Active Mode Assumptions'!G20*'Active Mode Assumptions'!G23</f>
        <v>110.00777974372109</v>
      </c>
      <c r="H95" s="4">
        <f ca="1">(H161*'Total Duration Tables Sup #1'!H95-'PT Assumptions'!H46*'Total Duration Tables Sup #2'!H171-'PT Assumptions'!H58*'Total Duration Tables Sup #2'!H174)*(1+'Other Assumptions'!L$52)-(H159*'Total Duration Tables Sup #1'!H93)*(1+'Other Assumptions'!L$52)*'Active Mode Assumptions'!H11*'Active Mode Assumptions'!H14-(H160*'Total Duration Tables Sup #1'!H94)*(1+'Other Assumptions'!L$52)*'Active Mode Assumptions'!H20*'Active Mode Assumptions'!H23</f>
        <v>110.59512020756813</v>
      </c>
      <c r="I95" s="4">
        <f ca="1">(I161*'Total Duration Tables Sup #1'!I95-'PT Assumptions'!I46*'Total Duration Tables Sup #2'!I171-'PT Assumptions'!I58*'Total Duration Tables Sup #2'!I174)*(1+'Other Assumptions'!M$52)-(I159*'Total Duration Tables Sup #1'!I93)*(1+'Other Assumptions'!M$52)*'Active Mode Assumptions'!I11*'Active Mode Assumptions'!I14-(I160*'Total Duration Tables Sup #1'!I94)*(1+'Other Assumptions'!M$52)*'Active Mode Assumptions'!I20*'Active Mode Assumptions'!I23</f>
        <v>112.96837561040606</v>
      </c>
      <c r="J95" s="4">
        <f ca="1">(J161*'Total Duration Tables Sup #1'!J95-'PT Assumptions'!J46*'Total Duration Tables Sup #2'!J171-'PT Assumptions'!J58*'Total Duration Tables Sup #2'!J174)*(1+'Other Assumptions'!N$52)-(J159*'Total Duration Tables Sup #1'!J93)*(1+'Other Assumptions'!N$52)*'Active Mode Assumptions'!J11*'Active Mode Assumptions'!J14-(J160*'Total Duration Tables Sup #1'!J94)*(1+'Other Assumptions'!N$52)*'Active Mode Assumptions'!J20*'Active Mode Assumptions'!J23</f>
        <v>114.92422061498472</v>
      </c>
      <c r="K95" s="4">
        <f ca="1">(K161*'Total Duration Tables Sup #1'!K95-'PT Assumptions'!K46*'Total Duration Tables Sup #2'!K171-'PT Assumptions'!K58*'Total Duration Tables Sup #2'!K174)*(1+'Other Assumptions'!O$52)-(K159*'Total Duration Tables Sup #1'!K93)*(1+'Other Assumptions'!O$52)*'Active Mode Assumptions'!K11*'Active Mode Assumptions'!K14-(K160*'Total Duration Tables Sup #1'!K94)*(1+'Other Assumptions'!O$52)*'Active Mode Assumptions'!K20*'Active Mode Assumptions'!K23</f>
        <v>116.59680921250762</v>
      </c>
    </row>
    <row r="96" spans="1:11" x14ac:dyDescent="0.2">
      <c r="A96" t="str">
        <f ca="1">OFFSET(Wellington_Reference,21,2)</f>
        <v>Light Vehicle Passenger</v>
      </c>
      <c r="B96" s="4">
        <f ca="1">(B162*'Total Duration Tables Sup #1'!B96-'PT Assumptions'!B47*'Total Duration Tables Sup #2'!B171-'PT Assumptions'!B59*'Total Duration Tables Sup #2'!B174)*(1+'Other Assumptions'!D$52)-(B159*'Total Duration Tables Sup #1'!B93)*(1+'Other Assumptions'!D$52)*'Active Mode Assumptions'!B11*'Active Mode Assumptions'!B15-(B160*'Total Duration Tables Sup #1'!B94)*(1+'Other Assumptions'!D$52)*'Active Mode Assumptions'!B20*'Active Mode Assumptions'!B24</f>
        <v>48.966354531</v>
      </c>
      <c r="C96" s="4">
        <f ca="1">(C162*'Total Duration Tables Sup #1'!C96-'PT Assumptions'!C47*'Total Duration Tables Sup #2'!C171-'PT Assumptions'!C59*'Total Duration Tables Sup #2'!C174)*(1+'Other Assumptions'!G$52)-(C159*'Total Duration Tables Sup #1'!C93)*(1+'Other Assumptions'!G$52)*'Active Mode Assumptions'!C11*'Active Mode Assumptions'!C15-(C160*'Total Duration Tables Sup #1'!C94)*(1+'Other Assumptions'!G$52)*'Active Mode Assumptions'!C20*'Active Mode Assumptions'!C24</f>
        <v>50.199617001449425</v>
      </c>
      <c r="D96" s="4">
        <f ca="1">(D162*'Total Duration Tables Sup #1'!D96-'PT Assumptions'!D47*'Total Duration Tables Sup #2'!D171-'PT Assumptions'!D59*'Total Duration Tables Sup #2'!D174)*(1+'Other Assumptions'!H$52)-(D159*'Total Duration Tables Sup #1'!D93)*(1+'Other Assumptions'!H$52)*'Active Mode Assumptions'!D11*'Active Mode Assumptions'!D15-(D160*'Total Duration Tables Sup #1'!D94)*(1+'Other Assumptions'!H$52)*'Active Mode Assumptions'!D20*'Active Mode Assumptions'!D24</f>
        <v>50.692283299715513</v>
      </c>
      <c r="E96" s="4">
        <f ca="1">(E162*'Total Duration Tables Sup #1'!E96-'PT Assumptions'!E47*'Total Duration Tables Sup #2'!E171-'PT Assumptions'!E59*'Total Duration Tables Sup #2'!E174)*(1+'Other Assumptions'!I$52)-(E159*'Total Duration Tables Sup #1'!E93)*(1+'Other Assumptions'!I$52)*'Active Mode Assumptions'!E11*'Active Mode Assumptions'!E15-(E160*'Total Duration Tables Sup #1'!E94)*(1+'Other Assumptions'!I$52)*'Active Mode Assumptions'!E20*'Active Mode Assumptions'!E24</f>
        <v>51.268596732693965</v>
      </c>
      <c r="F96" s="4">
        <f ca="1">(F162*'Total Duration Tables Sup #1'!F96-'PT Assumptions'!F47*'Total Duration Tables Sup #2'!F171-'PT Assumptions'!F59*'Total Duration Tables Sup #2'!F174)*(1+'Other Assumptions'!J$52)-(F159*'Total Duration Tables Sup #1'!F93)*(1+'Other Assumptions'!J$52)*'Active Mode Assumptions'!F11*'Active Mode Assumptions'!F15-(F160*'Total Duration Tables Sup #1'!F94)*(1+'Other Assumptions'!J$52)*'Active Mode Assumptions'!F20*'Active Mode Assumptions'!F24</f>
        <v>51.630528388852198</v>
      </c>
      <c r="G96" s="4">
        <f ca="1">(G162*'Total Duration Tables Sup #1'!G96-'PT Assumptions'!G47*'Total Duration Tables Sup #2'!G171-'PT Assumptions'!G59*'Total Duration Tables Sup #2'!G174)*(1+'Other Assumptions'!K$52)-(G159*'Total Duration Tables Sup #1'!G93)*(1+'Other Assumptions'!K$52)*'Active Mode Assumptions'!G11*'Active Mode Assumptions'!G15-(G160*'Total Duration Tables Sup #1'!G94)*(1+'Other Assumptions'!K$52)*'Active Mode Assumptions'!G20*'Active Mode Assumptions'!G24</f>
        <v>51.685405434889311</v>
      </c>
      <c r="H96" s="4">
        <f ca="1">(H162*'Total Duration Tables Sup #1'!H96-'PT Assumptions'!H47*'Total Duration Tables Sup #2'!H171-'PT Assumptions'!H59*'Total Duration Tables Sup #2'!H174)*(1+'Other Assumptions'!L$52)-(H159*'Total Duration Tables Sup #1'!H93)*(1+'Other Assumptions'!L$52)*'Active Mode Assumptions'!H11*'Active Mode Assumptions'!H15-(H160*'Total Duration Tables Sup #1'!H94)*(1+'Other Assumptions'!L$52)*'Active Mode Assumptions'!H20*'Active Mode Assumptions'!H24</f>
        <v>51.3249147222215</v>
      </c>
      <c r="I96" s="4">
        <f ca="1">(I162*'Total Duration Tables Sup #1'!I96-'PT Assumptions'!I47*'Total Duration Tables Sup #2'!I171-'PT Assumptions'!I59*'Total Duration Tables Sup #2'!I174)*(1+'Other Assumptions'!M$52)-(I159*'Total Duration Tables Sup #1'!I93)*(1+'Other Assumptions'!M$52)*'Active Mode Assumptions'!I11*'Active Mode Assumptions'!I15-(I160*'Total Duration Tables Sup #1'!I94)*(1+'Other Assumptions'!M$52)*'Active Mode Assumptions'!I20*'Active Mode Assumptions'!I24</f>
        <v>52.331230581940368</v>
      </c>
      <c r="J96" s="4">
        <f ca="1">(J162*'Total Duration Tables Sup #1'!J96-'PT Assumptions'!J47*'Total Duration Tables Sup #2'!J171-'PT Assumptions'!J59*'Total Duration Tables Sup #2'!J174)*(1+'Other Assumptions'!N$52)-(J159*'Total Duration Tables Sup #1'!J93)*(1+'Other Assumptions'!N$52)*'Active Mode Assumptions'!J11*'Active Mode Assumptions'!J15-(J160*'Total Duration Tables Sup #1'!J94)*(1+'Other Assumptions'!N$52)*'Active Mode Assumptions'!J20*'Active Mode Assumptions'!J24</f>
        <v>53.12606301632438</v>
      </c>
      <c r="K96" s="4">
        <f ca="1">(K162*'Total Duration Tables Sup #1'!K96-'PT Assumptions'!K47*'Total Duration Tables Sup #2'!K171-'PT Assumptions'!K59*'Total Duration Tables Sup #2'!K174)*(1+'Other Assumptions'!O$52)-(K159*'Total Duration Tables Sup #1'!K93)*(1+'Other Assumptions'!O$52)*'Active Mode Assumptions'!K11*'Active Mode Assumptions'!K15-(K160*'Total Duration Tables Sup #1'!K94)*(1+'Other Assumptions'!O$52)*'Active Mode Assumptions'!K20*'Active Mode Assumptions'!K24</f>
        <v>53.767312777706486</v>
      </c>
    </row>
    <row r="97" spans="1:11" x14ac:dyDescent="0.2">
      <c r="A97" t="str">
        <f ca="1">OFFSET(Wellington_Reference,28,2)</f>
        <v>Taxi/Vehicle Share</v>
      </c>
      <c r="B97" s="4">
        <f ca="1">B163*'Total Duration Tables Sup #1'!B97*(1+'Other Assumptions'!D$52)</f>
        <v>0.76229285280000003</v>
      </c>
      <c r="C97" s="4">
        <f ca="1">C163*'Total Duration Tables Sup #1'!C97*(1+'Other Assumptions'!G$52)</f>
        <v>0.86450977137693774</v>
      </c>
      <c r="D97" s="4">
        <f ca="1">D163*'Total Duration Tables Sup #1'!D97*(1+'Other Assumptions'!H$52)</f>
        <v>0.96399694207591946</v>
      </c>
      <c r="E97" s="4">
        <f ca="1">E163*'Total Duration Tables Sup #1'!E97*(1+'Other Assumptions'!I$52)</f>
        <v>1.0489419833362101</v>
      </c>
      <c r="F97" s="4">
        <f ca="1">F163*'Total Duration Tables Sup #1'!F97*(1+'Other Assumptions'!J$52)</f>
        <v>1.1185661131792808</v>
      </c>
      <c r="G97" s="4">
        <f ca="1">G163*'Total Duration Tables Sup #1'!G97*(1+'Other Assumptions'!K$52)</f>
        <v>1.1658389577827766</v>
      </c>
      <c r="H97" s="4">
        <f ca="1">H163*'Total Duration Tables Sup #1'!H97*(1+'Other Assumptions'!L$52)</f>
        <v>1.2004779962351193</v>
      </c>
      <c r="I97" s="4">
        <f ca="1">I163*'Total Duration Tables Sup #1'!I97*(1+'Other Assumptions'!M$52)</f>
        <v>1.2308464724764439</v>
      </c>
      <c r="J97" s="4">
        <f ca="1">J163*'Total Duration Tables Sup #1'!J97*(1+'Other Assumptions'!N$52)</f>
        <v>1.258286420139026</v>
      </c>
      <c r="K97" s="4">
        <f ca="1">K163*'Total Duration Tables Sup #1'!K97*(1+'Other Assumptions'!O$52)</f>
        <v>1.2832797926594655</v>
      </c>
    </row>
    <row r="98" spans="1:11" x14ac:dyDescent="0.2">
      <c r="A98" t="str">
        <f ca="1">OFFSET(Wellington_Reference,35,2)</f>
        <v>Motorcyclist</v>
      </c>
      <c r="B98" s="4">
        <f ca="1">B164*'Total Duration Tables Sup #1'!B98*(1+'Other Assumptions'!D$52)</f>
        <v>0.71073078609999996</v>
      </c>
      <c r="C98" s="4">
        <f ca="1">C164*'Total Duration Tables Sup #1'!C98*(1+'Other Assumptions'!G$52)</f>
        <v>0.75168273373549566</v>
      </c>
      <c r="D98" s="4">
        <f ca="1">D164*'Total Duration Tables Sup #1'!D98*(1+'Other Assumptions'!H$52)</f>
        <v>0.78107013243990808</v>
      </c>
      <c r="E98" s="4">
        <f ca="1">E164*'Total Duration Tables Sup #1'!E98*(1+'Other Assumptions'!I$52)</f>
        <v>0.80048580296600902</v>
      </c>
      <c r="F98" s="4">
        <f ca="1">F164*'Total Duration Tables Sup #1'!F98*(1+'Other Assumptions'!J$52)</f>
        <v>0.80881378378286117</v>
      </c>
      <c r="G98" s="4">
        <f ca="1">G164*'Total Duration Tables Sup #1'!G98*(1+'Other Assumptions'!K$52)</f>
        <v>0.80146499996991971</v>
      </c>
      <c r="H98" s="4">
        <f ca="1">H164*'Total Duration Tables Sup #1'!H98*(1+'Other Assumptions'!L$52)</f>
        <v>0.78579294711679448</v>
      </c>
      <c r="I98" s="4">
        <f ca="1">I164*'Total Duration Tables Sup #1'!I98*(1+'Other Assumptions'!M$52)</f>
        <v>0.80747593143995822</v>
      </c>
      <c r="J98" s="4">
        <f ca="1">J164*'Total Duration Tables Sup #1'!J98*(1+'Other Assumptions'!N$52)</f>
        <v>0.8271526606240962</v>
      </c>
      <c r="K98" s="4">
        <f ca="1">K164*'Total Duration Tables Sup #1'!K98*(1+'Other Assumptions'!O$52)</f>
        <v>0.84517249137107031</v>
      </c>
    </row>
    <row r="99" spans="1:11" x14ac:dyDescent="0.2">
      <c r="A99" t="str">
        <f ca="1">OFFSET(Wellington_Reference,42,2)</f>
        <v>Local Train</v>
      </c>
      <c r="B99" s="4">
        <f ca="1">'Total Duration Tables Sup #1'!B99*(1+'PT Assumptions'!B41)*(1+'Other Assumptions'!D$52)</f>
        <v>6.554720885672368</v>
      </c>
      <c r="C99" s="4">
        <f ca="1">'Total Duration Tables Sup #1'!C99*(1+'PT Assumptions'!C41)*(1+'Other Assumptions'!G$52)</f>
        <v>6.5173063965197686</v>
      </c>
      <c r="D99" s="4">
        <f ca="1">'Total Duration Tables Sup #1'!D99*(1+'PT Assumptions'!D41)*(1+'Other Assumptions'!H$52)</f>
        <v>7.5739777410552458</v>
      </c>
      <c r="E99" s="4">
        <f ca="1">'Total Duration Tables Sup #1'!E99*(1+'PT Assumptions'!E41)*(1+'Other Assumptions'!I$52)</f>
        <v>8.0762762410707687</v>
      </c>
      <c r="F99" s="4">
        <f ca="1">'Total Duration Tables Sup #1'!F99*(1+'PT Assumptions'!F41)*(1+'Other Assumptions'!J$52)</f>
        <v>8.3987143184878512</v>
      </c>
      <c r="G99" s="4">
        <f ca="1">'Total Duration Tables Sup #1'!G99*(1+'PT Assumptions'!G41)*(1+'Other Assumptions'!K$52)</f>
        <v>8.6837649382554183</v>
      </c>
      <c r="H99" s="4">
        <f ca="1">'Total Duration Tables Sup #1'!H99*(1+'PT Assumptions'!H41)*(1+'Other Assumptions'!L$52)</f>
        <v>8.9415917032404266</v>
      </c>
      <c r="I99" s="4">
        <f ca="1">'Total Duration Tables Sup #1'!I99*(1+'PT Assumptions'!I41)*(1+'Other Assumptions'!M$52)</f>
        <v>9.6274652569525649</v>
      </c>
      <c r="J99" s="4">
        <f ca="1">'Total Duration Tables Sup #1'!J99*(1+'PT Assumptions'!J41)*(1+'Other Assumptions'!N$52)</f>
        <v>10.358740412393434</v>
      </c>
      <c r="K99" s="4">
        <f ca="1">'Total Duration Tables Sup #1'!K99*(1+'PT Assumptions'!K41)*(1+'Other Assumptions'!O$52)</f>
        <v>11.142130710823157</v>
      </c>
    </row>
    <row r="100" spans="1:11" x14ac:dyDescent="0.2">
      <c r="A100" t="str">
        <f ca="1">OFFSET(Wellington_Reference,49,2)</f>
        <v>Local Bus</v>
      </c>
      <c r="B100" s="4">
        <f ca="1">'Total Duration Tables Sup #1'!B100*(1+'PT Assumptions'!B53)*(1+'Other Assumptions'!D$52)</f>
        <v>8.2404499312721509</v>
      </c>
      <c r="C100" s="4">
        <f ca="1">'Total Duration Tables Sup #1'!C100*(1+'PT Assumptions'!C53)*(1+'Other Assumptions'!G$52)</f>
        <v>7.9756978131113518</v>
      </c>
      <c r="D100" s="4">
        <f ca="1">'Total Duration Tables Sup #1'!D100*(1+'PT Assumptions'!D53)*(1+'Other Assumptions'!H$52)</f>
        <v>9.1795627318990256</v>
      </c>
      <c r="E100" s="4">
        <f ca="1">'Total Duration Tables Sup #1'!E100*(1+'PT Assumptions'!E53)*(1+'Other Assumptions'!I$52)</f>
        <v>9.4438144818442833</v>
      </c>
      <c r="F100" s="4">
        <f ca="1">'Total Duration Tables Sup #1'!F100*(1+'PT Assumptions'!F53)*(1+'Other Assumptions'!J$52)</f>
        <v>9.2991553371073827</v>
      </c>
      <c r="G100" s="4">
        <f ca="1">'Total Duration Tables Sup #1'!G100*(1+'PT Assumptions'!G53)*(1+'Other Assumptions'!K$52)</f>
        <v>9.17852527633082</v>
      </c>
      <c r="H100" s="4">
        <f ca="1">'Total Duration Tables Sup #1'!H100*(1+'PT Assumptions'!H53)*(1+'Other Assumptions'!L$52)</f>
        <v>9.0684597253516053</v>
      </c>
      <c r="I100" s="4">
        <f ca="1">'Total Duration Tables Sup #1'!I100*(1+'PT Assumptions'!I53)*(1+'Other Assumptions'!M$52)</f>
        <v>9.4682923949428286</v>
      </c>
      <c r="J100" s="4">
        <f ca="1">'Total Duration Tables Sup #1'!J100*(1+'PT Assumptions'!J53)*(1+'Other Assumptions'!N$52)</f>
        <v>9.8818510224582621</v>
      </c>
      <c r="K100" s="4">
        <f ca="1">'Total Duration Tables Sup #1'!K100*(1+'PT Assumptions'!K53)*(1+'Other Assumptions'!O$52)</f>
        <v>10.310298822100266</v>
      </c>
    </row>
    <row r="101" spans="1:11" x14ac:dyDescent="0.2">
      <c r="A101" t="str">
        <f ca="1">OFFSET(Wellington_Reference,56,2)</f>
        <v>Local Ferry</v>
      </c>
      <c r="B101" s="4">
        <f ca="1">B167*'Total Duration Tables Sup #1'!B101*(1+'Other Assumptions'!D$52)</f>
        <v>5.6537513499999983E-2</v>
      </c>
      <c r="C101" s="4">
        <f ca="1">C167*'Total Duration Tables Sup #1'!C101*(1+'Other Assumptions'!G$52)</f>
        <v>6.5578734566202612E-2</v>
      </c>
      <c r="D101" s="4">
        <f ca="1">D167*'Total Duration Tables Sup #1'!D101*(1+'Other Assumptions'!H$52)</f>
        <v>6.6308657614347302E-2</v>
      </c>
      <c r="E101" s="4">
        <f ca="1">E167*'Total Duration Tables Sup #1'!E101*(1+'Other Assumptions'!I$52)</f>
        <v>6.8160418452460694E-2</v>
      </c>
      <c r="F101" s="4">
        <f ca="1">F167*'Total Duration Tables Sup #1'!F101*(1+'Other Assumptions'!J$52)</f>
        <v>6.8633734922891529E-2</v>
      </c>
      <c r="G101" s="4">
        <f ca="1">G167*'Total Duration Tables Sup #1'!G101*(1+'Other Assumptions'!K$52)</f>
        <v>6.9902337152966385E-2</v>
      </c>
      <c r="H101" s="4">
        <f ca="1">H167*'Total Duration Tables Sup #1'!H101*(1+'Other Assumptions'!L$52)</f>
        <v>7.0015880185485518E-2</v>
      </c>
      <c r="I101" s="4">
        <f ca="1">I167*'Total Duration Tables Sup #1'!I101*(1+'Other Assumptions'!M$52)</f>
        <v>7.0671096172990999E-2</v>
      </c>
      <c r="J101" s="4">
        <f ca="1">J167*'Total Duration Tables Sup #1'!J101*(1+'Other Assumptions'!N$52)</f>
        <v>7.0788781365875117E-2</v>
      </c>
      <c r="K101" s="4">
        <f ca="1">K167*'Total Duration Tables Sup #1'!K101*(1+'Other Assumptions'!O$52)</f>
        <v>7.0763880696229631E-2</v>
      </c>
    </row>
    <row r="102" spans="1:11" x14ac:dyDescent="0.2">
      <c r="A102" t="str">
        <f ca="1">OFFSET(Wellington_Reference,63,2)</f>
        <v>Other Household Travel</v>
      </c>
      <c r="B102" s="4">
        <f ca="1">B168*'Total Duration Tables Sup #1'!B102*(1+'Other Assumptions'!D$52)</f>
        <v>0.36538599710000003</v>
      </c>
      <c r="C102" s="4">
        <f ca="1">C168*'Total Duration Tables Sup #1'!C102*(1+'Other Assumptions'!G$52)</f>
        <v>0.3980420069068944</v>
      </c>
      <c r="D102" s="4">
        <f ca="1">D168*'Total Duration Tables Sup #1'!D102*(1+'Other Assumptions'!H$52)</f>
        <v>0.4105674367848598</v>
      </c>
      <c r="E102" s="4">
        <f ca="1">E168*'Total Duration Tables Sup #1'!E102*(1+'Other Assumptions'!I$52)</f>
        <v>0.42012224020750971</v>
      </c>
      <c r="F102" s="4">
        <f ca="1">F168*'Total Duration Tables Sup #1'!F102*(1+'Other Assumptions'!J$52)</f>
        <v>0.42324730898058682</v>
      </c>
      <c r="G102" s="4">
        <f ca="1">G168*'Total Duration Tables Sup #1'!G102*(1+'Other Assumptions'!K$52)</f>
        <v>0.4257703642483735</v>
      </c>
      <c r="H102" s="4">
        <f ca="1">H168*'Total Duration Tables Sup #1'!H102*(1+'Other Assumptions'!L$52)</f>
        <v>0.42246262700649717</v>
      </c>
      <c r="I102" s="4">
        <f ca="1">I168*'Total Duration Tables Sup #1'!I102*(1+'Other Assumptions'!M$52)</f>
        <v>0.43115911413729652</v>
      </c>
      <c r="J102" s="4">
        <f ca="1">J168*'Total Duration Tables Sup #1'!J102*(1+'Other Assumptions'!N$52)</f>
        <v>0.43814506708741668</v>
      </c>
      <c r="K102" s="4">
        <f ca="1">K168*'Total Duration Tables Sup #1'!K102*(1+'Other Assumptions'!O$52)</f>
        <v>0.44420208637675873</v>
      </c>
    </row>
    <row r="103" spans="1:11" x14ac:dyDescent="0.2">
      <c r="A103" t="str">
        <f ca="1">OFFSET(Nelson_Reference,0,0)</f>
        <v>10 NELS-MARLB-TAS</v>
      </c>
    </row>
    <row r="104" spans="1:11" x14ac:dyDescent="0.2">
      <c r="A104" t="str">
        <f ca="1">OFFSET(Nelson_Reference,0,2)</f>
        <v>Pedestrian</v>
      </c>
      <c r="B104" s="4">
        <f ca="1">B159*'Total Duration Tables Sup #1'!B104*(1+'Other Assumptions'!D$53)*(1+'Active Mode Assumptions'!B11)</f>
        <v>7.2640217022</v>
      </c>
      <c r="C104" s="4">
        <f ca="1">C159*'Total Duration Tables Sup #1'!C104*(1+'Other Assumptions'!G$53)*(1+'Active Mode Assumptions'!C11)</f>
        <v>7.3990339323175691</v>
      </c>
      <c r="D104" s="4">
        <f ca="1">D159*'Total Duration Tables Sup #1'!D104*(1+'Other Assumptions'!H$53)*(1+'Active Mode Assumptions'!D11)</f>
        <v>7.6437590095019345</v>
      </c>
      <c r="E104" s="4">
        <f ca="1">E159*'Total Duration Tables Sup #1'!E104*(1+'Other Assumptions'!I$53)*(1+'Active Mode Assumptions'!E11)</f>
        <v>7.7848305636276365</v>
      </c>
      <c r="F104" s="4">
        <f ca="1">F159*'Total Duration Tables Sup #1'!F104*(1+'Other Assumptions'!J$53)*(1+'Active Mode Assumptions'!F11)</f>
        <v>7.8543498488332224</v>
      </c>
      <c r="G104" s="4">
        <f ca="1">G159*'Total Duration Tables Sup #1'!G104*(1+'Other Assumptions'!K$53)*(1+'Active Mode Assumptions'!G11)</f>
        <v>7.896572875054793</v>
      </c>
      <c r="H104" s="4">
        <f ca="1">H159*'Total Duration Tables Sup #1'!H104*(1+'Other Assumptions'!L$53)*(1+'Active Mode Assumptions'!H11)</f>
        <v>7.871164450660209</v>
      </c>
      <c r="I104" s="4">
        <f ca="1">I159*'Total Duration Tables Sup #1'!I104*(1+'Other Assumptions'!M$53)*(1+'Active Mode Assumptions'!I11)</f>
        <v>8.0078249740452065</v>
      </c>
      <c r="J104" s="4">
        <f ca="1">J159*'Total Duration Tables Sup #1'!J104*(1+'Other Assumptions'!N$53)*(1+'Active Mode Assumptions'!J11)</f>
        <v>8.121734464469446</v>
      </c>
      <c r="K104" s="4">
        <f ca="1">K159*'Total Duration Tables Sup #1'!K104*(1+'Other Assumptions'!O$53)*(1+'Active Mode Assumptions'!K11)</f>
        <v>8.2176899459007657</v>
      </c>
    </row>
    <row r="105" spans="1:11" x14ac:dyDescent="0.2">
      <c r="A105" t="str">
        <f ca="1">OFFSET(Nelson_Reference,7,2)</f>
        <v>Cyclist</v>
      </c>
      <c r="B105" s="4">
        <f ca="1">B160*'Total Duration Tables Sup #1'!B105*(1+'Other Assumptions'!D$53)*(1+'Active Mode Assumptions'!B20)</f>
        <v>1.0417220854</v>
      </c>
      <c r="C105" s="4">
        <f ca="1">C160*'Total Duration Tables Sup #1'!C105*(1+'Other Assumptions'!G$53)*(1+'Active Mode Assumptions'!C20)</f>
        <v>1.0790964411005883</v>
      </c>
      <c r="D105" s="4">
        <f ca="1">D160*'Total Duration Tables Sup #1'!D105*(1+'Other Assumptions'!H$53)*(1+'Active Mode Assumptions'!D20)</f>
        <v>1.2605302735055526</v>
      </c>
      <c r="E105" s="4">
        <f ca="1">E160*'Total Duration Tables Sup #1'!E105*(1+'Other Assumptions'!I$53)*(1+'Active Mode Assumptions'!E20)</f>
        <v>1.4010301812423993</v>
      </c>
      <c r="F105" s="4">
        <f ca="1">F160*'Total Duration Tables Sup #1'!F105*(1+'Other Assumptions'!J$53)*(1+'Active Mode Assumptions'!F20)</f>
        <v>1.5579250136181659</v>
      </c>
      <c r="G105" s="4">
        <f ca="1">G160*'Total Duration Tables Sup #1'!G105*(1+'Other Assumptions'!K$53)*(1+'Active Mode Assumptions'!G20)</f>
        <v>1.7380909326364677</v>
      </c>
      <c r="H105" s="4">
        <f ca="1">H160*'Total Duration Tables Sup #1'!H105*(1+'Other Assumptions'!L$53)*(1+'Active Mode Assumptions'!H20)</f>
        <v>1.9183744664393663</v>
      </c>
      <c r="I105" s="4">
        <f ca="1">I160*'Total Duration Tables Sup #1'!I105*(1+'Other Assumptions'!M$53)*(1+'Active Mode Assumptions'!I20)</f>
        <v>1.9651760635246007</v>
      </c>
      <c r="J105" s="4">
        <f ca="1">J160*'Total Duration Tables Sup #1'!J105*(1+'Other Assumptions'!N$53)*(1+'Active Mode Assumptions'!J20)</f>
        <v>2.0125303251109563</v>
      </c>
      <c r="K105" s="4">
        <f ca="1">K160*'Total Duration Tables Sup #1'!K105*(1+'Other Assumptions'!O$53)*(1+'Active Mode Assumptions'!K20)</f>
        <v>2.0565158695877468</v>
      </c>
    </row>
    <row r="106" spans="1:11" x14ac:dyDescent="0.2">
      <c r="A106" t="str">
        <f ca="1">OFFSET(Nelson_Reference,14,2)</f>
        <v>Light Vehicle Driver</v>
      </c>
      <c r="B106" s="4">
        <f ca="1">B161*'Total Duration Tables Sup #1'!B106*(1+'Other Assumptions'!D$53)-(B104*'Active Mode Assumptions'!B11*'Active Mode Assumptions'!B14/(1+'Active Mode Assumptions'!B11))-(B105*'Active Mode Assumptions'!B20*'Active Mode Assumptions'!B23/(1+'Active Mode Assumptions'!B20))</f>
        <v>23.635435057999999</v>
      </c>
      <c r="C106" s="4">
        <f ca="1">C161*'Total Duration Tables Sup #1'!C106*(1+'Other Assumptions'!G$53)-(C104*'Active Mode Assumptions'!C11*'Active Mode Assumptions'!C14/(1+'Active Mode Assumptions'!C11))-(C105*'Active Mode Assumptions'!C20*'Active Mode Assumptions'!C23/(1+'Active Mode Assumptions'!C20))</f>
        <v>25.166153563652728</v>
      </c>
      <c r="D106" s="4">
        <f ca="1">D161*'Total Duration Tables Sup #1'!D106*(1+'Other Assumptions'!H$53)-(D104*'Active Mode Assumptions'!D11*'Active Mode Assumptions'!D14/(1+'Active Mode Assumptions'!D11))-(D105*'Active Mode Assumptions'!D20*'Active Mode Assumptions'!D23/(1+'Active Mode Assumptions'!D20))</f>
        <v>25.997677882616358</v>
      </c>
      <c r="E106" s="4">
        <f ca="1">E161*'Total Duration Tables Sup #1'!E106*(1+'Other Assumptions'!I$53)-(E104*'Active Mode Assumptions'!E11*'Active Mode Assumptions'!E14/(1+'Active Mode Assumptions'!E11))-(E105*'Active Mode Assumptions'!E20*'Active Mode Assumptions'!E23/(1+'Active Mode Assumptions'!E20))</f>
        <v>26.892495039972374</v>
      </c>
      <c r="F106" s="4">
        <f ca="1">F161*'Total Duration Tables Sup #1'!F106*(1+'Other Assumptions'!J$53)-(F104*'Active Mode Assumptions'!F11*'Active Mode Assumptions'!F14/(1+'Active Mode Assumptions'!F11))-(F105*'Active Mode Assumptions'!F20*'Active Mode Assumptions'!F23/(1+'Active Mode Assumptions'!F20))</f>
        <v>27.509980350983025</v>
      </c>
      <c r="G106" s="4">
        <f ca="1">G161*'Total Duration Tables Sup #1'!G106*(1+'Other Assumptions'!K$53)-(G104*'Active Mode Assumptions'!G11*'Active Mode Assumptions'!G14/(1+'Active Mode Assumptions'!G11))-(G105*'Active Mode Assumptions'!G20*'Active Mode Assumptions'!G23/(1+'Active Mode Assumptions'!G20))</f>
        <v>27.804553815652021</v>
      </c>
      <c r="H106" s="4">
        <f ca="1">H161*'Total Duration Tables Sup #1'!H106*(1+'Other Assumptions'!L$53)-(H104*'Active Mode Assumptions'!H11*'Active Mode Assumptions'!H14/(1+'Active Mode Assumptions'!H11))-(H105*'Active Mode Assumptions'!H20*'Active Mode Assumptions'!H23/(1+'Active Mode Assumptions'!H20))</f>
        <v>27.800602076415917</v>
      </c>
      <c r="I106" s="4">
        <f ca="1">I161*'Total Duration Tables Sup #1'!I106*(1+'Other Assumptions'!M$53)-(I104*'Active Mode Assumptions'!I11*'Active Mode Assumptions'!I14/(1+'Active Mode Assumptions'!I11))-(I105*'Active Mode Assumptions'!I20*'Active Mode Assumptions'!I23/(1+'Active Mode Assumptions'!I20))</f>
        <v>28.228834995924945</v>
      </c>
      <c r="J106" s="4">
        <f ca="1">J161*'Total Duration Tables Sup #1'!J106*(1+'Other Assumptions'!N$53)-(J104*'Active Mode Assumptions'!J11*'Active Mode Assumptions'!J14/(1+'Active Mode Assumptions'!J11))-(J105*'Active Mode Assumptions'!J20*'Active Mode Assumptions'!J23/(1+'Active Mode Assumptions'!J20))</f>
        <v>28.557900812950937</v>
      </c>
      <c r="K106" s="4">
        <f ca="1">K161*'Total Duration Tables Sup #1'!K106*(1+'Other Assumptions'!O$53)-(K104*'Active Mode Assumptions'!K11*'Active Mode Assumptions'!K14/(1+'Active Mode Assumptions'!K11))-(K105*'Active Mode Assumptions'!K20*'Active Mode Assumptions'!K23/(1+'Active Mode Assumptions'!K20))</f>
        <v>28.82196470831412</v>
      </c>
    </row>
    <row r="107" spans="1:11" x14ac:dyDescent="0.2">
      <c r="A107" t="str">
        <f ca="1">OFFSET(Nelson_Reference,21,2)</f>
        <v>Light Vehicle Passenger</v>
      </c>
      <c r="B107" s="4">
        <f ca="1">B162*'Total Duration Tables Sup #1'!B107*(1+'Other Assumptions'!D$53)-(B104*'Active Mode Assumptions'!B11*'Active Mode Assumptions'!B15/(1+'Active Mode Assumptions'!B11))-(B105*'Active Mode Assumptions'!B20*'Active Mode Assumptions'!B24/(1+'Active Mode Assumptions'!B20))</f>
        <v>11.910351560000001</v>
      </c>
      <c r="C107" s="4">
        <f ca="1">C162*'Total Duration Tables Sup #1'!C107*(1+'Other Assumptions'!G$53)-(C104*'Active Mode Assumptions'!C11*'Active Mode Assumptions'!C15/(1+'Active Mode Assumptions'!C11))-(C105*'Active Mode Assumptions'!C20*'Active Mode Assumptions'!C24/(1+'Active Mode Assumptions'!C20))</f>
        <v>12.099689025996708</v>
      </c>
      <c r="D107" s="4">
        <f ca="1">D162*'Total Duration Tables Sup #1'!D107*(1+'Other Assumptions'!H$53)-(D104*'Active Mode Assumptions'!D11*'Active Mode Assumptions'!D15/(1+'Active Mode Assumptions'!D11))-(D105*'Active Mode Assumptions'!D20*'Active Mode Assumptions'!D24/(1+'Active Mode Assumptions'!D20))</f>
        <v>12.297246715526368</v>
      </c>
      <c r="E107" s="4">
        <f ca="1">E162*'Total Duration Tables Sup #1'!E107*(1+'Other Assumptions'!I$53)-(E104*'Active Mode Assumptions'!E11*'Active Mode Assumptions'!E15/(1+'Active Mode Assumptions'!E11))-(E105*'Active Mode Assumptions'!E20*'Active Mode Assumptions'!E24/(1+'Active Mode Assumptions'!E20))</f>
        <v>12.48225987625</v>
      </c>
      <c r="F107" s="4">
        <f ca="1">F162*'Total Duration Tables Sup #1'!F107*(1+'Other Assumptions'!J$53)-(F104*'Active Mode Assumptions'!F11*'Active Mode Assumptions'!F15/(1+'Active Mode Assumptions'!F11))-(F105*'Active Mode Assumptions'!F20*'Active Mode Assumptions'!F24/(1+'Active Mode Assumptions'!F20))</f>
        <v>12.560077971393172</v>
      </c>
      <c r="G107" s="4">
        <f ca="1">G162*'Total Duration Tables Sup #1'!G107*(1+'Other Assumptions'!K$53)-(G104*'Active Mode Assumptions'!G11*'Active Mode Assumptions'!G15/(1+'Active Mode Assumptions'!G11))-(G105*'Active Mode Assumptions'!G20*'Active Mode Assumptions'!G24/(1+'Active Mode Assumptions'!G20))</f>
        <v>12.552727355679348</v>
      </c>
      <c r="H107" s="4">
        <f ca="1">H162*'Total Duration Tables Sup #1'!H107*(1+'Other Assumptions'!L$53)-(H104*'Active Mode Assumptions'!H11*'Active Mode Assumptions'!H15/(1+'Active Mode Assumptions'!H11))-(H105*'Active Mode Assumptions'!H20*'Active Mode Assumptions'!H24/(1+'Active Mode Assumptions'!H20))</f>
        <v>12.435203125581538</v>
      </c>
      <c r="I107" s="4">
        <f ca="1">I162*'Total Duration Tables Sup #1'!I107*(1+'Other Assumptions'!M$53)-(I104*'Active Mode Assumptions'!I11*'Active Mode Assumptions'!I15/(1+'Active Mode Assumptions'!I11))-(I105*'Active Mode Assumptions'!I20*'Active Mode Assumptions'!I24/(1+'Active Mode Assumptions'!I20))</f>
        <v>12.635134923321642</v>
      </c>
      <c r="J107" s="4">
        <f ca="1">J162*'Total Duration Tables Sup #1'!J107*(1+'Other Assumptions'!N$53)-(J104*'Active Mode Assumptions'!J11*'Active Mode Assumptions'!J15/(1+'Active Mode Assumptions'!J11))-(J105*'Active Mode Assumptions'!J20*'Active Mode Assumptions'!J24/(1+'Active Mode Assumptions'!J20))</f>
        <v>12.792164318160536</v>
      </c>
      <c r="K107" s="4">
        <f ca="1">K162*'Total Duration Tables Sup #1'!K107*(1+'Other Assumptions'!O$53)-(K104*'Active Mode Assumptions'!K11*'Active Mode Assumptions'!K15/(1+'Active Mode Assumptions'!K11))-(K105*'Active Mode Assumptions'!K20*'Active Mode Assumptions'!K24/(1+'Active Mode Assumptions'!K20))</f>
        <v>12.920010092143169</v>
      </c>
    </row>
    <row r="108" spans="1:11" x14ac:dyDescent="0.2">
      <c r="A108" t="str">
        <f ca="1">OFFSET(Nelson_Reference,28,2)</f>
        <v>Taxi/Vehicle Share</v>
      </c>
      <c r="B108" s="4">
        <f ca="1">B163*'Total Duration Tables Sup #1'!B108*(1+'Other Assumptions'!D$53)</f>
        <v>8.1526233300000001E-2</v>
      </c>
      <c r="C108" s="4">
        <f ca="1">C163*'Total Duration Tables Sup #1'!C108*(1+'Other Assumptions'!G$53)</f>
        <v>9.1581757759997537E-2</v>
      </c>
      <c r="D108" s="4">
        <f ca="1">D163*'Total Duration Tables Sup #1'!D108*(1+'Other Assumptions'!H$53)</f>
        <v>0.10178517770538575</v>
      </c>
      <c r="E108" s="4">
        <f ca="1">E163*'Total Duration Tables Sup #1'!E108*(1+'Other Assumptions'!I$53)</f>
        <v>0.11036635614431282</v>
      </c>
      <c r="F108" s="4">
        <f ca="1">F163*'Total Duration Tables Sup #1'!F108*(1+'Other Assumptions'!J$53)</f>
        <v>0.11709013058012839</v>
      </c>
      <c r="G108" s="4">
        <f ca="1">G163*'Total Duration Tables Sup #1'!G108*(1+'Other Assumptions'!K$53)</f>
        <v>0.12125015961338551</v>
      </c>
      <c r="H108" s="4">
        <f ca="1">H163*'Total Duration Tables Sup #1'!H108*(1+'Other Assumptions'!L$53)</f>
        <v>0.12383777360769599</v>
      </c>
      <c r="I108" s="4">
        <f ca="1">I163*'Total Duration Tables Sup #1'!I108*(1+'Other Assumptions'!M$53)</f>
        <v>0.12594428703642355</v>
      </c>
      <c r="J108" s="4">
        <f ca="1">J163*'Total Duration Tables Sup #1'!J108*(1+'Other Assumptions'!N$53)</f>
        <v>0.12771745488285846</v>
      </c>
      <c r="K108" s="4">
        <f ca="1">K163*'Total Duration Tables Sup #1'!K108*(1+'Other Assumptions'!O$53)</f>
        <v>0.12921376655001798</v>
      </c>
    </row>
    <row r="109" spans="1:11" x14ac:dyDescent="0.2">
      <c r="A109" t="str">
        <f ca="1">OFFSET(Nelson_Reference,35,2)</f>
        <v>Motorcyclist</v>
      </c>
      <c r="B109" s="4">
        <f ca="1">B164*'Total Duration Tables Sup #1'!B109*(1+'Other Assumptions'!D$53)</f>
        <v>0.60769230029999999</v>
      </c>
      <c r="C109" s="4">
        <f ca="1">C164*'Total Duration Tables Sup #1'!C109*(1+'Other Assumptions'!G$53)</f>
        <v>0.63661478319431308</v>
      </c>
      <c r="D109" s="4">
        <f ca="1">D164*'Total Duration Tables Sup #1'!D109*(1+'Other Assumptions'!H$53)</f>
        <v>0.65932871477906452</v>
      </c>
      <c r="E109" s="4">
        <f ca="1">E164*'Total Duration Tables Sup #1'!E109*(1+'Other Assumptions'!I$53)</f>
        <v>0.6733516772445276</v>
      </c>
      <c r="F109" s="4">
        <f ca="1">F164*'Total Duration Tables Sup #1'!F109*(1+'Other Assumptions'!J$53)</f>
        <v>0.67687777166396546</v>
      </c>
      <c r="G109" s="4">
        <f ca="1">G164*'Total Duration Tables Sup #1'!G109*(1+'Other Assumptions'!K$53)</f>
        <v>0.66639448333245321</v>
      </c>
      <c r="H109" s="4">
        <f ca="1">H164*'Total Duration Tables Sup #1'!H109*(1+'Other Assumptions'!L$53)</f>
        <v>0.64805241623259602</v>
      </c>
      <c r="I109" s="4">
        <f ca="1">I164*'Total Duration Tables Sup #1'!I109*(1+'Other Assumptions'!M$53)</f>
        <v>0.66055236133134076</v>
      </c>
      <c r="J109" s="4">
        <f ca="1">J164*'Total Duration Tables Sup #1'!J109*(1+'Other Assumptions'!N$53)</f>
        <v>0.67121166162761992</v>
      </c>
      <c r="K109" s="4">
        <f ca="1">K164*'Total Duration Tables Sup #1'!K109*(1+'Other Assumptions'!O$53)</f>
        <v>0.68035543770796902</v>
      </c>
    </row>
    <row r="110" spans="1:11" x14ac:dyDescent="0.2">
      <c r="A110" t="str">
        <f ca="1">OFFSET(Nelson_Reference,42,2)</f>
        <v>Local Train</v>
      </c>
      <c r="B110" s="4">
        <f ca="1">B165*'Total Duration Tables Sup #1'!B110*(1+'Other Assumptions'!D$53)</f>
        <v>0</v>
      </c>
      <c r="C110" s="4">
        <f ca="1">C165*'Total Duration Tables Sup #1'!C110*(1+'Other Assumptions'!G$53)</f>
        <v>0</v>
      </c>
      <c r="D110" s="4">
        <f ca="1">D165*'Total Duration Tables Sup #1'!D110*(1+'Other Assumptions'!H$53)</f>
        <v>0</v>
      </c>
      <c r="E110" s="4">
        <f ca="1">E165*'Total Duration Tables Sup #1'!E110*(1+'Other Assumptions'!I$53)</f>
        <v>0</v>
      </c>
      <c r="F110" s="4">
        <f ca="1">F165*'Total Duration Tables Sup #1'!F110*(1+'Other Assumptions'!J$53)</f>
        <v>0</v>
      </c>
      <c r="G110" s="4">
        <f ca="1">G165*'Total Duration Tables Sup #1'!G110*(1+'Other Assumptions'!K$53)</f>
        <v>0</v>
      </c>
      <c r="H110" s="4">
        <f ca="1">H165*'Total Duration Tables Sup #1'!H110*(1+'Other Assumptions'!L$53)</f>
        <v>0</v>
      </c>
      <c r="I110" s="4">
        <f ca="1">I165*'Total Duration Tables Sup #1'!I110*(1+'Other Assumptions'!M$53)</f>
        <v>0</v>
      </c>
      <c r="J110" s="4">
        <f ca="1">J165*'Total Duration Tables Sup #1'!J110*(1+'Other Assumptions'!N$53)</f>
        <v>0</v>
      </c>
      <c r="K110" s="4">
        <f ca="1">K165*'Total Duration Tables Sup #1'!K110*(1+'Other Assumptions'!O$53)</f>
        <v>0</v>
      </c>
    </row>
    <row r="111" spans="1:11" x14ac:dyDescent="0.2">
      <c r="A111" t="str">
        <f ca="1">OFFSET(Nelson_Reference,49,2)</f>
        <v>Local Bus</v>
      </c>
      <c r="B111" s="4">
        <f ca="1">B166*'Total Duration Tables Sup #1'!B111*(1+'Other Assumptions'!D$53)</f>
        <v>0.94491203199999996</v>
      </c>
      <c r="C111" s="4">
        <f ca="1">C166*'Total Duration Tables Sup #1'!C111*(1+'Other Assumptions'!G$53)</f>
        <v>0.86752851273004539</v>
      </c>
      <c r="D111" s="4">
        <f ca="1">D166*'Total Duration Tables Sup #1'!D111*(1+'Other Assumptions'!H$53)</f>
        <v>0.88016841539599722</v>
      </c>
      <c r="E111" s="4">
        <f ca="1">E166*'Total Duration Tables Sup #1'!E111*(1+'Other Assumptions'!I$53)</f>
        <v>0.87795977967717931</v>
      </c>
      <c r="F111" s="4">
        <f ca="1">F166*'Total Duration Tables Sup #1'!F111*(1+'Other Assumptions'!J$53)</f>
        <v>0.87097697462815715</v>
      </c>
      <c r="G111" s="4">
        <f ca="1">G166*'Total Duration Tables Sup #1'!G111*(1+'Other Assumptions'!K$53)</f>
        <v>0.86903210449509039</v>
      </c>
      <c r="H111" s="4">
        <f ca="1">H166*'Total Duration Tables Sup #1'!H111*(1+'Other Assumptions'!L$53)</f>
        <v>0.86421560478857717</v>
      </c>
      <c r="I111" s="4">
        <f ca="1">I166*'Total Duration Tables Sup #1'!I111*(1+'Other Assumptions'!M$53)</f>
        <v>0.8792629970394783</v>
      </c>
      <c r="J111" s="4">
        <f ca="1">J166*'Total Duration Tables Sup #1'!J111*(1+'Other Assumptions'!N$53)</f>
        <v>0.89153661892532599</v>
      </c>
      <c r="K111" s="4">
        <f ca="1">K166*'Total Duration Tables Sup #1'!K111*(1+'Other Assumptions'!O$53)</f>
        <v>0.90178217066291988</v>
      </c>
    </row>
    <row r="112" spans="1:11" x14ac:dyDescent="0.2">
      <c r="A112" t="str">
        <f ca="1">OFFSET(Wellington_Reference,56,2)</f>
        <v>Local Ferry</v>
      </c>
      <c r="B112" s="4">
        <f ca="1">B167*'Total Duration Tables Sup #1'!B112*(1+'Other Assumptions'!D$53)</f>
        <v>0</v>
      </c>
      <c r="C112" s="4">
        <f ca="1">C167*'Total Duration Tables Sup #1'!C112*(1+'Other Assumptions'!G$53)</f>
        <v>0</v>
      </c>
      <c r="D112" s="4">
        <f ca="1">D167*'Total Duration Tables Sup #1'!D112*(1+'Other Assumptions'!H$53)</f>
        <v>0</v>
      </c>
      <c r="E112" s="4">
        <f ca="1">E167*'Total Duration Tables Sup #1'!E112*(1+'Other Assumptions'!I$53)</f>
        <v>0</v>
      </c>
      <c r="F112" s="4">
        <f ca="1">F167*'Total Duration Tables Sup #1'!F112*(1+'Other Assumptions'!J$53)</f>
        <v>0</v>
      </c>
      <c r="G112" s="4">
        <f ca="1">G167*'Total Duration Tables Sup #1'!G112*(1+'Other Assumptions'!K$53)</f>
        <v>0</v>
      </c>
      <c r="H112" s="4">
        <f ca="1">H167*'Total Duration Tables Sup #1'!H112*(1+'Other Assumptions'!L$53)</f>
        <v>0</v>
      </c>
      <c r="I112" s="4">
        <f ca="1">I167*'Total Duration Tables Sup #1'!I112*(1+'Other Assumptions'!M$53)</f>
        <v>0</v>
      </c>
      <c r="J112" s="4">
        <f ca="1">J167*'Total Duration Tables Sup #1'!J112*(1+'Other Assumptions'!N$53)</f>
        <v>0</v>
      </c>
      <c r="K112" s="4">
        <f ca="1">K167*'Total Duration Tables Sup #1'!K112*(1+'Other Assumptions'!O$53)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Duration Tables Sup #1'!B113*(1+'Other Assumptions'!D$53)</f>
        <v>0.51346004550000002</v>
      </c>
      <c r="C113" s="4">
        <f ca="1">C168*'Total Duration Tables Sup #1'!C113*(1+'Other Assumptions'!G$53)</f>
        <v>0.55404775767611081</v>
      </c>
      <c r="D113" s="4">
        <f ca="1">D168*'Total Duration Tables Sup #1'!D113*(1+'Other Assumptions'!H$53)</f>
        <v>0.56960344870491664</v>
      </c>
      <c r="E113" s="4">
        <f ca="1">E168*'Total Duration Tables Sup #1'!E113*(1+'Other Assumptions'!I$53)</f>
        <v>0.58081809009807694</v>
      </c>
      <c r="F113" s="4">
        <f ca="1">F168*'Total Duration Tables Sup #1'!F113*(1+'Other Assumptions'!J$53)</f>
        <v>0.58214619529169864</v>
      </c>
      <c r="G113" s="4">
        <f ca="1">G168*'Total Duration Tables Sup #1'!G113*(1+'Other Assumptions'!K$53)</f>
        <v>0.58183308121845567</v>
      </c>
      <c r="H113" s="4">
        <f ca="1">H168*'Total Duration Tables Sup #1'!H113*(1+'Other Assumptions'!L$53)</f>
        <v>0.57261992065447431</v>
      </c>
      <c r="I113" s="4">
        <f ca="1">I168*'Total Duration Tables Sup #1'!I113*(1+'Other Assumptions'!M$53)</f>
        <v>0.57968409372400176</v>
      </c>
      <c r="J113" s="4">
        <f ca="1">J168*'Total Duration Tables Sup #1'!J113*(1+'Other Assumptions'!N$53)</f>
        <v>0.58434307042088174</v>
      </c>
      <c r="K113" s="4">
        <f ca="1">K168*'Total Duration Tables Sup #1'!K113*(1+'Other Assumptions'!O$53)</f>
        <v>0.58768857856369627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t="str">
        <f ca="1">OFFSET(West_Coast_Reference,0,2)</f>
        <v>Pedestrian</v>
      </c>
      <c r="B115" s="4">
        <f ca="1">B159*'Total Duration Tables Sup #1'!B115*(1+'Other Assumptions'!D$54)*(1+'Active Mode Assumptions'!B11)</f>
        <v>1.1518220776999999</v>
      </c>
      <c r="C115" s="4">
        <f ca="1">C159*'Total Duration Tables Sup #1'!C115*(1+'Other Assumptions'!G$54)*(1+'Active Mode Assumptions'!C11)</f>
        <v>1.1019824008813337</v>
      </c>
      <c r="D115" s="4">
        <f ca="1">D159*'Total Duration Tables Sup #1'!D115*(1+'Other Assumptions'!H$54)*(1+'Active Mode Assumptions'!D11)</f>
        <v>1.1050783071142012</v>
      </c>
      <c r="E115" s="4">
        <f ca="1">E159*'Total Duration Tables Sup #1'!E115*(1+'Other Assumptions'!I$54)*(1+'Active Mode Assumptions'!E11)</f>
        <v>1.0943240824109346</v>
      </c>
      <c r="F115" s="4">
        <f ca="1">F159*'Total Duration Tables Sup #1'!F115*(1+'Other Assumptions'!J$54)*(1+'Active Mode Assumptions'!F11)</f>
        <v>1.0740055605630847</v>
      </c>
      <c r="G115" s="4">
        <f ca="1">G159*'Total Duration Tables Sup #1'!G115*(1+'Other Assumptions'!K$54)*(1+'Active Mode Assumptions'!G11)</f>
        <v>1.0508991254969842</v>
      </c>
      <c r="H115" s="4">
        <f ca="1">H159*'Total Duration Tables Sup #1'!H115*(1+'Other Assumptions'!L$54)*(1+'Active Mode Assumptions'!H11)</f>
        <v>1.0221825406408418</v>
      </c>
      <c r="I115" s="4">
        <f ca="1">I159*'Total Duration Tables Sup #1'!I115*(1+'Other Assumptions'!M$54)*(1+'Active Mode Assumptions'!I11)</f>
        <v>1.0147303614261083</v>
      </c>
      <c r="J115" s="4">
        <f ca="1">J159*'Total Duration Tables Sup #1'!J115*(1+'Other Assumptions'!N$54)*(1+'Active Mode Assumptions'!J11)</f>
        <v>1.0041786320053545</v>
      </c>
      <c r="K115" s="4">
        <f ca="1">K159*'Total Duration Tables Sup #1'!K115*(1+'Other Assumptions'!O$54)*(1+'Active Mode Assumptions'!K11)</f>
        <v>0.99132833923822161</v>
      </c>
    </row>
    <row r="116" spans="1:11" x14ac:dyDescent="0.2">
      <c r="A116" t="str">
        <f ca="1">OFFSET(West_Coast_Reference,7,2)</f>
        <v>Cyclist</v>
      </c>
      <c r="B116" s="4">
        <f ca="1">B160*'Total Duration Tables Sup #1'!B116*(1+'Other Assumptions'!D$54)*(1+'Active Mode Assumptions'!B20)</f>
        <v>0.17528853950000001</v>
      </c>
      <c r="C116" s="4">
        <f ca="1">C160*'Total Duration Tables Sup #1'!C116*(1+'Other Assumptions'!G$54)*(1+'Active Mode Assumptions'!C20)</f>
        <v>0.17055061315616363</v>
      </c>
      <c r="D116" s="4">
        <f ca="1">D160*'Total Duration Tables Sup #1'!D116*(1+'Other Assumptions'!H$54)*(1+'Active Mode Assumptions'!D20)</f>
        <v>0.19338942984315791</v>
      </c>
      <c r="E116" s="4">
        <f ca="1">E160*'Total Duration Tables Sup #1'!E116*(1+'Other Assumptions'!I$54)*(1+'Active Mode Assumptions'!E20)</f>
        <v>0.20899585280967295</v>
      </c>
      <c r="F116" s="4">
        <f ca="1">F160*'Total Duration Tables Sup #1'!F116*(1+'Other Assumptions'!J$54)*(1+'Active Mode Assumptions'!F20)</f>
        <v>0.22606650681707424</v>
      </c>
      <c r="G116" s="4">
        <f ca="1">G160*'Total Duration Tables Sup #1'!G116*(1+'Other Assumptions'!K$54)*(1+'Active Mode Assumptions'!G20)</f>
        <v>0.24546425716952275</v>
      </c>
      <c r="H116" s="4">
        <f ca="1">H160*'Total Duration Tables Sup #1'!H116*(1+'Other Assumptions'!L$54)*(1+'Active Mode Assumptions'!H20)</f>
        <v>0.26437247884241183</v>
      </c>
      <c r="I116" s="4">
        <f ca="1">I160*'Total Duration Tables Sup #1'!I116*(1+'Other Assumptions'!M$54)*(1+'Active Mode Assumptions'!I20)</f>
        <v>0.26425969751722123</v>
      </c>
      <c r="J116" s="4">
        <f ca="1">J160*'Total Duration Tables Sup #1'!J116*(1+'Other Assumptions'!N$54)*(1+'Active Mode Assumptions'!J20)</f>
        <v>0.26405719626822671</v>
      </c>
      <c r="K116" s="4">
        <f ca="1">K160*'Total Duration Tables Sup #1'!K116*(1+'Other Assumptions'!O$54)*(1+'Active Mode Assumptions'!K20)</f>
        <v>0.26326505785113818</v>
      </c>
    </row>
    <row r="117" spans="1:11" x14ac:dyDescent="0.2">
      <c r="A117" t="str">
        <f ca="1">OFFSET(West_Coast_Reference,14,2)</f>
        <v>Light Vehicle Driver</v>
      </c>
      <c r="B117" s="4">
        <f ca="1">B161*'Total Duration Tables Sup #1'!B117*(1+'Other Assumptions'!D$54)-(B115*'Active Mode Assumptions'!B11*'Active Mode Assumptions'!B14/(1+'Active Mode Assumptions'!B11))-(B116*'Active Mode Assumptions'!B20*'Active Mode Assumptions'!B23/(1+'Active Mode Assumptions'!B20))</f>
        <v>5.0852916584000001</v>
      </c>
      <c r="C117" s="4">
        <f ca="1">C161*'Total Duration Tables Sup #1'!C117*(1+'Other Assumptions'!G$54)-(C115*'Active Mode Assumptions'!C11*'Active Mode Assumptions'!C14/(1+'Active Mode Assumptions'!C11))-(C116*'Active Mode Assumptions'!C20*'Active Mode Assumptions'!C23/(1+'Active Mode Assumptions'!C20))</f>
        <v>5.0858141033990281</v>
      </c>
      <c r="D117" s="4">
        <f ca="1">D161*'Total Duration Tables Sup #1'!D117*(1+'Other Assumptions'!H$54)-(D115*'Active Mode Assumptions'!D11*'Active Mode Assumptions'!D14/(1+'Active Mode Assumptions'!D11))-(D116*'Active Mode Assumptions'!D20*'Active Mode Assumptions'!D23/(1+'Active Mode Assumptions'!D20))</f>
        <v>5.1030928136001474</v>
      </c>
      <c r="E117" s="4">
        <f ca="1">E161*'Total Duration Tables Sup #1'!E117*(1+'Other Assumptions'!I$54)-(E115*'Active Mode Assumptions'!E11*'Active Mode Assumptions'!E14/(1+'Active Mode Assumptions'!E11))-(E116*'Active Mode Assumptions'!E20*'Active Mode Assumptions'!E23/(1+'Active Mode Assumptions'!E20))</f>
        <v>5.1356446539398952</v>
      </c>
      <c r="F117" s="4">
        <f ca="1">F161*'Total Duration Tables Sup #1'!F117*(1+'Other Assumptions'!J$54)-(F115*'Active Mode Assumptions'!F11*'Active Mode Assumptions'!F14/(1+'Active Mode Assumptions'!F11))-(F116*'Active Mode Assumptions'!F20*'Active Mode Assumptions'!F23/(1+'Active Mode Assumptions'!F20))</f>
        <v>5.1132921541144496</v>
      </c>
      <c r="G117" s="4">
        <f ca="1">G161*'Total Duration Tables Sup #1'!G117*(1+'Other Assumptions'!K$54)-(G115*'Active Mode Assumptions'!G11*'Active Mode Assumptions'!G14/(1+'Active Mode Assumptions'!G11))-(G116*'Active Mode Assumptions'!G20*'Active Mode Assumptions'!G23/(1+'Active Mode Assumptions'!G20))</f>
        <v>5.0327395612221029</v>
      </c>
      <c r="H117" s="4">
        <f ca="1">H161*'Total Duration Tables Sup #1'!H117*(1+'Other Assumptions'!L$54)-(H115*'Active Mode Assumptions'!H11*'Active Mode Assumptions'!H14/(1+'Active Mode Assumptions'!H11))-(H116*'Active Mode Assumptions'!H20*'Active Mode Assumptions'!H23/(1+'Active Mode Assumptions'!H20))</f>
        <v>4.9132069378290533</v>
      </c>
      <c r="I117" s="4">
        <f ca="1">I161*'Total Duration Tables Sup #1'!I117*(1+'Other Assumptions'!M$54)-(I115*'Active Mode Assumptions'!I11*'Active Mode Assumptions'!I14/(1+'Active Mode Assumptions'!I11))-(I116*'Active Mode Assumptions'!I20*'Active Mode Assumptions'!I23/(1+'Active Mode Assumptions'!I20))</f>
        <v>4.8680680374802172</v>
      </c>
      <c r="J117" s="4">
        <f ca="1">J161*'Total Duration Tables Sup #1'!J117*(1+'Other Assumptions'!N$54)-(J115*'Active Mode Assumptions'!J11*'Active Mode Assumptions'!J14/(1+'Active Mode Assumptions'!J11))-(J116*'Active Mode Assumptions'!J20*'Active Mode Assumptions'!J23/(1+'Active Mode Assumptions'!J20))</f>
        <v>4.8053460340043541</v>
      </c>
      <c r="K117" s="4">
        <f ca="1">K161*'Total Duration Tables Sup #1'!K117*(1+'Other Assumptions'!O$54)-(K115*'Active Mode Assumptions'!K11*'Active Mode Assumptions'!K14/(1+'Active Mode Assumptions'!K11))-(K116*'Active Mode Assumptions'!K20*'Active Mode Assumptions'!K23/(1+'Active Mode Assumptions'!K20))</f>
        <v>4.7319085778990964</v>
      </c>
    </row>
    <row r="118" spans="1:11" x14ac:dyDescent="0.2">
      <c r="A118" t="str">
        <f ca="1">OFFSET(West_Coast_Reference,21,2)</f>
        <v>Light Vehicle Passenger</v>
      </c>
      <c r="B118" s="4">
        <f ca="1">B162*'Total Duration Tables Sup #1'!B118*(1+'Other Assumptions'!D$54)-(B115*'Active Mode Assumptions'!B11*'Active Mode Assumptions'!B15/(1+'Active Mode Assumptions'!B11))-(B116*'Active Mode Assumptions'!B20*'Active Mode Assumptions'!B24/(1+'Active Mode Assumptions'!B20))</f>
        <v>3.4140139011000001</v>
      </c>
      <c r="C118" s="4">
        <f ca="1">C162*'Total Duration Tables Sup #1'!C118*(1+'Other Assumptions'!G$54)-(C115*'Active Mode Assumptions'!C11*'Active Mode Assumptions'!C15/(1+'Active Mode Assumptions'!C11))-(C116*'Active Mode Assumptions'!C20*'Active Mode Assumptions'!C24/(1+'Active Mode Assumptions'!C20))</f>
        <v>3.2576639885192074</v>
      </c>
      <c r="D118" s="4">
        <f ca="1">D162*'Total Duration Tables Sup #1'!D118*(1+'Other Assumptions'!H$54)-(D115*'Active Mode Assumptions'!D11*'Active Mode Assumptions'!D15/(1+'Active Mode Assumptions'!D11))-(D116*'Active Mode Assumptions'!D20*'Active Mode Assumptions'!D24/(1+'Active Mode Assumptions'!D20))</f>
        <v>3.221323309580435</v>
      </c>
      <c r="E118" s="4">
        <f ca="1">E162*'Total Duration Tables Sup #1'!E118*(1+'Other Assumptions'!I$54)-(E115*'Active Mode Assumptions'!E11*'Active Mode Assumptions'!E15/(1+'Active Mode Assumptions'!E11))-(E116*'Active Mode Assumptions'!E20*'Active Mode Assumptions'!E24/(1+'Active Mode Assumptions'!E20))</f>
        <v>3.1865468995284645</v>
      </c>
      <c r="F118" s="4">
        <f ca="1">F162*'Total Duration Tables Sup #1'!F118*(1+'Other Assumptions'!J$54)-(F115*'Active Mode Assumptions'!F11*'Active Mode Assumptions'!F15/(1+'Active Mode Assumptions'!F11))-(F116*'Active Mode Assumptions'!F20*'Active Mode Assumptions'!F24/(1+'Active Mode Assumptions'!F20))</f>
        <v>3.1261612191959993</v>
      </c>
      <c r="G118" s="4">
        <f ca="1">G162*'Total Duration Tables Sup #1'!G118*(1+'Other Assumptions'!K$54)-(G115*'Active Mode Assumptions'!G11*'Active Mode Assumptions'!G15/(1+'Active Mode Assumptions'!G11))-(G116*'Active Mode Assumptions'!G20*'Active Mode Assumptions'!G24/(1+'Active Mode Assumptions'!G20))</f>
        <v>3.0479560583223049</v>
      </c>
      <c r="H118" s="4">
        <f ca="1">H162*'Total Duration Tables Sup #1'!H118*(1+'Other Assumptions'!L$54)-(H115*'Active Mode Assumptions'!H11*'Active Mode Assumptions'!H15/(1+'Active Mode Assumptions'!H11))-(H116*'Active Mode Assumptions'!H20*'Active Mode Assumptions'!H24/(1+'Active Mode Assumptions'!H20))</f>
        <v>2.9535367448115615</v>
      </c>
      <c r="I118" s="4">
        <f ca="1">I162*'Total Duration Tables Sup #1'!I118*(1+'Other Assumptions'!M$54)-(I115*'Active Mode Assumptions'!I11*'Active Mode Assumptions'!I15/(1+'Active Mode Assumptions'!I11))-(I116*'Active Mode Assumptions'!I20*'Active Mode Assumptions'!I24/(1+'Active Mode Assumptions'!I20))</f>
        <v>2.9284521559253029</v>
      </c>
      <c r="J118" s="4">
        <f ca="1">J162*'Total Duration Tables Sup #1'!J118*(1+'Other Assumptions'!N$54)-(J115*'Active Mode Assumptions'!J11*'Active Mode Assumptions'!J15/(1+'Active Mode Assumptions'!J11))-(J116*'Active Mode Assumptions'!J20*'Active Mode Assumptions'!J24/(1+'Active Mode Assumptions'!J20))</f>
        <v>2.8930754930076468</v>
      </c>
      <c r="K118" s="4">
        <f ca="1">K162*'Total Duration Tables Sup #1'!K118*(1+'Other Assumptions'!O$54)-(K115*'Active Mode Assumptions'!K11*'Active Mode Assumptions'!K15/(1+'Active Mode Assumptions'!K11))-(K116*'Active Mode Assumptions'!K20*'Active Mode Assumptions'!K24/(1+'Active Mode Assumptions'!K20))</f>
        <v>2.8511262552721388</v>
      </c>
    </row>
    <row r="119" spans="1:11" x14ac:dyDescent="0.2">
      <c r="A119" t="str">
        <f ca="1">OFFSET(West_Coast_Reference,28,2)</f>
        <v>Taxi/Vehicle Share</v>
      </c>
      <c r="B119" s="4">
        <f ca="1">B163*'Total Duration Tables Sup #1'!B119*(1+'Other Assumptions'!D$54)</f>
        <v>6.5507808299999998E-2</v>
      </c>
      <c r="C119" s="4">
        <f ca="1">C163*'Total Duration Tables Sup #1'!C119*(1+'Other Assumptions'!G$54)</f>
        <v>6.9118776345903993E-2</v>
      </c>
      <c r="D119" s="4">
        <f ca="1">D163*'Total Duration Tables Sup #1'!D119*(1+'Other Assumptions'!H$54)</f>
        <v>7.4568950894252889E-2</v>
      </c>
      <c r="E119" s="4">
        <f ca="1">E163*'Total Duration Tables Sup #1'!E119*(1+'Other Assumptions'!I$54)</f>
        <v>7.8617806525189737E-2</v>
      </c>
      <c r="F119" s="4">
        <f ca="1">F163*'Total Duration Tables Sup #1'!F119*(1+'Other Assumptions'!J$54)</f>
        <v>8.113420871082265E-2</v>
      </c>
      <c r="G119" s="4">
        <f ca="1">G163*'Total Duration Tables Sup #1'!G119*(1+'Other Assumptions'!K$54)</f>
        <v>8.1769648024618002E-2</v>
      </c>
      <c r="H119" s="4">
        <f ca="1">H163*'Total Duration Tables Sup #1'!H119*(1+'Other Assumptions'!L$54)</f>
        <v>8.1494825576281169E-2</v>
      </c>
      <c r="I119" s="4">
        <f ca="1">I163*'Total Duration Tables Sup #1'!I119*(1+'Other Assumptions'!M$54)</f>
        <v>8.0872707212615177E-2</v>
      </c>
      <c r="J119" s="4">
        <f ca="1">J163*'Total Duration Tables Sup #1'!J119*(1+'Other Assumptions'!N$54)</f>
        <v>8.0020243991003825E-2</v>
      </c>
      <c r="K119" s="4">
        <f ca="1">K163*'Total Duration Tables Sup #1'!K119*(1+'Other Assumptions'!O$54)</f>
        <v>7.8988521168123049E-2</v>
      </c>
    </row>
    <row r="120" spans="1:11" x14ac:dyDescent="0.2">
      <c r="A120" t="str">
        <f ca="1">OFFSET(West_Coast_Reference,35,2)</f>
        <v>Motorcyclist</v>
      </c>
      <c r="B120" s="4">
        <f ca="1">B164*'Total Duration Tables Sup #1'!B120*(1+'Other Assumptions'!D$54)</f>
        <v>9.7989774000000005E-3</v>
      </c>
      <c r="C120" s="4">
        <f ca="1">C164*'Total Duration Tables Sup #1'!C120*(1+'Other Assumptions'!G$54)</f>
        <v>9.6419553444856403E-3</v>
      </c>
      <c r="D120" s="4">
        <f ca="1">D164*'Total Duration Tables Sup #1'!D120*(1+'Other Assumptions'!H$54)</f>
        <v>9.6934151802757981E-3</v>
      </c>
      <c r="E120" s="4">
        <f ca="1">E164*'Total Duration Tables Sup #1'!E120*(1+'Other Assumptions'!I$54)</f>
        <v>9.6255930131877356E-3</v>
      </c>
      <c r="F120" s="4">
        <f ca="1">F164*'Total Duration Tables Sup #1'!F120*(1+'Other Assumptions'!J$54)</f>
        <v>9.4122899456222323E-3</v>
      </c>
      <c r="G120" s="4">
        <f ca="1">G164*'Total Duration Tables Sup #1'!G120*(1+'Other Assumptions'!K$54)</f>
        <v>9.0186707628298352E-3</v>
      </c>
      <c r="H120" s="4">
        <f ca="1">H164*'Total Duration Tables Sup #1'!H120*(1+'Other Assumptions'!L$54)</f>
        <v>8.5583168972666237E-3</v>
      </c>
      <c r="I120" s="4">
        <f ca="1">I164*'Total Duration Tables Sup #1'!I120*(1+'Other Assumptions'!M$54)</f>
        <v>8.512009287058914E-3</v>
      </c>
      <c r="J120" s="4">
        <f ca="1">J164*'Total Duration Tables Sup #1'!J120*(1+'Other Assumptions'!N$54)</f>
        <v>8.43937799988035E-3</v>
      </c>
      <c r="K120" s="4">
        <f ca="1">K164*'Total Duration Tables Sup #1'!K120*(1+'Other Assumptions'!O$54)</f>
        <v>8.3462691791274645E-3</v>
      </c>
    </row>
    <row r="121" spans="1:11" x14ac:dyDescent="0.2">
      <c r="A121" t="str">
        <f ca="1">OFFSET(Nelson_Reference,42,2)</f>
        <v>Local Train</v>
      </c>
      <c r="B121" s="4">
        <f ca="1">B165*'Total Duration Tables Sup #1'!B121*(1+'Other Assumptions'!D$54)</f>
        <v>0</v>
      </c>
      <c r="C121" s="4">
        <f ca="1">C165*'Total Duration Tables Sup #1'!C121*(1+'Other Assumptions'!G$54)</f>
        <v>0</v>
      </c>
      <c r="D121" s="4">
        <f ca="1">D165*'Total Duration Tables Sup #1'!D121*(1+'Other Assumptions'!H$54)</f>
        <v>0</v>
      </c>
      <c r="E121" s="4">
        <f ca="1">E165*'Total Duration Tables Sup #1'!E121*(1+'Other Assumptions'!I$54)</f>
        <v>0</v>
      </c>
      <c r="F121" s="4">
        <f ca="1">F165*'Total Duration Tables Sup #1'!F121*(1+'Other Assumptions'!J$54)</f>
        <v>0</v>
      </c>
      <c r="G121" s="4">
        <f ca="1">G165*'Total Duration Tables Sup #1'!G121*(1+'Other Assumptions'!K$54)</f>
        <v>0</v>
      </c>
      <c r="H121" s="4">
        <f ca="1">H165*'Total Duration Tables Sup #1'!H121*(1+'Other Assumptions'!L$54)</f>
        <v>0</v>
      </c>
      <c r="I121" s="4">
        <f ca="1">I165*'Total Duration Tables Sup #1'!I121*(1+'Other Assumptions'!M$54)</f>
        <v>0</v>
      </c>
      <c r="J121" s="4">
        <f ca="1">J165*'Total Duration Tables Sup #1'!J121*(1+'Other Assumptions'!N$54)</f>
        <v>0</v>
      </c>
      <c r="K121" s="4">
        <f ca="1">K165*'Total Duration Tables Sup #1'!K121*(1+'Other Assumptions'!O$54)</f>
        <v>0</v>
      </c>
    </row>
    <row r="122" spans="1:11" x14ac:dyDescent="0.2">
      <c r="A122" t="str">
        <f ca="1">OFFSET(West_Coast_Reference,42,2)</f>
        <v>Local Bus</v>
      </c>
      <c r="B122" s="4">
        <f ca="1">B166*'Total Duration Tables Sup #1'!B122*(1+'Other Assumptions'!D$54)</f>
        <v>0.18249519829999999</v>
      </c>
      <c r="C122" s="4">
        <f ca="1">C166*'Total Duration Tables Sup #1'!C122*(1+'Other Assumptions'!G$54)</f>
        <v>0.15737480119548647</v>
      </c>
      <c r="D122" s="4">
        <f ca="1">D166*'Total Duration Tables Sup #1'!D122*(1+'Other Assumptions'!H$54)</f>
        <v>0.15498998803015754</v>
      </c>
      <c r="E122" s="4">
        <f ca="1">E166*'Total Duration Tables Sup #1'!E122*(1+'Other Assumptions'!I$54)</f>
        <v>0.15032223014922041</v>
      </c>
      <c r="F122" s="4">
        <f ca="1">F166*'Total Duration Tables Sup #1'!F122*(1+'Other Assumptions'!J$54)</f>
        <v>0.14506236696442998</v>
      </c>
      <c r="G122" s="4">
        <f ca="1">G166*'Total Duration Tables Sup #1'!G122*(1+'Other Assumptions'!K$54)</f>
        <v>0.14086723853280536</v>
      </c>
      <c r="H122" s="4">
        <f ca="1">H166*'Total Duration Tables Sup #1'!H122*(1+'Other Assumptions'!L$54)</f>
        <v>0.13669838189999542</v>
      </c>
      <c r="I122" s="4">
        <f ca="1">I166*'Total Duration Tables Sup #1'!I122*(1+'Other Assumptions'!M$54)</f>
        <v>0.1357083832760213</v>
      </c>
      <c r="J122" s="4">
        <f ca="1">J166*'Total Duration Tables Sup #1'!J122*(1+'Other Assumptions'!N$54)</f>
        <v>0.13426201870486151</v>
      </c>
      <c r="K122" s="4">
        <f ca="1">K166*'Total Duration Tables Sup #1'!K122*(1+'Other Assumptions'!O$54)</f>
        <v>0.13250162733919874</v>
      </c>
    </row>
    <row r="123" spans="1:11" x14ac:dyDescent="0.2">
      <c r="A123" t="str">
        <f ca="1">OFFSET(Wellington_Reference,56,2)</f>
        <v>Local Ferry</v>
      </c>
      <c r="B123" s="4">
        <f ca="1">B167*'Total Duration Tables Sup #1'!B123*(1+'Other Assumptions'!D$54)</f>
        <v>0</v>
      </c>
      <c r="C123" s="4">
        <f ca="1">C167*'Total Duration Tables Sup #1'!C123*(1+'Other Assumptions'!G$54)</f>
        <v>0</v>
      </c>
      <c r="D123" s="4">
        <f ca="1">D167*'Total Duration Tables Sup #1'!D123*(1+'Other Assumptions'!H$54)</f>
        <v>0</v>
      </c>
      <c r="E123" s="4">
        <f ca="1">E167*'Total Duration Tables Sup #1'!E123*(1+'Other Assumptions'!I$54)</f>
        <v>0</v>
      </c>
      <c r="F123" s="4">
        <f ca="1">F167*'Total Duration Tables Sup #1'!F123*(1+'Other Assumptions'!J$54)</f>
        <v>0</v>
      </c>
      <c r="G123" s="4">
        <f ca="1">G167*'Total Duration Tables Sup #1'!G123*(1+'Other Assumptions'!K$54)</f>
        <v>0</v>
      </c>
      <c r="H123" s="4">
        <f ca="1">H167*'Total Duration Tables Sup #1'!H123*(1+'Other Assumptions'!L$54)</f>
        <v>0</v>
      </c>
      <c r="I123" s="4">
        <f ca="1">I167*'Total Duration Tables Sup #1'!I123*(1+'Other Assumptions'!M$54)</f>
        <v>0</v>
      </c>
      <c r="J123" s="4">
        <f ca="1">J167*'Total Duration Tables Sup #1'!J123*(1+'Other Assumptions'!N$54)</f>
        <v>0</v>
      </c>
      <c r="K123" s="4">
        <f ca="1">K167*'Total Duration Tables Sup #1'!K123*(1+'Other Assumptions'!O$54)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Duration Tables Sup #1'!B124*(1+'Other Assumptions'!D$54)</f>
        <v>3.6766106000000001E-3</v>
      </c>
      <c r="C124" s="4">
        <f ca="1">C168*'Total Duration Tables Sup #1'!C124*(1+'Other Assumptions'!G$54)</f>
        <v>3.7263149218255513E-3</v>
      </c>
      <c r="D124" s="4">
        <f ca="1">D168*'Total Duration Tables Sup #1'!D124*(1+'Other Assumptions'!H$54)</f>
        <v>3.7187021247470221E-3</v>
      </c>
      <c r="E124" s="4">
        <f ca="1">E168*'Total Duration Tables Sup #1'!E124*(1+'Other Assumptions'!I$54)</f>
        <v>3.6869703139378726E-3</v>
      </c>
      <c r="F124" s="4">
        <f ca="1">F168*'Total Duration Tables Sup #1'!F124*(1+'Other Assumptions'!J$54)</f>
        <v>3.5946868747923277E-3</v>
      </c>
      <c r="G124" s="4">
        <f ca="1">G168*'Total Duration Tables Sup #1'!G124*(1+'Other Assumptions'!K$54)</f>
        <v>3.4966608220970206E-3</v>
      </c>
      <c r="H124" s="4">
        <f ca="1">H168*'Total Duration Tables Sup #1'!H124*(1+'Other Assumptions'!L$54)</f>
        <v>3.3580614523148417E-3</v>
      </c>
      <c r="I124" s="4">
        <f ca="1">I168*'Total Duration Tables Sup #1'!I124*(1+'Other Assumptions'!M$54)</f>
        <v>3.3171123462790862E-3</v>
      </c>
      <c r="J124" s="4">
        <f ca="1">J168*'Total Duration Tables Sup #1'!J124*(1+'Other Assumptions'!N$54)</f>
        <v>3.2625922631118885E-3</v>
      </c>
      <c r="K124" s="4">
        <f ca="1">K168*'Total Duration Tables Sup #1'!K124*(1+'Other Assumptions'!O$54)</f>
        <v>3.2014574583060077E-3</v>
      </c>
    </row>
    <row r="125" spans="1:11" x14ac:dyDescent="0.2">
      <c r="A125" t="str">
        <f ca="1">OFFSET(Canterbury_Reference,0,0)</f>
        <v>13 CANTERBURY</v>
      </c>
      <c r="B125" s="4"/>
    </row>
    <row r="126" spans="1:11" x14ac:dyDescent="0.2">
      <c r="A126" t="str">
        <f ca="1">OFFSET(Canterbury_Reference,0,2)</f>
        <v>Pedestrian</v>
      </c>
      <c r="B126" s="4">
        <f ca="1">B159*'Total Duration Tables Sup #1'!B126*(1+'Other Assumptions'!D$55)*(1+'Active Mode Assumptions'!B11)</f>
        <v>27.07651954</v>
      </c>
      <c r="C126" s="4">
        <f ca="1">C159*'Total Duration Tables Sup #1'!C126*(1+'Other Assumptions'!G$55)*(1+'Active Mode Assumptions'!C11)</f>
        <v>29.12117362075827</v>
      </c>
      <c r="D126" s="4">
        <f ca="1">D159*'Total Duration Tables Sup #1'!D126*(1+'Other Assumptions'!H$55)*(1+'Active Mode Assumptions'!D11)</f>
        <v>31.124235679379701</v>
      </c>
      <c r="E126" s="4">
        <f ca="1">E159*'Total Duration Tables Sup #1'!E126*(1+'Other Assumptions'!I$55)*(1+'Active Mode Assumptions'!E11)</f>
        <v>32.417590418781792</v>
      </c>
      <c r="F126" s="4">
        <f ca="1">F159*'Total Duration Tables Sup #1'!F126*(1+'Other Assumptions'!J$55)*(1+'Active Mode Assumptions'!F11)</f>
        <v>33.485954543605274</v>
      </c>
      <c r="G126" s="4">
        <f ca="1">G159*'Total Duration Tables Sup #1'!G126*(1+'Other Assumptions'!K$55)*(1+'Active Mode Assumptions'!G11)</f>
        <v>34.508748020482265</v>
      </c>
      <c r="H126" s="4">
        <f ca="1">H159*'Total Duration Tables Sup #1'!H126*(1+'Other Assumptions'!L$55)*(1+'Active Mode Assumptions'!H11)</f>
        <v>35.323388808626923</v>
      </c>
      <c r="I126" s="4">
        <f ca="1">I159*'Total Duration Tables Sup #1'!I126*(1+'Other Assumptions'!M$55)*(1+'Active Mode Assumptions'!I11)</f>
        <v>36.902032596713632</v>
      </c>
      <c r="J126" s="4">
        <f ca="1">J159*'Total Duration Tables Sup #1'!J126*(1+'Other Assumptions'!N$55)*(1+'Active Mode Assumptions'!J11)</f>
        <v>38.430526926358482</v>
      </c>
      <c r="K126" s="4">
        <f ca="1">K159*'Total Duration Tables Sup #1'!K126*(1+'Other Assumptions'!O$55)*(1+'Active Mode Assumptions'!K11)</f>
        <v>39.925339266956044</v>
      </c>
    </row>
    <row r="127" spans="1:11" x14ac:dyDescent="0.2">
      <c r="A127" t="str">
        <f ca="1">OFFSET(Canterbury_Reference,7,2)</f>
        <v>Cyclist</v>
      </c>
      <c r="B127" s="4">
        <f ca="1">B160*'Total Duration Tables Sup #1'!B127*(1+'Other Assumptions'!D$55)*(1+'Active Mode Assumptions'!B20)</f>
        <v>7.2445897615000003</v>
      </c>
      <c r="C127" s="4">
        <f ca="1">C160*'Total Duration Tables Sup #1'!C127*(1+'Other Assumptions'!G$55)*(1+'Active Mode Assumptions'!C20)</f>
        <v>7.9239246162888124</v>
      </c>
      <c r="D127" s="4">
        <f ca="1">D160*'Total Duration Tables Sup #1'!D127*(1+'Other Assumptions'!H$55)*(1+'Active Mode Assumptions'!D20)</f>
        <v>9.5761559435570476</v>
      </c>
      <c r="E127" s="4">
        <f ca="1">E160*'Total Duration Tables Sup #1'!E127*(1+'Other Assumptions'!I$55)*(1+'Active Mode Assumptions'!E20)</f>
        <v>10.884920907678255</v>
      </c>
      <c r="F127" s="4">
        <f ca="1">F160*'Total Duration Tables Sup #1'!F127*(1+'Other Assumptions'!J$55)*(1+'Active Mode Assumptions'!F20)</f>
        <v>12.392108644949403</v>
      </c>
      <c r="G127" s="4">
        <f ca="1">G160*'Total Duration Tables Sup #1'!G127*(1+'Other Assumptions'!K$55)*(1+'Active Mode Assumptions'!G20)</f>
        <v>14.171286231799085</v>
      </c>
      <c r="H127" s="4">
        <f ca="1">H160*'Total Duration Tables Sup #1'!H127*(1+'Other Assumptions'!L$55)*(1+'Active Mode Assumptions'!H20)</f>
        <v>16.062124258079518</v>
      </c>
      <c r="I127" s="4">
        <f ca="1">I160*'Total Duration Tables Sup #1'!I127*(1+'Other Assumptions'!M$55)*(1+'Active Mode Assumptions'!I20)</f>
        <v>16.895980591146191</v>
      </c>
      <c r="J127" s="4">
        <f ca="1">J160*'Total Duration Tables Sup #1'!J127*(1+'Other Assumptions'!N$55)*(1+'Active Mode Assumptions'!J20)</f>
        <v>17.76708607489919</v>
      </c>
      <c r="K127" s="4">
        <f ca="1">K160*'Total Duration Tables Sup #1'!K127*(1+'Other Assumptions'!O$55)*(1+'Active Mode Assumptions'!K20)</f>
        <v>18.641340943515793</v>
      </c>
    </row>
    <row r="128" spans="1:11" x14ac:dyDescent="0.2">
      <c r="A128" t="str">
        <f ca="1">OFFSET(Canterbury_Reference,14,2)</f>
        <v>Light Vehicle Driver</v>
      </c>
      <c r="B128" s="4">
        <f ca="1">B161*'Total Duration Tables Sup #1'!B128*(1+'Other Assumptions'!D$55)-(B126*'Active Mode Assumptions'!B11*'Active Mode Assumptions'!B14/(1+'Active Mode Assumptions'!B11))-(B127*'Active Mode Assumptions'!B20*'Active Mode Assumptions'!B23/(1+'Active Mode Assumptions'!B20))</f>
        <v>111.06814274</v>
      </c>
      <c r="C128" s="4">
        <f ca="1">C161*'Total Duration Tables Sup #1'!C128*(1+'Other Assumptions'!G$55)-(C126*'Active Mode Assumptions'!C11*'Active Mode Assumptions'!C14/(1+'Active Mode Assumptions'!C11))-(C127*'Active Mode Assumptions'!C20*'Active Mode Assumptions'!C23/(1+'Active Mode Assumptions'!C20))</f>
        <v>124.87080176940057</v>
      </c>
      <c r="D128" s="4">
        <f ca="1">D161*'Total Duration Tables Sup #1'!D128*(1+'Other Assumptions'!H$55)-(D126*'Active Mode Assumptions'!D11*'Active Mode Assumptions'!D14/(1+'Active Mode Assumptions'!D11))-(D127*'Active Mode Assumptions'!D20*'Active Mode Assumptions'!D23/(1+'Active Mode Assumptions'!D20))</f>
        <v>133.42469518541665</v>
      </c>
      <c r="E128" s="4">
        <f ca="1">E161*'Total Duration Tables Sup #1'!E128*(1+'Other Assumptions'!I$55)-(E126*'Active Mode Assumptions'!E11*'Active Mode Assumptions'!E14/(1+'Active Mode Assumptions'!E11))-(E127*'Active Mode Assumptions'!E20*'Active Mode Assumptions'!E23/(1+'Active Mode Assumptions'!E20))</f>
        <v>141.1140843349518</v>
      </c>
      <c r="F128" s="4">
        <f ca="1">F161*'Total Duration Tables Sup #1'!F128*(1+'Other Assumptions'!J$55)-(F126*'Active Mode Assumptions'!F11*'Active Mode Assumptions'!F14/(1+'Active Mode Assumptions'!F11))-(F127*'Active Mode Assumptions'!F20*'Active Mode Assumptions'!F23/(1+'Active Mode Assumptions'!F20))</f>
        <v>147.75244915202845</v>
      </c>
      <c r="G128" s="4">
        <f ca="1">G161*'Total Duration Tables Sup #1'!G128*(1+'Other Assumptions'!K$55)-(G126*'Active Mode Assumptions'!G11*'Active Mode Assumptions'!G14/(1+'Active Mode Assumptions'!G11))-(G127*'Active Mode Assumptions'!G20*'Active Mode Assumptions'!G23/(1+'Active Mode Assumptions'!G20))</f>
        <v>153.0235039502727</v>
      </c>
      <c r="H128" s="4">
        <f ca="1">H161*'Total Duration Tables Sup #1'!H128*(1+'Other Assumptions'!L$55)-(H126*'Active Mode Assumptions'!H11*'Active Mode Assumptions'!H14/(1+'Active Mode Assumptions'!H11))-(H127*'Active Mode Assumptions'!H20*'Active Mode Assumptions'!H23/(1+'Active Mode Assumptions'!H20))</f>
        <v>157.06040107365502</v>
      </c>
      <c r="I128" s="4">
        <f ca="1">I161*'Total Duration Tables Sup #1'!I128*(1+'Other Assumptions'!M$55)-(I126*'Active Mode Assumptions'!I11*'Active Mode Assumptions'!I14/(1+'Active Mode Assumptions'!I11))-(I127*'Active Mode Assumptions'!I20*'Active Mode Assumptions'!I23/(1+'Active Mode Assumptions'!I20))</f>
        <v>163.76017077379746</v>
      </c>
      <c r="J128" s="4">
        <f ca="1">J161*'Total Duration Tables Sup #1'!J128*(1+'Other Assumptions'!N$55)-(J126*'Active Mode Assumptions'!J11*'Active Mode Assumptions'!J14/(1+'Active Mode Assumptions'!J11))-(J127*'Active Mode Assumptions'!J20*'Active Mode Assumptions'!J23/(1+'Active Mode Assumptions'!J20))</f>
        <v>170.10615465550512</v>
      </c>
      <c r="K128" s="4">
        <f ca="1">K161*'Total Duration Tables Sup #1'!K128*(1+'Other Assumptions'!O$55)-(K126*'Active Mode Assumptions'!K11*'Active Mode Assumptions'!K14/(1+'Active Mode Assumptions'!K11))-(K127*'Active Mode Assumptions'!K20*'Active Mode Assumptions'!K23/(1+'Active Mode Assumptions'!K20))</f>
        <v>176.26853847491995</v>
      </c>
    </row>
    <row r="129" spans="1:11" x14ac:dyDescent="0.2">
      <c r="A129" t="str">
        <f ca="1">OFFSET(Canterbury_Reference,21,2)</f>
        <v>Light Vehicle Passenger</v>
      </c>
      <c r="B129" s="4">
        <f ca="1">B162*'Total Duration Tables Sup #1'!B129*(1+'Other Assumptions'!D$55)-(B126*'Active Mode Assumptions'!B11*'Active Mode Assumptions'!B15/(1+'Active Mode Assumptions'!B11))-(B127*'Active Mode Assumptions'!B20*'Active Mode Assumptions'!B24/(1+'Active Mode Assumptions'!B20))</f>
        <v>53.544276449999998</v>
      </c>
      <c r="C129" s="4">
        <f ca="1">C162*'Total Duration Tables Sup #1'!C129*(1+'Other Assumptions'!G$55)-(C126*'Active Mode Assumptions'!C11*'Active Mode Assumptions'!C15/(1+'Active Mode Assumptions'!C11))-(C127*'Active Mode Assumptions'!C20*'Active Mode Assumptions'!C24/(1+'Active Mode Assumptions'!C20))</f>
        <v>57.435556196001869</v>
      </c>
      <c r="D129" s="4">
        <f ca="1">D162*'Total Duration Tables Sup #1'!D129*(1+'Other Assumptions'!H$55)-(D126*'Active Mode Assumptions'!D11*'Active Mode Assumptions'!D15/(1+'Active Mode Assumptions'!D11))-(D127*'Active Mode Assumptions'!D20*'Active Mode Assumptions'!D24/(1+'Active Mode Assumptions'!D20))</f>
        <v>60.345510590669058</v>
      </c>
      <c r="E129" s="4">
        <f ca="1">E162*'Total Duration Tables Sup #1'!E129*(1+'Other Assumptions'!I$55)-(E126*'Active Mode Assumptions'!E11*'Active Mode Assumptions'!E15/(1+'Active Mode Assumptions'!E11))-(E127*'Active Mode Assumptions'!E20*'Active Mode Assumptions'!E24/(1+'Active Mode Assumptions'!E20))</f>
        <v>62.593776349684916</v>
      </c>
      <c r="F129" s="4">
        <f ca="1">F162*'Total Duration Tables Sup #1'!F129*(1+'Other Assumptions'!J$55)-(F126*'Active Mode Assumptions'!F11*'Active Mode Assumptions'!F15/(1+'Active Mode Assumptions'!F11))-(F127*'Active Mode Assumptions'!F20*'Active Mode Assumptions'!F24/(1+'Active Mode Assumptions'!F20))</f>
        <v>64.427776376055576</v>
      </c>
      <c r="G129" s="4">
        <f ca="1">G162*'Total Duration Tables Sup #1'!G129*(1+'Other Assumptions'!K$55)-(G126*'Active Mode Assumptions'!G11*'Active Mode Assumptions'!G15/(1+'Active Mode Assumptions'!G11))-(G127*'Active Mode Assumptions'!G20*'Active Mode Assumptions'!G24/(1+'Active Mode Assumptions'!G20))</f>
        <v>65.934703739419547</v>
      </c>
      <c r="H129" s="4">
        <f ca="1">H162*'Total Duration Tables Sup #1'!H129*(1+'Other Assumptions'!L$55)-(H126*'Active Mode Assumptions'!H11*'Active Mode Assumptions'!H15/(1+'Active Mode Assumptions'!H11))-(H127*'Active Mode Assumptions'!H20*'Active Mode Assumptions'!H24/(1+'Active Mode Assumptions'!H20))</f>
        <v>66.997450614941826</v>
      </c>
      <c r="I129" s="4">
        <f ca="1">I162*'Total Duration Tables Sup #1'!I129*(1+'Other Assumptions'!M$55)-(I126*'Active Mode Assumptions'!I11*'Active Mode Assumptions'!I15/(1+'Active Mode Assumptions'!I11))-(I127*'Active Mode Assumptions'!I20*'Active Mode Assumptions'!I24/(1+'Active Mode Assumptions'!I20))</f>
        <v>69.899465892825731</v>
      </c>
      <c r="J129" s="4">
        <f ca="1">J162*'Total Duration Tables Sup #1'!J129*(1+'Other Assumptions'!N$55)-(J126*'Active Mode Assumptions'!J11*'Active Mode Assumptions'!J15/(1+'Active Mode Assumptions'!J11))-(J127*'Active Mode Assumptions'!J20*'Active Mode Assumptions'!J24/(1+'Active Mode Assumptions'!J20))</f>
        <v>72.660117516309654</v>
      </c>
      <c r="K129" s="4">
        <f ca="1">K162*'Total Duration Tables Sup #1'!K129*(1+'Other Assumptions'!O$55)-(K126*'Active Mode Assumptions'!K11*'Active Mode Assumptions'!K15/(1+'Active Mode Assumptions'!K11))-(K127*'Active Mode Assumptions'!K20*'Active Mode Assumptions'!K24/(1+'Active Mode Assumptions'!K20))</f>
        <v>75.344476823158956</v>
      </c>
    </row>
    <row r="130" spans="1:11" x14ac:dyDescent="0.2">
      <c r="A130" t="str">
        <f ca="1">OFFSET(Canterbury_Reference,28,2)</f>
        <v>Taxi/Vehicle Share</v>
      </c>
      <c r="B130" s="4">
        <f ca="1">B163*'Total Duration Tables Sup #1'!B130*(1+'Other Assumptions'!D$55)</f>
        <v>0.86554787379999998</v>
      </c>
      <c r="C130" s="4">
        <f ca="1">C163*'Total Duration Tables Sup #1'!C130*(1+'Other Assumptions'!G$55)</f>
        <v>1.0266462857407659</v>
      </c>
      <c r="D130" s="4">
        <f ca="1">D163*'Total Duration Tables Sup #1'!D130*(1+'Other Assumptions'!H$55)</f>
        <v>1.1804681093660956</v>
      </c>
      <c r="E130" s="4">
        <f ca="1">E163*'Total Duration Tables Sup #1'!E130*(1+'Other Assumptions'!I$55)</f>
        <v>1.3090199975368915</v>
      </c>
      <c r="F130" s="4">
        <f ca="1">F163*'Total Duration Tables Sup #1'!F130*(1+'Other Assumptions'!J$55)</f>
        <v>1.4218400488434493</v>
      </c>
      <c r="G130" s="4">
        <f ca="1">G163*'Total Duration Tables Sup #1'!G130*(1+'Other Assumptions'!K$55)</f>
        <v>1.5092142093918859</v>
      </c>
      <c r="H130" s="4">
        <f ca="1">H163*'Total Duration Tables Sup #1'!H130*(1+'Other Assumptions'!L$55)</f>
        <v>1.5829038009012719</v>
      </c>
      <c r="I130" s="4">
        <f ca="1">I163*'Total Duration Tables Sup #1'!I130*(1+'Other Assumptions'!M$55)</f>
        <v>1.6530736335392116</v>
      </c>
      <c r="J130" s="4">
        <f ca="1">J163*'Total Duration Tables Sup #1'!J130*(1+'Other Assumptions'!N$55)</f>
        <v>1.721297028816944</v>
      </c>
      <c r="K130" s="4">
        <f ca="1">K163*'Total Duration Tables Sup #1'!K130*(1+'Other Assumptions'!O$55)</f>
        <v>1.7880747115897433</v>
      </c>
    </row>
    <row r="131" spans="1:11" x14ac:dyDescent="0.2">
      <c r="A131" t="str">
        <f ca="1">OFFSET(Canterbury_Reference,35,2)</f>
        <v>Motorcyclist</v>
      </c>
      <c r="B131" s="4">
        <f ca="1">B164*'Total Duration Tables Sup #1'!B131*(1+'Other Assumptions'!D$55)</f>
        <v>0.39288238580000001</v>
      </c>
      <c r="C131" s="4">
        <f ca="1">C164*'Total Duration Tables Sup #1'!C131*(1+'Other Assumptions'!G$55)</f>
        <v>0.43458396009018779</v>
      </c>
      <c r="D131" s="4">
        <f ca="1">D164*'Total Duration Tables Sup #1'!D131*(1+'Other Assumptions'!H$55)</f>
        <v>0.46564700971757578</v>
      </c>
      <c r="E131" s="4">
        <f ca="1">E164*'Total Duration Tables Sup #1'!E131*(1+'Other Assumptions'!I$55)</f>
        <v>0.48633623856097014</v>
      </c>
      <c r="F131" s="4">
        <f ca="1">F164*'Total Duration Tables Sup #1'!F131*(1+'Other Assumptions'!J$55)</f>
        <v>0.50052504458700009</v>
      </c>
      <c r="G131" s="4">
        <f ca="1">G164*'Total Duration Tables Sup #1'!G131*(1+'Other Assumptions'!K$55)</f>
        <v>0.5051089546981562</v>
      </c>
      <c r="H131" s="4">
        <f ca="1">H164*'Total Duration Tables Sup #1'!H131*(1+'Other Assumptions'!L$55)</f>
        <v>0.50442503036739261</v>
      </c>
      <c r="I131" s="4">
        <f ca="1">I164*'Total Duration Tables Sup #1'!I131*(1+'Other Assumptions'!M$55)</f>
        <v>0.52796615639409827</v>
      </c>
      <c r="J131" s="4">
        <f ca="1">J164*'Total Duration Tables Sup #1'!J131*(1+'Other Assumptions'!N$55)</f>
        <v>0.55087132364875702</v>
      </c>
      <c r="K131" s="4">
        <f ca="1">K164*'Total Duration Tables Sup #1'!K131*(1+'Other Assumptions'!O$55)</f>
        <v>0.57332099148845117</v>
      </c>
    </row>
    <row r="132" spans="1:11" x14ac:dyDescent="0.2">
      <c r="A132" t="str">
        <f ca="1">OFFSET(Canterbury_Reference,42,2)</f>
        <v>Local Train</v>
      </c>
      <c r="B132" s="4">
        <f ca="1">B165*'Total Duration Tables Sup #1'!B132*(1+'Other Assumptions'!D$55)</f>
        <v>7.3004144E-3</v>
      </c>
      <c r="C132" s="4">
        <f ca="1">C165*'Total Duration Tables Sup #1'!C132*(1+'Other Assumptions'!G$55)</f>
        <v>6.9206742712073274E-3</v>
      </c>
      <c r="D132" s="4">
        <f ca="1">D165*'Total Duration Tables Sup #1'!D132*(1+'Other Assumptions'!H$55)</f>
        <v>5.9779119269766706E-3</v>
      </c>
      <c r="E132" s="4">
        <f ca="1">E165*'Total Duration Tables Sup #1'!E132*(1+'Other Assumptions'!I$55)</f>
        <v>5.2492505340363286E-3</v>
      </c>
      <c r="F132" s="4">
        <f ca="1">F165*'Total Duration Tables Sup #1'!F132*(1+'Other Assumptions'!J$55)</f>
        <v>4.7206872369917521E-3</v>
      </c>
      <c r="G132" s="4">
        <f ca="1">G165*'Total Duration Tables Sup #1'!G132*(1+'Other Assumptions'!K$55)</f>
        <v>3.8153418434970741E-3</v>
      </c>
      <c r="H132" s="4">
        <f ca="1">H165*'Total Duration Tables Sup #1'!H132*(1+'Other Assumptions'!L$55)</f>
        <v>3.0102871984931394E-3</v>
      </c>
      <c r="I132" s="4">
        <f ca="1">I165*'Total Duration Tables Sup #1'!I132*(1+'Other Assumptions'!M$55)</f>
        <v>3.0771383255958772E-3</v>
      </c>
      <c r="J132" s="4">
        <f ca="1">J165*'Total Duration Tables Sup #1'!J132*(1+'Other Assumptions'!N$55)</f>
        <v>3.1476326308581518E-3</v>
      </c>
      <c r="K132" s="4">
        <f ca="1">K165*'Total Duration Tables Sup #1'!K132*(1+'Other Assumptions'!O$55)</f>
        <v>3.2188373250911771E-3</v>
      </c>
    </row>
    <row r="133" spans="1:11" x14ac:dyDescent="0.2">
      <c r="A133" t="str">
        <f ca="1">OFFSET(Canterbury_Reference,49,2)</f>
        <v>Local Bus</v>
      </c>
      <c r="B133" s="4">
        <f ca="1">'Total Duration Tables Sup #1'!B133*(1+'Other Assumptions'!D$55)</f>
        <v>7.9805750329</v>
      </c>
      <c r="C133" s="4">
        <f ca="1">'Total Duration Tables Sup #1'!C133*(1+'Other Assumptions'!G$55)</f>
        <v>7.3627264895</v>
      </c>
      <c r="D133" s="4">
        <f ca="1">'Total Duration Tables Sup #1'!D133*(1+'Other Assumptions'!H$55)</f>
        <v>7.3760218201260006</v>
      </c>
      <c r="E133" s="4">
        <f ca="1">'Total Duration Tables Sup #1'!E133*(1+'Other Assumptions'!I$55)</f>
        <v>7.0601681614879999</v>
      </c>
      <c r="F133" s="4">
        <f ca="1">'Total Duration Tables Sup #1'!F133*(1+'Other Assumptions'!J$55)</f>
        <v>6.7049906472880005</v>
      </c>
      <c r="G133" s="4">
        <f ca="1">'Total Duration Tables Sup #1'!G133*(1+'Other Assumptions'!K$55)</f>
        <v>6.4530295124040009</v>
      </c>
      <c r="H133" s="4">
        <f ca="1">'Total Duration Tables Sup #1'!H133*(1+'Other Assumptions'!L$55)</f>
        <v>6.2400481087999999</v>
      </c>
      <c r="I133" s="4">
        <f ca="1">'Total Duration Tables Sup #1'!I133*(1+'Other Assumptions'!M$55)</f>
        <v>6.3535035289600001</v>
      </c>
      <c r="J133" s="4">
        <f ca="1">'Total Duration Tables Sup #1'!J133*(1+'Other Assumptions'!N$55)</f>
        <v>6.4669589491200004</v>
      </c>
      <c r="K133" s="4">
        <f ca="1">'Total Duration Tables Sup #1'!K133*(1+'Other Assumptions'!O$55)</f>
        <v>6.5804143692799997</v>
      </c>
    </row>
    <row r="134" spans="1:11" x14ac:dyDescent="0.2">
      <c r="A134" t="str">
        <f ca="1">OFFSET(Wellington_Reference,56,2)</f>
        <v>Local Ferry</v>
      </c>
      <c r="B134" s="4">
        <f ca="1">B167*'Total Duration Tables Sup #1'!B134*(1+'Other Assumptions'!D$55)</f>
        <v>0</v>
      </c>
      <c r="C134" s="4">
        <f ca="1">C167*'Total Duration Tables Sup #1'!C134*(1+'Other Assumptions'!G$55)</f>
        <v>0</v>
      </c>
      <c r="D134" s="4">
        <f ca="1">D167*'Total Duration Tables Sup #1'!D134*(1+'Other Assumptions'!H$55)</f>
        <v>0</v>
      </c>
      <c r="E134" s="4">
        <f ca="1">E167*'Total Duration Tables Sup #1'!E134*(1+'Other Assumptions'!I$55)</f>
        <v>0</v>
      </c>
      <c r="F134" s="4">
        <f ca="1">F167*'Total Duration Tables Sup #1'!F134*(1+'Other Assumptions'!J$55)</f>
        <v>0</v>
      </c>
      <c r="G134" s="4">
        <f ca="1">G167*'Total Duration Tables Sup #1'!G134*(1+'Other Assumptions'!K$55)</f>
        <v>0</v>
      </c>
      <c r="H134" s="4">
        <f ca="1">H167*'Total Duration Tables Sup #1'!H134*(1+'Other Assumptions'!L$55)</f>
        <v>0</v>
      </c>
      <c r="I134" s="4">
        <f ca="1">I167*'Total Duration Tables Sup #1'!I134*(1+'Other Assumptions'!M$55)</f>
        <v>0</v>
      </c>
      <c r="J134" s="4">
        <f ca="1">J167*'Total Duration Tables Sup #1'!J134*(1+'Other Assumptions'!N$55)</f>
        <v>0</v>
      </c>
      <c r="K134" s="4">
        <f ca="1">K167*'Total Duration Tables Sup #1'!K134*(1+'Other Assumptions'!O$55)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Duration Tables Sup #1'!B135*(1+'Other Assumptions'!D$55)</f>
        <v>0.91635513570000005</v>
      </c>
      <c r="C135" s="4">
        <f ca="1">C168*'Total Duration Tables Sup #1'!C135*(1+'Other Assumptions'!G$55)</f>
        <v>1.0440529233400917</v>
      </c>
      <c r="D135" s="4">
        <f ca="1">D168*'Total Duration Tables Sup #1'!D135*(1+'Other Assumptions'!H$55)</f>
        <v>1.1104673057903793</v>
      </c>
      <c r="E135" s="4">
        <f ca="1">E168*'Total Duration Tables Sup #1'!E135*(1+'Other Assumptions'!I$55)</f>
        <v>1.1580122623233429</v>
      </c>
      <c r="F135" s="4">
        <f ca="1">F168*'Total Duration Tables Sup #1'!F135*(1+'Other Assumptions'!J$55)</f>
        <v>1.1882996319547634</v>
      </c>
      <c r="G135" s="4">
        <f ca="1">G168*'Total Duration Tables Sup #1'!G135*(1+'Other Assumptions'!K$55)</f>
        <v>1.2173919438945517</v>
      </c>
      <c r="H135" s="4">
        <f ca="1">H168*'Total Duration Tables Sup #1'!H135*(1+'Other Assumptions'!L$55)</f>
        <v>1.2303573997811263</v>
      </c>
      <c r="I135" s="4">
        <f ca="1">I168*'Total Duration Tables Sup #1'!I135*(1+'Other Assumptions'!M$55)</f>
        <v>1.2789941473247908</v>
      </c>
      <c r="J135" s="4">
        <f ca="1">J168*'Total Duration Tables Sup #1'!J135*(1+'Other Assumptions'!N$55)</f>
        <v>1.3238442961817514</v>
      </c>
      <c r="K135" s="4">
        <f ca="1">K168*'Total Duration Tables Sup #1'!K135*(1+'Other Assumptions'!O$55)</f>
        <v>1.3670599873550846</v>
      </c>
    </row>
    <row r="136" spans="1:11" x14ac:dyDescent="0.2">
      <c r="A136" t="str">
        <f ca="1">OFFSET(Otago_Reference,0,0)</f>
        <v>14 OTAGO</v>
      </c>
    </row>
    <row r="137" spans="1:11" x14ac:dyDescent="0.2">
      <c r="A137" t="str">
        <f ca="1">OFFSET(Otago_Reference,0,2)</f>
        <v>Pedestrian</v>
      </c>
      <c r="B137" s="4">
        <f ca="1">B159*'Total Duration Tables Sup #1'!B137*(1+'Other Assumptions'!D$56)*(1+'Active Mode Assumptions'!B11)</f>
        <v>11.651603939999999</v>
      </c>
      <c r="C137" s="4">
        <f ca="1">C159*'Total Duration Tables Sup #1'!C137*(1+'Other Assumptions'!G$56)*(1+'Active Mode Assumptions'!C11)</f>
        <v>12.240495424985651</v>
      </c>
      <c r="D137" s="4">
        <f ca="1">D159*'Total Duration Tables Sup #1'!D137*(1+'Other Assumptions'!H$56)*(1+'Active Mode Assumptions'!D11)</f>
        <v>12.829373719214974</v>
      </c>
      <c r="E137" s="4">
        <f ca="1">E159*'Total Duration Tables Sup #1'!E137*(1+'Other Assumptions'!I$56)*(1+'Active Mode Assumptions'!E11)</f>
        <v>13.146101202795293</v>
      </c>
      <c r="F137" s="4">
        <f ca="1">F159*'Total Duration Tables Sup #1'!F137*(1+'Other Assumptions'!J$56)*(1+'Active Mode Assumptions'!F11)</f>
        <v>13.365226618599097</v>
      </c>
      <c r="G137" s="4">
        <f ca="1">G159*'Total Duration Tables Sup #1'!G137*(1+'Other Assumptions'!K$56)*(1+'Active Mode Assumptions'!G11)</f>
        <v>13.56455952204492</v>
      </c>
      <c r="H137" s="4">
        <f ca="1">H159*'Total Duration Tables Sup #1'!H137*(1+'Other Assumptions'!L$56)*(1+'Active Mode Assumptions'!H11)</f>
        <v>13.67729994969668</v>
      </c>
      <c r="I137" s="4">
        <f ca="1">I159*'Total Duration Tables Sup #1'!I137*(1+'Other Assumptions'!M$56)*(1+'Active Mode Assumptions'!I11)</f>
        <v>14.075045749402065</v>
      </c>
      <c r="J137" s="4">
        <f ca="1">J159*'Total Duration Tables Sup #1'!J137*(1+'Other Assumptions'!N$56)*(1+'Active Mode Assumptions'!J11)</f>
        <v>14.439008882378184</v>
      </c>
      <c r="K137" s="4">
        <f ca="1">K159*'Total Duration Tables Sup #1'!K137*(1+'Other Assumptions'!O$56)*(1+'Active Mode Assumptions'!K11)</f>
        <v>14.776486352517869</v>
      </c>
    </row>
    <row r="138" spans="1:11" x14ac:dyDescent="0.2">
      <c r="A138" t="str">
        <f ca="1">OFFSET(Otago_Reference,7,2)</f>
        <v>Cyclist</v>
      </c>
      <c r="B138" s="4">
        <f ca="1">B160*'Total Duration Tables Sup #1'!B138*(1+'Other Assumptions'!D$56)*(1+'Active Mode Assumptions'!B20)</f>
        <v>1.6089304994</v>
      </c>
      <c r="C138" s="4">
        <f ca="1">C160*'Total Duration Tables Sup #1'!C138*(1+'Other Assumptions'!G$56)*(1+'Active Mode Assumptions'!C20)</f>
        <v>1.7189413905697901</v>
      </c>
      <c r="D138" s="4">
        <f ca="1">D160*'Total Duration Tables Sup #1'!D138*(1+'Other Assumptions'!H$56)*(1+'Active Mode Assumptions'!D20)</f>
        <v>2.0371761468653671</v>
      </c>
      <c r="E138" s="4">
        <f ca="1">E160*'Total Duration Tables Sup #1'!E138*(1+'Other Assumptions'!I$56)*(1+'Active Mode Assumptions'!E20)</f>
        <v>2.2780965677652287</v>
      </c>
      <c r="F138" s="4">
        <f ca="1">F160*'Total Duration Tables Sup #1'!F138*(1+'Other Assumptions'!J$56)*(1+'Active Mode Assumptions'!F20)</f>
        <v>2.5526393956737894</v>
      </c>
      <c r="G138" s="4">
        <f ca="1">G160*'Total Duration Tables Sup #1'!G138*(1+'Other Assumptions'!K$56)*(1+'Active Mode Assumptions'!G20)</f>
        <v>2.8748578393512876</v>
      </c>
      <c r="H138" s="4">
        <f ca="1">H160*'Total Duration Tables Sup #1'!H138*(1+'Other Assumptions'!L$56)*(1+'Active Mode Assumptions'!H20)</f>
        <v>3.2097529194574044</v>
      </c>
      <c r="I138" s="4">
        <f ca="1">I160*'Total Duration Tables Sup #1'!I138*(1+'Other Assumptions'!M$56)*(1+'Active Mode Assumptions'!I20)</f>
        <v>3.325933339509767</v>
      </c>
      <c r="J138" s="4">
        <f ca="1">J160*'Total Duration Tables Sup #1'!J138*(1+'Other Assumptions'!N$56)*(1+'Active Mode Assumptions'!J20)</f>
        <v>3.4451478320162527</v>
      </c>
      <c r="K138" s="4">
        <f ca="1">K160*'Total Duration Tables Sup #1'!K138*(1+'Other Assumptions'!O$56)*(1+'Active Mode Assumptions'!K20)</f>
        <v>3.5606585010940299</v>
      </c>
    </row>
    <row r="139" spans="1:11" x14ac:dyDescent="0.2">
      <c r="A139" t="str">
        <f ca="1">OFFSET(Otago_Reference,14,2)</f>
        <v>Light Vehicle Driver</v>
      </c>
      <c r="B139" s="4">
        <f ca="1">B161*'Total Duration Tables Sup #1'!B139*(1+'Other Assumptions'!D$56)-(B137*'Active Mode Assumptions'!B11*'Active Mode Assumptions'!B14/(1+'Active Mode Assumptions'!B11))-(B138*'Active Mode Assumptions'!B20*'Active Mode Assumptions'!B23/(1+'Active Mode Assumptions'!B20))</f>
        <v>32.522387277</v>
      </c>
      <c r="C139" s="4">
        <f ca="1">C161*'Total Duration Tables Sup #1'!C139*(1+'Other Assumptions'!G$56)-(C137*'Active Mode Assumptions'!C11*'Active Mode Assumptions'!C14/(1+'Active Mode Assumptions'!C11))-(C138*'Active Mode Assumptions'!C20*'Active Mode Assumptions'!C23/(1+'Active Mode Assumptions'!C20))</f>
        <v>35.715032926664684</v>
      </c>
      <c r="D139" s="4">
        <f ca="1">D161*'Total Duration Tables Sup #1'!D139*(1+'Other Assumptions'!H$56)-(D137*'Active Mode Assumptions'!D11*'Active Mode Assumptions'!D14/(1+'Active Mode Assumptions'!D11))-(D138*'Active Mode Assumptions'!D20*'Active Mode Assumptions'!D23/(1+'Active Mode Assumptions'!D20))</f>
        <v>37.41802931655959</v>
      </c>
      <c r="E139" s="4">
        <f ca="1">E161*'Total Duration Tables Sup #1'!E139*(1+'Other Assumptions'!I$56)-(E137*'Active Mode Assumptions'!E11*'Active Mode Assumptions'!E14/(1+'Active Mode Assumptions'!E11))-(E138*'Active Mode Assumptions'!E20*'Active Mode Assumptions'!E23/(1+'Active Mode Assumptions'!E20))</f>
        <v>38.929002283989533</v>
      </c>
      <c r="F139" s="4">
        <f ca="1">F161*'Total Duration Tables Sup #1'!F139*(1+'Other Assumptions'!J$56)-(F137*'Active Mode Assumptions'!F11*'Active Mode Assumptions'!F14/(1+'Active Mode Assumptions'!F11))-(F138*'Active Mode Assumptions'!F20*'Active Mode Assumptions'!F23/(1+'Active Mode Assumptions'!F20))</f>
        <v>40.11454292093854</v>
      </c>
      <c r="G139" s="4">
        <f ca="1">G161*'Total Duration Tables Sup #1'!G139*(1+'Other Assumptions'!K$56)-(G137*'Active Mode Assumptions'!G11*'Active Mode Assumptions'!G14/(1+'Active Mode Assumptions'!G11))-(G138*'Active Mode Assumptions'!G20*'Active Mode Assumptions'!G23/(1+'Active Mode Assumptions'!G20))</f>
        <v>40.914461260655891</v>
      </c>
      <c r="H139" s="4">
        <f ca="1">H161*'Total Duration Tables Sup #1'!H139*(1+'Other Assumptions'!L$56)-(H137*'Active Mode Assumptions'!H11*'Active Mode Assumptions'!H14/(1+'Active Mode Assumptions'!H11))-(H138*'Active Mode Assumptions'!H20*'Active Mode Assumptions'!H23/(1+'Active Mode Assumptions'!H20))</f>
        <v>41.367212474934973</v>
      </c>
      <c r="I139" s="4">
        <f ca="1">I161*'Total Duration Tables Sup #1'!I139*(1+'Other Assumptions'!M$56)-(I137*'Active Mode Assumptions'!I11*'Active Mode Assumptions'!I14/(1+'Active Mode Assumptions'!I11))-(I138*'Active Mode Assumptions'!I20*'Active Mode Assumptions'!I23/(1+'Active Mode Assumptions'!I20))</f>
        <v>42.487899439953537</v>
      </c>
      <c r="J139" s="4">
        <f ca="1">J161*'Total Duration Tables Sup #1'!J139*(1+'Other Assumptions'!N$56)-(J137*'Active Mode Assumptions'!J11*'Active Mode Assumptions'!J14/(1+'Active Mode Assumptions'!J11))-(J138*'Active Mode Assumptions'!J20*'Active Mode Assumptions'!J23/(1+'Active Mode Assumptions'!J20))</f>
        <v>43.475737761886265</v>
      </c>
      <c r="K139" s="4">
        <f ca="1">K161*'Total Duration Tables Sup #1'!K139*(1+'Other Assumptions'!O$56)-(K137*'Active Mode Assumptions'!K11*'Active Mode Assumptions'!K14/(1+'Active Mode Assumptions'!K11))-(K138*'Active Mode Assumptions'!K20*'Active Mode Assumptions'!K23/(1+'Active Mode Assumptions'!K20))</f>
        <v>44.378436315446727</v>
      </c>
    </row>
    <row r="140" spans="1:11" x14ac:dyDescent="0.2">
      <c r="A140" t="str">
        <f ca="1">OFFSET(Otago_Reference,21,2)</f>
        <v>Light Vehicle Passenger</v>
      </c>
      <c r="B140" s="4">
        <f ca="1">B162*'Total Duration Tables Sup #1'!B140*(1+'Other Assumptions'!D$56)-(B137*'Active Mode Assumptions'!B11*'Active Mode Assumptions'!B15/(1+'Active Mode Assumptions'!B11))-(B138*'Active Mode Assumptions'!B20*'Active Mode Assumptions'!B24/(1+'Active Mode Assumptions'!B20))</f>
        <v>19.901766343999999</v>
      </c>
      <c r="C140" s="4">
        <f ca="1">C162*'Total Duration Tables Sup #1'!C140*(1+'Other Assumptions'!G$56)-(C137*'Active Mode Assumptions'!C11*'Active Mode Assumptions'!C15/(1+'Active Mode Assumptions'!C11))-(C138*'Active Mode Assumptions'!C20*'Active Mode Assumptions'!C24/(1+'Active Mode Assumptions'!C20))</f>
        <v>20.852428808149941</v>
      </c>
      <c r="D140" s="4">
        <f ca="1">D162*'Total Duration Tables Sup #1'!D140*(1+'Other Assumptions'!H$56)-(D137*'Active Mode Assumptions'!D11*'Active Mode Assumptions'!D15/(1+'Active Mode Assumptions'!D11))-(D138*'Active Mode Assumptions'!D20*'Active Mode Assumptions'!D24/(1+'Active Mode Assumptions'!D20))</f>
        <v>21.507721055049117</v>
      </c>
      <c r="E140" s="4">
        <f ca="1">E162*'Total Duration Tables Sup #1'!E140*(1+'Other Assumptions'!I$56)-(E137*'Active Mode Assumptions'!E11*'Active Mode Assumptions'!E15/(1+'Active Mode Assumptions'!E11))-(E138*'Active Mode Assumptions'!E20*'Active Mode Assumptions'!E24/(1+'Active Mode Assumptions'!E20))</f>
        <v>21.971387723420928</v>
      </c>
      <c r="F140" s="4">
        <f ca="1">F162*'Total Duration Tables Sup #1'!F140*(1+'Other Assumptions'!J$56)-(F137*'Active Mode Assumptions'!F11*'Active Mode Assumptions'!F15/(1+'Active Mode Assumptions'!F11))-(F138*'Active Mode Assumptions'!F20*'Active Mode Assumptions'!F24/(1+'Active Mode Assumptions'!F20))</f>
        <v>22.284654891084362</v>
      </c>
      <c r="G140" s="4">
        <f ca="1">G162*'Total Duration Tables Sup #1'!G140*(1+'Other Assumptions'!K$56)-(G137*'Active Mode Assumptions'!G11*'Active Mode Assumptions'!G15/(1+'Active Mode Assumptions'!G11))-(G138*'Active Mode Assumptions'!G20*'Active Mode Assumptions'!G24/(1+'Active Mode Assumptions'!G20))</f>
        <v>22.490084754452813</v>
      </c>
      <c r="H140" s="4">
        <f ca="1">H162*'Total Duration Tables Sup #1'!H140*(1+'Other Assumptions'!L$56)-(H137*'Active Mode Assumptions'!H11*'Active Mode Assumptions'!H15/(1+'Active Mode Assumptions'!H11))-(H138*'Active Mode Assumptions'!H20*'Active Mode Assumptions'!H24/(1+'Active Mode Assumptions'!H20))</f>
        <v>22.544733748668897</v>
      </c>
      <c r="I140" s="4">
        <f ca="1">I162*'Total Duration Tables Sup #1'!I140*(1+'Other Assumptions'!M$56)-(I137*'Active Mode Assumptions'!I11*'Active Mode Assumptions'!I15/(1+'Active Mode Assumptions'!I11))-(I138*'Active Mode Assumptions'!I20*'Active Mode Assumptions'!I24/(1+'Active Mode Assumptions'!I20))</f>
        <v>23.171264714322824</v>
      </c>
      <c r="J140" s="4">
        <f ca="1">J162*'Total Duration Tables Sup #1'!J140*(1+'Other Assumptions'!N$56)-(J137*'Active Mode Assumptions'!J11*'Active Mode Assumptions'!J15/(1+'Active Mode Assumptions'!J11))-(J138*'Active Mode Assumptions'!J20*'Active Mode Assumptions'!J24/(1+'Active Mode Assumptions'!J20))</f>
        <v>23.728625677933366</v>
      </c>
      <c r="K140" s="4">
        <f ca="1">K162*'Total Duration Tables Sup #1'!K140*(1+'Other Assumptions'!O$56)-(K137*'Active Mode Assumptions'!K11*'Active Mode Assumptions'!K15/(1+'Active Mode Assumptions'!K11))-(K138*'Active Mode Assumptions'!K20*'Active Mode Assumptions'!K24/(1+'Active Mode Assumptions'!K20))</f>
        <v>24.239839651829438</v>
      </c>
    </row>
    <row r="141" spans="1:11" x14ac:dyDescent="0.2">
      <c r="A141" t="str">
        <f ca="1">OFFSET(Otago_Reference,28,2)</f>
        <v>Taxi/Vehicle Share</v>
      </c>
      <c r="B141" s="4">
        <f ca="1">B163*'Total Duration Tables Sup #1'!B141*(1+'Other Assumptions'!D$56)</f>
        <v>0.23496676969999999</v>
      </c>
      <c r="C141" s="4">
        <f ca="1">C163*'Total Duration Tables Sup #1'!C141*(1+'Other Assumptions'!G$56)</f>
        <v>0.27222840582997887</v>
      </c>
      <c r="D141" s="4">
        <f ca="1">D163*'Total Duration Tables Sup #1'!D141*(1+'Other Assumptions'!H$56)</f>
        <v>0.30696120952267442</v>
      </c>
      <c r="E141" s="4">
        <f ca="1">E163*'Total Duration Tables Sup #1'!E141*(1+'Other Assumptions'!I$56)</f>
        <v>0.33487675220017343</v>
      </c>
      <c r="F141" s="4">
        <f ca="1">F163*'Total Duration Tables Sup #1'!F141*(1+'Other Assumptions'!J$56)</f>
        <v>0.35800316307546293</v>
      </c>
      <c r="G141" s="4">
        <f ca="1">G163*'Total Duration Tables Sup #1'!G141*(1+'Other Assumptions'!K$56)</f>
        <v>0.37423969894984405</v>
      </c>
      <c r="H141" s="4">
        <f ca="1">H163*'Total Duration Tables Sup #1'!H141*(1+'Other Assumptions'!L$56)</f>
        <v>0.38664732416317649</v>
      </c>
      <c r="I141" s="4">
        <f ca="1">I163*'Total Duration Tables Sup #1'!I141*(1+'Other Assumptions'!M$56)</f>
        <v>0.39775367718756843</v>
      </c>
      <c r="J141" s="4">
        <f ca="1">J163*'Total Duration Tables Sup #1'!J141*(1+'Other Assumptions'!N$56)</f>
        <v>0.4079804389249379</v>
      </c>
      <c r="K141" s="4">
        <f ca="1">K163*'Total Duration Tables Sup #1'!K141*(1+'Other Assumptions'!O$56)</f>
        <v>0.41747521803667775</v>
      </c>
    </row>
    <row r="142" spans="1:11" x14ac:dyDescent="0.2">
      <c r="A142" t="str">
        <f ca="1">OFFSET(Otago_Reference,35,2)</f>
        <v>Motorcyclist</v>
      </c>
      <c r="B142" s="4">
        <f ca="1">B164*'Total Duration Tables Sup #1'!B142*(1+'Other Assumptions'!D$56)</f>
        <v>0.42545310469999997</v>
      </c>
      <c r="C142" s="4">
        <f ca="1">C164*'Total Duration Tables Sup #1'!C142*(1+'Other Assumptions'!G$56)</f>
        <v>0.45968473180991698</v>
      </c>
      <c r="D142" s="4">
        <f ca="1">D164*'Total Duration Tables Sup #1'!D142*(1+'Other Assumptions'!H$56)</f>
        <v>0.48301413834851309</v>
      </c>
      <c r="E142" s="4">
        <f ca="1">E164*'Total Duration Tables Sup #1'!E142*(1+'Other Assumptions'!I$56)</f>
        <v>0.49630555453616348</v>
      </c>
      <c r="F142" s="4">
        <f ca="1">F164*'Total Duration Tables Sup #1'!F142*(1+'Other Assumptions'!J$56)</f>
        <v>0.50273106291890768</v>
      </c>
      <c r="G142" s="4">
        <f ca="1">G164*'Total Duration Tables Sup #1'!G142*(1+'Other Assumptions'!K$56)</f>
        <v>0.49964071813760103</v>
      </c>
      <c r="H142" s="4">
        <f ca="1">H164*'Total Duration Tables Sup #1'!H142*(1+'Other Assumptions'!L$56)</f>
        <v>0.49150835223509665</v>
      </c>
      <c r="I142" s="4">
        <f ca="1">I164*'Total Duration Tables Sup #1'!I142*(1+'Other Assumptions'!M$56)</f>
        <v>0.50675947218409678</v>
      </c>
      <c r="J142" s="4">
        <f ca="1">J164*'Total Duration Tables Sup #1'!J142*(1+'Other Assumptions'!N$56)</f>
        <v>0.52084376947010669</v>
      </c>
      <c r="K142" s="4">
        <f ca="1">K164*'Total Duration Tables Sup #1'!K142*(1+'Other Assumptions'!O$56)</f>
        <v>0.53396976763870585</v>
      </c>
    </row>
    <row r="143" spans="1:11" x14ac:dyDescent="0.2">
      <c r="A143" t="str">
        <f ca="1">OFFSET(Canterbury_Reference,42,2)</f>
        <v>Local Train</v>
      </c>
      <c r="B143" s="4">
        <f ca="1">B165*'Total Duration Tables Sup #1'!B143*(1+'Other Assumptions'!D$56)</f>
        <v>0</v>
      </c>
      <c r="C143" s="4">
        <f ca="1">C165*'Total Duration Tables Sup #1'!C143*(1+'Other Assumptions'!G$56)</f>
        <v>0</v>
      </c>
      <c r="D143" s="4">
        <f ca="1">D165*'Total Duration Tables Sup #1'!D143*(1+'Other Assumptions'!H$56)</f>
        <v>0</v>
      </c>
      <c r="E143" s="4">
        <f ca="1">E165*'Total Duration Tables Sup #1'!E143*(1+'Other Assumptions'!I$56)</f>
        <v>0</v>
      </c>
      <c r="F143" s="4">
        <f ca="1">F165*'Total Duration Tables Sup #1'!F143*(1+'Other Assumptions'!J$56)</f>
        <v>0</v>
      </c>
      <c r="G143" s="4">
        <f ca="1">G165*'Total Duration Tables Sup #1'!G143*(1+'Other Assumptions'!K$56)</f>
        <v>0</v>
      </c>
      <c r="H143" s="4">
        <f ca="1">H165*'Total Duration Tables Sup #1'!H143*(1+'Other Assumptions'!L$56)</f>
        <v>0</v>
      </c>
      <c r="I143" s="4">
        <f ca="1">I165*'Total Duration Tables Sup #1'!I143*(1+'Other Assumptions'!M$56)</f>
        <v>0</v>
      </c>
      <c r="J143" s="4">
        <f ca="1">J165*'Total Duration Tables Sup #1'!J143*(1+'Other Assumptions'!N$56)</f>
        <v>0</v>
      </c>
      <c r="K143" s="4">
        <f ca="1">K165*'Total Duration Tables Sup #1'!K143*(1+'Other Assumptions'!O$56)</f>
        <v>0</v>
      </c>
    </row>
    <row r="144" spans="1:11" x14ac:dyDescent="0.2">
      <c r="A144" t="str">
        <f ca="1">OFFSET(Otago_Reference,42,2)</f>
        <v>Local Bus</v>
      </c>
      <c r="B144" s="4">
        <f ca="1">B166*'Total Duration Tables Sup #1'!B144*(1+'Other Assumptions'!D$56)</f>
        <v>1.347401772</v>
      </c>
      <c r="C144" s="4">
        <f ca="1">C166*'Total Duration Tables Sup #1'!C144*(1+'Other Assumptions'!G$56)</f>
        <v>1.2758654844118533</v>
      </c>
      <c r="D144" s="4">
        <f ca="1">D166*'Total Duration Tables Sup #1'!D144*(1+'Other Assumptions'!H$56)</f>
        <v>1.3132923194443211</v>
      </c>
      <c r="E144" s="4">
        <f ca="1">E166*'Total Duration Tables Sup #1'!E144*(1+'Other Assumptions'!I$56)</f>
        <v>1.318012660196261</v>
      </c>
      <c r="F144" s="4">
        <f ca="1">F166*'Total Duration Tables Sup #1'!F144*(1+'Other Assumptions'!J$56)</f>
        <v>1.3175585198648236</v>
      </c>
      <c r="G144" s="4">
        <f ca="1">G166*'Total Duration Tables Sup #1'!G144*(1+'Other Assumptions'!K$56)</f>
        <v>1.3270889196307567</v>
      </c>
      <c r="H144" s="4">
        <f ca="1">H166*'Total Duration Tables Sup #1'!H144*(1+'Other Assumptions'!L$56)</f>
        <v>1.3349980873751559</v>
      </c>
      <c r="I144" s="4">
        <f ca="1">I166*'Total Duration Tables Sup #1'!I144*(1+'Other Assumptions'!M$56)</f>
        <v>1.3738875687027921</v>
      </c>
      <c r="J144" s="4">
        <f ca="1">J166*'Total Duration Tables Sup #1'!J144*(1+'Other Assumptions'!N$56)</f>
        <v>1.4090452415318169</v>
      </c>
      <c r="K144" s="4">
        <f ca="1">K166*'Total Duration Tables Sup #1'!K144*(1+'Other Assumptions'!O$56)</f>
        <v>1.4415185142256124</v>
      </c>
    </row>
    <row r="145" spans="1:11" x14ac:dyDescent="0.2">
      <c r="A145" t="str">
        <f ca="1">OFFSET(Wellington_Reference,56,2)</f>
        <v>Local Ferry</v>
      </c>
      <c r="B145" s="4">
        <f ca="1">B167*'Total Duration Tables Sup #1'!B145*(1+'Other Assumptions'!D$56)</f>
        <v>0</v>
      </c>
      <c r="C145" s="4">
        <f ca="1">C167*'Total Duration Tables Sup #1'!C145*(1+'Other Assumptions'!G$56)</f>
        <v>0</v>
      </c>
      <c r="D145" s="4">
        <f ca="1">D167*'Total Duration Tables Sup #1'!D145*(1+'Other Assumptions'!H$56)</f>
        <v>0</v>
      </c>
      <c r="E145" s="4">
        <f ca="1">E167*'Total Duration Tables Sup #1'!E145*(1+'Other Assumptions'!I$56)</f>
        <v>0</v>
      </c>
      <c r="F145" s="4">
        <f ca="1">F167*'Total Duration Tables Sup #1'!F145*(1+'Other Assumptions'!J$56)</f>
        <v>0</v>
      </c>
      <c r="G145" s="4">
        <f ca="1">G167*'Total Duration Tables Sup #1'!G145*(1+'Other Assumptions'!K$56)</f>
        <v>0</v>
      </c>
      <c r="H145" s="4">
        <f ca="1">H167*'Total Duration Tables Sup #1'!H145*(1+'Other Assumptions'!L$56)</f>
        <v>0</v>
      </c>
      <c r="I145" s="4">
        <f ca="1">I167*'Total Duration Tables Sup #1'!I145*(1+'Other Assumptions'!M$56)</f>
        <v>0</v>
      </c>
      <c r="J145" s="4">
        <f ca="1">J167*'Total Duration Tables Sup #1'!J145*(1+'Other Assumptions'!N$56)</f>
        <v>0</v>
      </c>
      <c r="K145" s="4">
        <f ca="1">K167*'Total Duration Tables Sup #1'!K145*(1+'Other Assumptions'!O$56)</f>
        <v>0</v>
      </c>
    </row>
    <row r="146" spans="1:11" x14ac:dyDescent="0.2">
      <c r="A146" t="str">
        <f ca="1">OFFSET(Otago_Reference,49,2)</f>
        <v>Other Household Travel</v>
      </c>
      <c r="B146" s="4">
        <f ca="1">B168*'Total Duration Tables Sup #1'!B146*(1+'Other Assumptions'!D$56)</f>
        <v>0.25154479130000001</v>
      </c>
      <c r="C146" s="4">
        <f ca="1">C168*'Total Duration Tables Sup #1'!C146*(1+'Other Assumptions'!G$56)</f>
        <v>0.27994406956688311</v>
      </c>
      <c r="D146" s="4">
        <f ca="1">D168*'Total Duration Tables Sup #1'!D146*(1+'Other Assumptions'!H$56)</f>
        <v>0.29199214829351888</v>
      </c>
      <c r="E146" s="4">
        <f ca="1">E168*'Total Duration Tables Sup #1'!E146*(1+'Other Assumptions'!I$56)</f>
        <v>0.29956290556421811</v>
      </c>
      <c r="F146" s="4">
        <f ca="1">F168*'Total Duration Tables Sup #1'!F146*(1+'Other Assumptions'!J$56)</f>
        <v>0.30255075560064876</v>
      </c>
      <c r="G146" s="4">
        <f ca="1">G168*'Total Duration Tables Sup #1'!G146*(1+'Other Assumptions'!K$56)</f>
        <v>0.30525694351731575</v>
      </c>
      <c r="H146" s="4">
        <f ca="1">H168*'Total Duration Tables Sup #1'!H146*(1+'Other Assumptions'!L$56)</f>
        <v>0.30389806224389443</v>
      </c>
      <c r="I146" s="4">
        <f ca="1">I168*'Total Duration Tables Sup #1'!I146*(1+'Other Assumptions'!M$56)</f>
        <v>0.3111907790251438</v>
      </c>
      <c r="J146" s="4">
        <f ca="1">J168*'Total Duration Tables Sup #1'!J146*(1+'Other Assumptions'!N$56)</f>
        <v>0.3172901489988203</v>
      </c>
      <c r="K146" s="4">
        <f ca="1">K168*'Total Duration Tables Sup #1'!K146*(1+'Other Assumptions'!O$56)</f>
        <v>0.32275187168279762</v>
      </c>
    </row>
    <row r="147" spans="1:11" x14ac:dyDescent="0.2">
      <c r="A147" t="str">
        <f ca="1">OFFSET(Southland_Reference,0,0)</f>
        <v>15 SOUTHLAND</v>
      </c>
    </row>
    <row r="148" spans="1:11" x14ac:dyDescent="0.2">
      <c r="A148" t="str">
        <f ca="1">OFFSET(Southland_Reference,0,2)</f>
        <v>Pedestrian</v>
      </c>
      <c r="B148" s="4">
        <f ca="1">B159*'Total Duration Tables Sup #1'!B148*(1+'Other Assumptions'!D$57)*(1+'Active Mode Assumptions'!B11)</f>
        <v>2.2528617661000001</v>
      </c>
      <c r="C148" s="4">
        <f ca="1">C159*'Total Duration Tables Sup #1'!C148*(1+'Other Assumptions'!G$57)*(1+'Active Mode Assumptions'!C11)</f>
        <v>2.2614907858550857</v>
      </c>
      <c r="D148" s="4">
        <f ca="1">D159*'Total Duration Tables Sup #1'!D148*(1+'Other Assumptions'!H$57)*(1+'Active Mode Assumptions'!D11)</f>
        <v>2.2884194111583649</v>
      </c>
      <c r="E148" s="4">
        <f ca="1">E159*'Total Duration Tables Sup #1'!E148*(1+'Other Assumptions'!I$57)*(1+'Active Mode Assumptions'!E11)</f>
        <v>2.2915707373780876</v>
      </c>
      <c r="F148" s="4">
        <f ca="1">F159*'Total Duration Tables Sup #1'!F148*(1+'Other Assumptions'!J$57)*(1+'Active Mode Assumptions'!F11)</f>
        <v>2.2772236225805735</v>
      </c>
      <c r="G148" s="4">
        <f ca="1">G159*'Total Duration Tables Sup #1'!G148*(1+'Other Assumptions'!K$57)*(1+'Active Mode Assumptions'!G11)</f>
        <v>2.2574001305344198</v>
      </c>
      <c r="H148" s="4">
        <f ca="1">H159*'Total Duration Tables Sup #1'!H148*(1+'Other Assumptions'!L$57)*(1+'Active Mode Assumptions'!H11)</f>
        <v>2.2234843631018673</v>
      </c>
      <c r="I148" s="4">
        <f ca="1">I159*'Total Duration Tables Sup #1'!I148*(1+'Other Assumptions'!M$57)*(1+'Active Mode Assumptions'!I11)</f>
        <v>2.2351896689391357</v>
      </c>
      <c r="J148" s="4">
        <f ca="1">J159*'Total Duration Tables Sup #1'!J148*(1+'Other Assumptions'!N$57)*(1+'Active Mode Assumptions'!J11)</f>
        <v>2.2399215492393765</v>
      </c>
      <c r="K148" s="4">
        <f ca="1">K159*'Total Duration Tables Sup #1'!K148*(1+'Other Assumptions'!O$57)*(1+'Active Mode Assumptions'!K11)</f>
        <v>2.239223583247961</v>
      </c>
    </row>
    <row r="149" spans="1:11" x14ac:dyDescent="0.2">
      <c r="A149" t="str">
        <f ca="1">OFFSET(Southland_Reference,7,2)</f>
        <v>Cyclist</v>
      </c>
      <c r="B149" s="4">
        <f ca="1">B160*'Total Duration Tables Sup #1'!B149*(1+'Other Assumptions'!D$57)*(1+'Active Mode Assumptions'!B20)</f>
        <v>0.50294231479999996</v>
      </c>
      <c r="C149" s="4">
        <f ca="1">C160*'Total Duration Tables Sup #1'!C149*(1+'Other Assumptions'!G$57)*(1+'Active Mode Assumptions'!C20)</f>
        <v>0.51343912178442497</v>
      </c>
      <c r="D149" s="4">
        <f ca="1">D160*'Total Duration Tables Sup #1'!D149*(1+'Other Assumptions'!H$57)*(1+'Active Mode Assumptions'!D20)</f>
        <v>0.58747692112513306</v>
      </c>
      <c r="E149" s="4">
        <f ca="1">E160*'Total Duration Tables Sup #1'!E149*(1+'Other Assumptions'!I$57)*(1+'Active Mode Assumptions'!E20)</f>
        <v>0.64200807026175355</v>
      </c>
      <c r="F149" s="4">
        <f ca="1">F160*'Total Duration Tables Sup #1'!F149*(1+'Other Assumptions'!J$57)*(1+'Active Mode Assumptions'!F20)</f>
        <v>0.70315469664588126</v>
      </c>
      <c r="G149" s="4">
        <f ca="1">G160*'Total Duration Tables Sup #1'!G149*(1+'Other Assumptions'!K$57)*(1+'Active Mode Assumptions'!G20)</f>
        <v>0.7734839121481355</v>
      </c>
      <c r="H149" s="4">
        <f ca="1">H160*'Total Duration Tables Sup #1'!H149*(1+'Other Assumptions'!L$57)*(1+'Active Mode Assumptions'!H20)</f>
        <v>0.84360155556297844</v>
      </c>
      <c r="I149" s="4">
        <f ca="1">I160*'Total Duration Tables Sup #1'!I149*(1+'Other Assumptions'!M$57)*(1+'Active Mode Assumptions'!I20)</f>
        <v>0.85390620212421675</v>
      </c>
      <c r="J149" s="4">
        <f ca="1">J160*'Total Duration Tables Sup #1'!J149*(1+'Other Assumptions'!N$57)*(1+'Active Mode Assumptions'!J20)</f>
        <v>0.86404298332001628</v>
      </c>
      <c r="K149" s="4">
        <f ca="1">K160*'Total Duration Tables Sup #1'!K149*(1+'Other Assumptions'!O$57)*(1+'Active Mode Assumptions'!K20)</f>
        <v>0.87234578391547912</v>
      </c>
    </row>
    <row r="150" spans="1:11" x14ac:dyDescent="0.2">
      <c r="A150" t="str">
        <f ca="1">OFFSET(Southland_Reference,14,2)</f>
        <v>Light Vehicle Driver</v>
      </c>
      <c r="B150" s="4">
        <f ca="1">B161*'Total Duration Tables Sup #1'!B150*(1+'Other Assumptions'!D$57)-(B148*'Active Mode Assumptions'!B11*'Active Mode Assumptions'!B14/(1+'Active Mode Assumptions'!B11))-(B149*'Active Mode Assumptions'!B20*'Active Mode Assumptions'!B23/(1+'Active Mode Assumptions'!B20))</f>
        <v>14.603785903</v>
      </c>
      <c r="C150" s="4">
        <f ca="1">C161*'Total Duration Tables Sup #1'!C150*(1+'Other Assumptions'!G$57)-(C148*'Active Mode Assumptions'!C11*'Active Mode Assumptions'!C14/(1+'Active Mode Assumptions'!C11))-(C149*'Active Mode Assumptions'!C20*'Active Mode Assumptions'!C23/(1+'Active Mode Assumptions'!C20))</f>
        <v>15.324315721316792</v>
      </c>
      <c r="D150" s="4">
        <f ca="1">D161*'Total Duration Tables Sup #1'!D150*(1+'Other Assumptions'!H$57)-(D148*'Active Mode Assumptions'!D11*'Active Mode Assumptions'!D14/(1+'Active Mode Assumptions'!D11))-(D149*'Active Mode Assumptions'!D20*'Active Mode Assumptions'!D23/(1+'Active Mode Assumptions'!D20))</f>
        <v>15.5211470526827</v>
      </c>
      <c r="E150" s="4">
        <f ca="1">E161*'Total Duration Tables Sup #1'!E150*(1+'Other Assumptions'!I$57)-(E148*'Active Mode Assumptions'!E11*'Active Mode Assumptions'!E14/(1+'Active Mode Assumptions'!E11))-(E149*'Active Mode Assumptions'!E20*'Active Mode Assumptions'!E23/(1+'Active Mode Assumptions'!E20))</f>
        <v>15.800362881795042</v>
      </c>
      <c r="F150" s="4">
        <f ca="1">F161*'Total Duration Tables Sup #1'!F150*(1+'Other Assumptions'!J$57)-(F148*'Active Mode Assumptions'!F11*'Active Mode Assumptions'!F14/(1+'Active Mode Assumptions'!F11))-(F149*'Active Mode Assumptions'!F20*'Active Mode Assumptions'!F23/(1+'Active Mode Assumptions'!F20))</f>
        <v>15.933554251393005</v>
      </c>
      <c r="G150" s="4">
        <f ca="1">G161*'Total Duration Tables Sup #1'!G150*(1+'Other Assumptions'!K$57)-(G148*'Active Mode Assumptions'!G11*'Active Mode Assumptions'!G14/(1+'Active Mode Assumptions'!G11))-(G149*'Active Mode Assumptions'!G20*'Active Mode Assumptions'!G23/(1+'Active Mode Assumptions'!G20))</f>
        <v>15.892382452177001</v>
      </c>
      <c r="H150" s="4">
        <f ca="1">H161*'Total Duration Tables Sup #1'!H150*(1+'Other Assumptions'!L$57)-(H148*'Active Mode Assumptions'!H11*'Active Mode Assumptions'!H14/(1+'Active Mode Assumptions'!H11))-(H149*'Active Mode Assumptions'!H20*'Active Mode Assumptions'!H23/(1+'Active Mode Assumptions'!H20))</f>
        <v>15.715465520527658</v>
      </c>
      <c r="I150" s="4">
        <f ca="1">I161*'Total Duration Tables Sup #1'!I150*(1+'Other Assumptions'!M$57)-(I148*'Active Mode Assumptions'!I11*'Active Mode Assumptions'!I14/(1+'Active Mode Assumptions'!I11))-(I149*'Active Mode Assumptions'!I20*'Active Mode Assumptions'!I23/(1+'Active Mode Assumptions'!I20))</f>
        <v>15.768057894702773</v>
      </c>
      <c r="J150" s="4">
        <f ca="1">J161*'Total Duration Tables Sup #1'!J150*(1+'Other Assumptions'!N$57)-(J148*'Active Mode Assumptions'!J11*'Active Mode Assumptions'!J14/(1+'Active Mode Assumptions'!J11))-(J149*'Active Mode Assumptions'!J20*'Active Mode Assumptions'!J23/(1+'Active Mode Assumptions'!J20))</f>
        <v>15.761807170521866</v>
      </c>
      <c r="K150" s="4">
        <f ca="1">K161*'Total Duration Tables Sup #1'!K150*(1+'Other Assumptions'!O$57)-(K148*'Active Mode Assumptions'!K11*'Active Mode Assumptions'!K14/(1+'Active Mode Assumptions'!K11))-(K149*'Active Mode Assumptions'!K20*'Active Mode Assumptions'!K23/(1+'Active Mode Assumptions'!K20))</f>
        <v>15.717283040802034</v>
      </c>
    </row>
    <row r="151" spans="1:11" x14ac:dyDescent="0.2">
      <c r="A151" t="str">
        <f ca="1">OFFSET(Southland_Reference,21,2)</f>
        <v>Light Vehicle Passenger</v>
      </c>
      <c r="B151" s="4">
        <f ca="1">B162*'Total Duration Tables Sup #1'!B151*(1+'Other Assumptions'!D$57)-(B148*'Active Mode Assumptions'!B11*'Active Mode Assumptions'!B15/(1+'Active Mode Assumptions'!B11))-(B149*'Active Mode Assumptions'!B20*'Active Mode Assumptions'!B24/(1+'Active Mode Assumptions'!B20))</f>
        <v>7.5859087797999996</v>
      </c>
      <c r="C151" s="4">
        <f ca="1">C162*'Total Duration Tables Sup #1'!C151*(1+'Other Assumptions'!G$57)-(C148*'Active Mode Assumptions'!C11*'Active Mode Assumptions'!C15/(1+'Active Mode Assumptions'!C11))-(C149*'Active Mode Assumptions'!C20*'Active Mode Assumptions'!C24/(1+'Active Mode Assumptions'!C20))</f>
        <v>7.5948576081271035</v>
      </c>
      <c r="D151" s="4">
        <f ca="1">D162*'Total Duration Tables Sup #1'!D151*(1+'Other Assumptions'!H$57)-(D148*'Active Mode Assumptions'!D11*'Active Mode Assumptions'!D15/(1+'Active Mode Assumptions'!D11))-(D149*'Active Mode Assumptions'!D20*'Active Mode Assumptions'!D24/(1+'Active Mode Assumptions'!D20))</f>
        <v>7.5767841019216942</v>
      </c>
      <c r="E151" s="4">
        <f ca="1">E162*'Total Duration Tables Sup #1'!E151*(1+'Other Assumptions'!I$57)-(E148*'Active Mode Assumptions'!E11*'Active Mode Assumptions'!E15/(1+'Active Mode Assumptions'!E11))-(E149*'Active Mode Assumptions'!E20*'Active Mode Assumptions'!E24/(1+'Active Mode Assumptions'!E20))</f>
        <v>7.5775148839577824</v>
      </c>
      <c r="F151" s="4">
        <f ca="1">F162*'Total Duration Tables Sup #1'!F151*(1+'Other Assumptions'!J$57)-(F148*'Active Mode Assumptions'!F11*'Active Mode Assumptions'!F15/(1+'Active Mode Assumptions'!F11))-(F149*'Active Mode Assumptions'!F20*'Active Mode Assumptions'!F24/(1+'Active Mode Assumptions'!F20))</f>
        <v>7.5253842707526442</v>
      </c>
      <c r="G151" s="4">
        <f ca="1">G162*'Total Duration Tables Sup #1'!G151*(1+'Other Assumptions'!K$57)-(G148*'Active Mode Assumptions'!G11*'Active Mode Assumptions'!G15/(1+'Active Mode Assumptions'!G11))-(G149*'Active Mode Assumptions'!G20*'Active Mode Assumptions'!G24/(1+'Active Mode Assumptions'!G20))</f>
        <v>7.4311080176593709</v>
      </c>
      <c r="H151" s="4">
        <f ca="1">H162*'Total Duration Tables Sup #1'!H151*(1+'Other Assumptions'!L$57)-(H148*'Active Mode Assumptions'!H11*'Active Mode Assumptions'!H15/(1+'Active Mode Assumptions'!H11))-(H149*'Active Mode Assumptions'!H20*'Active Mode Assumptions'!H24/(1+'Active Mode Assumptions'!H20))</f>
        <v>7.2896436358176411</v>
      </c>
      <c r="I151" s="4">
        <f ca="1">I162*'Total Duration Tables Sup #1'!I151*(1+'Other Assumptions'!M$57)-(I148*'Active Mode Assumptions'!I11*'Active Mode Assumptions'!I15/(1+'Active Mode Assumptions'!I11))-(I149*'Active Mode Assumptions'!I20*'Active Mode Assumptions'!I24/(1+'Active Mode Assumptions'!I20))</f>
        <v>7.3190205845859664</v>
      </c>
      <c r="J151" s="4">
        <f ca="1">J162*'Total Duration Tables Sup #1'!J151*(1+'Other Assumptions'!N$57)-(J148*'Active Mode Assumptions'!J11*'Active Mode Assumptions'!J15/(1+'Active Mode Assumptions'!J11))-(J149*'Active Mode Assumptions'!J20*'Active Mode Assumptions'!J24/(1+'Active Mode Assumptions'!J20))</f>
        <v>7.3218781548421985</v>
      </c>
      <c r="K151" s="4">
        <f ca="1">K162*'Total Duration Tables Sup #1'!K151*(1+'Other Assumptions'!O$57)-(K148*'Active Mode Assumptions'!K11*'Active Mode Assumptions'!K15/(1+'Active Mode Assumptions'!K11))-(K149*'Active Mode Assumptions'!K20*'Active Mode Assumptions'!K24/(1+'Active Mode Assumptions'!K20))</f>
        <v>7.3067921500146431</v>
      </c>
    </row>
    <row r="152" spans="1:11" x14ac:dyDescent="0.2">
      <c r="A152" t="str">
        <f ca="1">OFFSET(Southland_Reference,28,2)</f>
        <v>Taxi/Vehicle Share</v>
      </c>
      <c r="B152" s="4">
        <f ca="1">B163*'Total Duration Tables Sup #1'!B152*(1+'Other Assumptions'!D$57)</f>
        <v>6.6688903300000005E-2</v>
      </c>
      <c r="C152" s="4">
        <f ca="1">C163*'Total Duration Tables Sup #1'!C152*(1+'Other Assumptions'!G$57)</f>
        <v>7.3829098425610945E-2</v>
      </c>
      <c r="D152" s="4">
        <f ca="1">D163*'Total Duration Tables Sup #1'!D152*(1+'Other Assumptions'!H$57)</f>
        <v>8.0373330040828542E-2</v>
      </c>
      <c r="E152" s="4">
        <f ca="1">E163*'Total Duration Tables Sup #1'!E152*(1+'Other Assumptions'!I$57)</f>
        <v>8.5687918631936852E-2</v>
      </c>
      <c r="F152" s="4">
        <f ca="1">F163*'Total Duration Tables Sup #1'!F152*(1+'Other Assumptions'!J$57)</f>
        <v>8.9539469190407048E-2</v>
      </c>
      <c r="G152" s="4">
        <f ca="1">G163*'Total Duration Tables Sup #1'!G152*(1+'Other Assumptions'!K$57)</f>
        <v>9.1422060153433488E-2</v>
      </c>
      <c r="H152" s="4">
        <f ca="1">H163*'Total Duration Tables Sup #1'!H152*(1+'Other Assumptions'!L$57)</f>
        <v>9.2267130770147393E-2</v>
      </c>
      <c r="I152" s="4">
        <f ca="1">I163*'Total Duration Tables Sup #1'!I152*(1+'Other Assumptions'!M$57)</f>
        <v>9.2720778208864416E-2</v>
      </c>
      <c r="J152" s="4">
        <f ca="1">J163*'Total Duration Tables Sup #1'!J152*(1+'Other Assumptions'!N$57)</f>
        <v>9.2903711328317484E-2</v>
      </c>
      <c r="K152" s="4">
        <f ca="1">K163*'Total Duration Tables Sup #1'!K152*(1+'Other Assumptions'!O$57)</f>
        <v>9.2865688087647086E-2</v>
      </c>
    </row>
    <row r="153" spans="1:11" x14ac:dyDescent="0.2">
      <c r="A153" t="str">
        <f ca="1">OFFSET(Southland_Reference,35,2)</f>
        <v>Motorcyclist</v>
      </c>
      <c r="B153" s="4">
        <f ca="1">B164*'Total Duration Tables Sup #1'!B153*(1+'Other Assumptions'!D$57)</f>
        <v>0.2609239458</v>
      </c>
      <c r="C153" s="4">
        <f ca="1">C164*'Total Duration Tables Sup #1'!C153*(1+'Other Assumptions'!G$57)</f>
        <v>0.26938246041102576</v>
      </c>
      <c r="D153" s="4">
        <f ca="1">D164*'Total Duration Tables Sup #1'!D153*(1+'Other Assumptions'!H$57)</f>
        <v>0.27327721259676502</v>
      </c>
      <c r="E153" s="4">
        <f ca="1">E164*'Total Duration Tables Sup #1'!E153*(1+'Other Assumptions'!I$57)</f>
        <v>0.27440930994156049</v>
      </c>
      <c r="F153" s="4">
        <f ca="1">F164*'Total Duration Tables Sup #1'!F153*(1+'Other Assumptions'!J$57)</f>
        <v>0.27169302118910876</v>
      </c>
      <c r="G153" s="4">
        <f ca="1">G164*'Total Duration Tables Sup #1'!G153*(1+'Other Assumptions'!K$57)</f>
        <v>0.26373883503650919</v>
      </c>
      <c r="H153" s="4">
        <f ca="1">H164*'Total Duration Tables Sup #1'!H153*(1+'Other Assumptions'!L$57)</f>
        <v>0.25344166900460952</v>
      </c>
      <c r="I153" s="4">
        <f ca="1">I164*'Total Duration Tables Sup #1'!I153*(1+'Other Assumptions'!M$57)</f>
        <v>0.25525828725490968</v>
      </c>
      <c r="J153" s="4">
        <f ca="1">J164*'Total Duration Tables Sup #1'!J153*(1+'Other Assumptions'!N$57)</f>
        <v>0.25628093932722062</v>
      </c>
      <c r="K153" s="4">
        <f ca="1">K164*'Total Duration Tables Sup #1'!K153*(1+'Other Assumptions'!O$57)</f>
        <v>0.25665891891069553</v>
      </c>
    </row>
    <row r="154" spans="1:11" x14ac:dyDescent="0.2">
      <c r="A154" t="str">
        <f ca="1">OFFSET(Canterbury_Reference,42,2)</f>
        <v>Local Train</v>
      </c>
      <c r="B154" s="4">
        <f ca="1">B165*'Total Duration Tables Sup #1'!B154*(1+'Other Assumptions'!D$57)</f>
        <v>0</v>
      </c>
      <c r="C154" s="4">
        <f ca="1">C165*'Total Duration Tables Sup #1'!C154*(1+'Other Assumptions'!G$57)</f>
        <v>0</v>
      </c>
      <c r="D154" s="4">
        <f ca="1">D165*'Total Duration Tables Sup #1'!D154*(1+'Other Assumptions'!H$57)</f>
        <v>0</v>
      </c>
      <c r="E154" s="4">
        <f ca="1">E165*'Total Duration Tables Sup #1'!E154*(1+'Other Assumptions'!I$57)</f>
        <v>0</v>
      </c>
      <c r="F154" s="4">
        <f ca="1">F165*'Total Duration Tables Sup #1'!F154*(1+'Other Assumptions'!J$57)</f>
        <v>0</v>
      </c>
      <c r="G154" s="4">
        <f ca="1">G165*'Total Duration Tables Sup #1'!G154*(1+'Other Assumptions'!K$57)</f>
        <v>0</v>
      </c>
      <c r="H154" s="4">
        <f ca="1">H165*'Total Duration Tables Sup #1'!H154*(1+'Other Assumptions'!L$57)</f>
        <v>0</v>
      </c>
      <c r="I154" s="4">
        <f ca="1">I165*'Total Duration Tables Sup #1'!I154*(1+'Other Assumptions'!M$57)</f>
        <v>0</v>
      </c>
      <c r="J154" s="4">
        <f ca="1">J165*'Total Duration Tables Sup #1'!J154*(1+'Other Assumptions'!N$57)</f>
        <v>0</v>
      </c>
      <c r="K154" s="4">
        <f ca="1">K165*'Total Duration Tables Sup #1'!K154*(1+'Other Assumptions'!O$57)</f>
        <v>0</v>
      </c>
    </row>
    <row r="155" spans="1:11" x14ac:dyDescent="0.2">
      <c r="A155" t="str">
        <f ca="1">OFFSET(Southland_Reference,42,2)</f>
        <v>Local Bus</v>
      </c>
      <c r="B155" s="4">
        <f ca="1">B166*'Total Duration Tables Sup #1'!B155*(1+'Other Assumptions'!D$57)</f>
        <v>1.2152660816</v>
      </c>
      <c r="C155" s="4">
        <f ca="1">C166*'Total Duration Tables Sup #1'!C155*(1+'Other Assumptions'!G$57)</f>
        <v>1.0995782663803759</v>
      </c>
      <c r="D155" s="4">
        <f ca="1">D166*'Total Duration Tables Sup #1'!D155*(1+'Other Assumptions'!H$57)</f>
        <v>1.0927404075857159</v>
      </c>
      <c r="E155" s="4">
        <f ca="1">E166*'Total Duration Tables Sup #1'!E155*(1+'Other Assumptions'!I$57)</f>
        <v>1.0717199378046307</v>
      </c>
      <c r="F155" s="4">
        <f ca="1">F166*'Total Duration Tables Sup #1'!F155*(1+'Other Assumptions'!J$57)</f>
        <v>1.0471881009738777</v>
      </c>
      <c r="G155" s="4">
        <f ca="1">G166*'Total Duration Tables Sup #1'!G155*(1+'Other Assumptions'!K$57)</f>
        <v>1.030216034621467</v>
      </c>
      <c r="H155" s="4">
        <f ca="1">H166*'Total Duration Tables Sup #1'!H155*(1+'Other Assumptions'!L$57)</f>
        <v>1.0123712040108062</v>
      </c>
      <c r="I155" s="4">
        <f ca="1">I166*'Total Duration Tables Sup #1'!I155*(1+'Other Assumptions'!M$57)</f>
        <v>1.0177501897876176</v>
      </c>
      <c r="J155" s="4">
        <f ca="1">J166*'Total Duration Tables Sup #1'!J155*(1+'Other Assumptions'!N$57)</f>
        <v>1.0196374866248819</v>
      </c>
      <c r="K155" s="4">
        <f ca="1">K166*'Total Duration Tables Sup #1'!K155*(1+'Other Assumptions'!O$57)</f>
        <v>1.0189947321092299</v>
      </c>
    </row>
    <row r="156" spans="1:11" x14ac:dyDescent="0.2">
      <c r="A156" t="str">
        <f ca="1">OFFSET(Wellington_Reference,56,2)</f>
        <v>Local Ferry</v>
      </c>
      <c r="B156" s="4">
        <f ca="1">B167*'Total Duration Tables Sup #1'!B156*(1+'Other Assumptions'!D$57)</f>
        <v>0</v>
      </c>
      <c r="C156" s="4">
        <f ca="1">C167*'Total Duration Tables Sup #1'!C156*(1+'Other Assumptions'!G$57)</f>
        <v>0</v>
      </c>
      <c r="D156" s="4">
        <f ca="1">D167*'Total Duration Tables Sup #1'!D156*(1+'Other Assumptions'!H$57)</f>
        <v>0</v>
      </c>
      <c r="E156" s="4">
        <f ca="1">E167*'Total Duration Tables Sup #1'!E156*(1+'Other Assumptions'!I$57)</f>
        <v>0</v>
      </c>
      <c r="F156" s="4">
        <f ca="1">F167*'Total Duration Tables Sup #1'!F156*(1+'Other Assumptions'!J$57)</f>
        <v>0</v>
      </c>
      <c r="G156" s="4">
        <f ca="1">G167*'Total Duration Tables Sup #1'!G156*(1+'Other Assumptions'!K$57)</f>
        <v>0</v>
      </c>
      <c r="H156" s="4">
        <f ca="1">H167*'Total Duration Tables Sup #1'!H156*(1+'Other Assumptions'!L$57)</f>
        <v>0</v>
      </c>
      <c r="I156" s="4">
        <f ca="1">I167*'Total Duration Tables Sup #1'!I156*(1+'Other Assumptions'!M$57)</f>
        <v>0</v>
      </c>
      <c r="J156" s="4">
        <f ca="1">J167*'Total Duration Tables Sup #1'!J156*(1+'Other Assumptions'!N$57)</f>
        <v>0</v>
      </c>
      <c r="K156" s="4">
        <f ca="1">K167*'Total Duration Tables Sup #1'!K156*(1+'Other Assumptions'!O$57)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Duration Tables Sup #1'!B157*(1+'Other Assumptions'!D$57)</f>
        <v>8.5162673699999997E-2</v>
      </c>
      <c r="C157" s="4">
        <f ca="1">C168*'Total Duration Tables Sup #1'!C157*(1+'Other Assumptions'!G$57)</f>
        <v>9.0563297327486955E-2</v>
      </c>
      <c r="D157" s="4">
        <f ca="1">D168*'Total Duration Tables Sup #1'!D157*(1+'Other Assumptions'!H$57)</f>
        <v>9.1198242290336726E-2</v>
      </c>
      <c r="E157" s="4">
        <f ca="1">E168*'Total Duration Tables Sup #1'!E157*(1+'Other Assumptions'!I$57)</f>
        <v>9.143436620643508E-2</v>
      </c>
      <c r="F157" s="4">
        <f ca="1">F168*'Total Duration Tables Sup #1'!F157*(1+'Other Assumptions'!J$57)</f>
        <v>9.0263615095888455E-2</v>
      </c>
      <c r="G157" s="4">
        <f ca="1">G168*'Total Duration Tables Sup #1'!G157*(1+'Other Assumptions'!K$57)</f>
        <v>8.8951551938900614E-2</v>
      </c>
      <c r="H157" s="4">
        <f ca="1">H168*'Total Duration Tables Sup #1'!H157*(1+'Other Assumptions'!L$57)</f>
        <v>8.6506106818364001E-2</v>
      </c>
      <c r="I157" s="4">
        <f ca="1">I168*'Total Duration Tables Sup #1'!I157*(1+'Other Assumptions'!M$57)</f>
        <v>8.6531934754091461E-2</v>
      </c>
      <c r="J157" s="4">
        <f ca="1">J168*'Total Duration Tables Sup #1'!J157*(1+'Other Assumptions'!N$57)</f>
        <v>8.618608255365004E-2</v>
      </c>
      <c r="K157" s="4">
        <f ca="1">K168*'Total Duration Tables Sup #1'!K157*(1+'Other Assumptions'!O$57)</f>
        <v>8.5640694377150148E-2</v>
      </c>
    </row>
    <row r="158" spans="1:11" x14ac:dyDescent="0.2">
      <c r="A158" t="s">
        <v>18</v>
      </c>
    </row>
    <row r="159" spans="1:11" x14ac:dyDescent="0.2">
      <c r="A159" t="str">
        <f ca="1">'Total Duration Tables'!A16</f>
        <v>Pedestrian</v>
      </c>
      <c r="B159" s="58">
        <f ca="1">('Total Duration Tables Sup #1'!B170*'Updated Population'!B$158)/('Total Duration Tables Sup #1'!B159*1000000)</f>
        <v>1</v>
      </c>
      <c r="C159" s="58">
        <f ca="1">('Total Duration Tables Sup #1'!C170*'Updated Population'!C$158)/('Total Duration Tables Sup #1'!C159*1000000)</f>
        <v>1.0016463044840447</v>
      </c>
      <c r="D159" s="58">
        <f ca="1">('Total Duration Tables Sup #1'!D170*'Updated Population'!D$158)/('Total Duration Tables Sup #1'!D159*1000000)</f>
        <v>1.0031090465629364</v>
      </c>
      <c r="E159" s="58">
        <f ca="1">('Total Duration Tables Sup #1'!E170*'Updated Population'!E$158)/('Total Duration Tables Sup #1'!E159*1000000)</f>
        <v>1.004479977354594</v>
      </c>
      <c r="F159" s="58">
        <f ca="1">('Total Duration Tables Sup #1'!F170*'Updated Population'!F$158)/('Total Duration Tables Sup #1'!F159*1000000)</f>
        <v>1.0057170904214514</v>
      </c>
      <c r="G159" s="58">
        <f ca="1">('Total Duration Tables Sup #1'!G170*'Updated Population'!G$158)/('Total Duration Tables Sup #1'!G159*1000000)</f>
        <v>1.0068754772149024</v>
      </c>
      <c r="H159" s="58">
        <f ca="1">('Total Duration Tables Sup #1'!H170*'Updated Population'!H$158)/('Total Duration Tables Sup #1'!H159*1000000)</f>
        <v>1.0080115355835841</v>
      </c>
      <c r="I159" s="58">
        <f ca="1">('Total Duration Tables Sup #1'!I170*'Updated Population'!I$158)/('Total Duration Tables Sup #1'!I159*1000000)</f>
        <v>1.0087357634598977</v>
      </c>
      <c r="J159" s="58">
        <f ca="1">('Total Duration Tables Sup #1'!J170*'Updated Population'!J$158)/('Total Duration Tables Sup #1'!J159*1000000)</f>
        <v>1.0098354380878645</v>
      </c>
      <c r="K159" s="58">
        <f ca="1">('Total Duration Tables Sup #1'!K170*'Updated Population'!K$158)/('Total Duration Tables Sup #1'!K159*1000000)</f>
        <v>1.0109694758623053</v>
      </c>
    </row>
    <row r="160" spans="1:11" x14ac:dyDescent="0.2">
      <c r="A160" t="str">
        <f ca="1">'Total Duration Tables'!A17</f>
        <v>Cyclist</v>
      </c>
      <c r="B160" s="58">
        <f ca="1">('Total Duration Tables Sup #1'!B171*'Updated Population'!B$158)/('Total Duration Tables Sup #1'!B160*1000000)</f>
        <v>1</v>
      </c>
      <c r="C160" s="58">
        <f ca="1">('Total Duration Tables Sup #1'!C171*'Updated Population'!C$158)/('Total Duration Tables Sup #1'!C160*1000000)</f>
        <v>1.0150606022692144</v>
      </c>
      <c r="D160" s="58">
        <f ca="1">('Total Duration Tables Sup #1'!D171*'Updated Population'!D$158)/('Total Duration Tables Sup #1'!D160*1000000)</f>
        <v>1.0288804755433294</v>
      </c>
      <c r="E160" s="58">
        <f ca="1">('Total Duration Tables Sup #1'!E171*'Updated Population'!E$158)/('Total Duration Tables Sup #1'!E160*1000000)</f>
        <v>1.042400407291157</v>
      </c>
      <c r="F160" s="58">
        <f ca="1">('Total Duration Tables Sup #1'!F171*'Updated Population'!F$158)/('Total Duration Tables Sup #1'!F160*1000000)</f>
        <v>1.0552508979868276</v>
      </c>
      <c r="G160" s="58">
        <f ca="1">('Total Duration Tables Sup #1'!G171*'Updated Population'!G$158)/('Total Duration Tables Sup #1'!G160*1000000)</f>
        <v>1.0676187663680525</v>
      </c>
      <c r="H160" s="58">
        <f ca="1">('Total Duration Tables Sup #1'!H171*'Updated Population'!H$158)/('Total Duration Tables Sup #1'!H160*1000000)</f>
        <v>1.0797519397134745</v>
      </c>
      <c r="I160" s="58">
        <f ca="1">('Total Duration Tables Sup #1'!I171*'Updated Population'!I$158)/('Total Duration Tables Sup #1'!I160*1000000)</f>
        <v>1.0879987674952576</v>
      </c>
      <c r="J160" s="58">
        <f ca="1">('Total Duration Tables Sup #1'!J171*'Updated Population'!J$158)/('Total Duration Tables Sup #1'!J160*1000000)</f>
        <v>1.0997864017155048</v>
      </c>
      <c r="K160" s="58">
        <f ca="1">('Total Duration Tables Sup #1'!K171*'Updated Population'!K$158)/('Total Duration Tables Sup #1'!K160*1000000)</f>
        <v>1.1119479246738293</v>
      </c>
    </row>
    <row r="161" spans="1:11" x14ac:dyDescent="0.2">
      <c r="A161" t="str">
        <f ca="1">'Total Duration Tables'!A18</f>
        <v>Light Vehicle Driver</v>
      </c>
      <c r="B161" s="58">
        <f ca="1">('Total Duration Tables Sup #1'!B172*'Updated Population'!B$158)/('Total Duration Tables Sup #1'!B161*1000000)</f>
        <v>1</v>
      </c>
      <c r="C161" s="58">
        <f ca="1">('Total Duration Tables Sup #1'!C172*'Updated Population'!C$158)/('Total Duration Tables Sup #1'!C161*1000000)</f>
        <v>0.99732655274784909</v>
      </c>
      <c r="D161" s="58">
        <f ca="1">('Total Duration Tables Sup #1'!D172*'Updated Population'!D$158)/('Total Duration Tables Sup #1'!D161*1000000)</f>
        <v>0.99526557217339306</v>
      </c>
      <c r="E161" s="58">
        <f ca="1">('Total Duration Tables Sup #1'!E172*'Updated Population'!E$158)/('Total Duration Tables Sup #1'!E161*1000000)</f>
        <v>0.99353067663258732</v>
      </c>
      <c r="F161" s="58">
        <f ca="1">('Total Duration Tables Sup #1'!F172*'Updated Population'!F$158)/('Total Duration Tables Sup #1'!F161*1000000)</f>
        <v>0.99189372761924699</v>
      </c>
      <c r="G161" s="58">
        <f ca="1">('Total Duration Tables Sup #1'!G172*'Updated Population'!G$158)/('Total Duration Tables Sup #1'!G161*1000000)</f>
        <v>0.99034506034879388</v>
      </c>
      <c r="H161" s="58">
        <f ca="1">('Total Duration Tables Sup #1'!H172*'Updated Population'!H$158)/('Total Duration Tables Sup #1'!H161*1000000)</f>
        <v>0.98887191100123784</v>
      </c>
      <c r="I161" s="58">
        <f ca="1">('Total Duration Tables Sup #1'!I172*'Updated Population'!I$158)/('Total Duration Tables Sup #1'!I161*1000000)</f>
        <v>0.98773922381567603</v>
      </c>
      <c r="J161" s="58">
        <f ca="1">('Total Duration Tables Sup #1'!J172*'Updated Population'!J$158)/('Total Duration Tables Sup #1'!J161*1000000)</f>
        <v>0.98639809548327806</v>
      </c>
      <c r="K161" s="58">
        <f ca="1">('Total Duration Tables Sup #1'!K172*'Updated Population'!K$158)/('Total Duration Tables Sup #1'!K161*1000000)</f>
        <v>0.98508686331691142</v>
      </c>
    </row>
    <row r="162" spans="1:11" x14ac:dyDescent="0.2">
      <c r="A162" t="str">
        <f ca="1">'Total Duration Tables'!A19</f>
        <v>Light Vehicle Passenger</v>
      </c>
      <c r="B162" s="58">
        <f ca="1">('Total Duration Tables Sup #1'!B173*'Updated Population'!B$158)/('Total Duration Tables Sup #1'!B162*1000000)</f>
        <v>1</v>
      </c>
      <c r="C162" s="58">
        <f ca="1">('Total Duration Tables Sup #1'!C173*'Updated Population'!C$158)/('Total Duration Tables Sup #1'!C162*1000000)</f>
        <v>0.99914642355680561</v>
      </c>
      <c r="D162" s="58">
        <f ca="1">('Total Duration Tables Sup #1'!D173*'Updated Population'!D$158)/('Total Duration Tables Sup #1'!D162*1000000)</f>
        <v>0.99841606873888633</v>
      </c>
      <c r="E162" s="58">
        <f ca="1">('Total Duration Tables Sup #1'!E173*'Updated Population'!E$158)/('Total Duration Tables Sup #1'!E162*1000000)</f>
        <v>0.99776607115182159</v>
      </c>
      <c r="F162" s="58">
        <f ca="1">('Total Duration Tables Sup #1'!F173*'Updated Population'!F$158)/('Total Duration Tables Sup #1'!F162*1000000)</f>
        <v>0.99715504639808328</v>
      </c>
      <c r="G162" s="58">
        <f ca="1">('Total Duration Tables Sup #1'!G173*'Updated Population'!G$158)/('Total Duration Tables Sup #1'!G162*1000000)</f>
        <v>0.99657301164844581</v>
      </c>
      <c r="H162" s="58">
        <f ca="1">('Total Duration Tables Sup #1'!H173*'Updated Population'!H$158)/('Total Duration Tables Sup #1'!H162*1000000)</f>
        <v>0.9960114442415855</v>
      </c>
      <c r="I162" s="58">
        <f ca="1">('Total Duration Tables Sup #1'!I173*'Updated Population'!I$158)/('Total Duration Tables Sup #1'!I162*1000000)</f>
        <v>0.99558842890229859</v>
      </c>
      <c r="J162" s="58">
        <f ca="1">('Total Duration Tables Sup #1'!J173*'Updated Population'!J$158)/('Total Duration Tables Sup #1'!J162*1000000)</f>
        <v>0.99507750455744803</v>
      </c>
      <c r="K162" s="58">
        <f ca="1">('Total Duration Tables Sup #1'!K173*'Updated Population'!K$158)/('Total Duration Tables Sup #1'!K162*1000000)</f>
        <v>0.99457666946383116</v>
      </c>
    </row>
    <row r="163" spans="1:11" x14ac:dyDescent="0.2">
      <c r="A163" t="str">
        <f ca="1">'Total Duration Tables'!A20</f>
        <v>Taxi/Vehicle Share</v>
      </c>
      <c r="B163" s="58">
        <f ca="1">('Total Duration Tables Sup #1'!B174*'Updated Population'!B$158)/('Total Duration Tables Sup #1'!B163*1000000)</f>
        <v>1</v>
      </c>
      <c r="C163" s="58">
        <f ca="1">('Total Duration Tables Sup #1'!C174*'Updated Population'!C$158)/('Total Duration Tables Sup #1'!C163*1000000)</f>
        <v>1.0007406850896847</v>
      </c>
      <c r="D163" s="58">
        <f ca="1">('Total Duration Tables Sup #1'!D174*'Updated Population'!D$158)/('Total Duration Tables Sup #1'!D163*1000000)</f>
        <v>1.001795455481943</v>
      </c>
      <c r="E163" s="58">
        <f ca="1">('Total Duration Tables Sup #1'!E174*'Updated Population'!E$158)/('Total Duration Tables Sup #1'!E163*1000000)</f>
        <v>1.0031566046404448</v>
      </c>
      <c r="F163" s="58">
        <f ca="1">('Total Duration Tables Sup #1'!F174*'Updated Population'!F$158)/('Total Duration Tables Sup #1'!F163*1000000)</f>
        <v>1.0042944172777442</v>
      </c>
      <c r="G163" s="58">
        <f ca="1">('Total Duration Tables Sup #1'!G174*'Updated Population'!G$158)/('Total Duration Tables Sup #1'!G163*1000000)</f>
        <v>1.0053007236429379</v>
      </c>
      <c r="H163" s="58">
        <f ca="1">('Total Duration Tables Sup #1'!H174*'Updated Population'!H$158)/('Total Duration Tables Sup #1'!H163*1000000)</f>
        <v>1.0062561777990591</v>
      </c>
      <c r="I163" s="58">
        <f ca="1">('Total Duration Tables Sup #1'!I174*'Updated Population'!I$158)/('Total Duration Tables Sup #1'!I163*1000000)</f>
        <v>1.0066308281118697</v>
      </c>
      <c r="J163" s="58">
        <f ca="1">('Total Duration Tables Sup #1'!J174*'Updated Population'!J$158)/('Total Duration Tables Sup #1'!J163*1000000)</f>
        <v>1.0075833550685256</v>
      </c>
      <c r="K163" s="58">
        <f ca="1">('Total Duration Tables Sup #1'!K174*'Updated Population'!K$158)/('Total Duration Tables Sup #1'!K163*1000000)</f>
        <v>1.0086163089288405</v>
      </c>
    </row>
    <row r="164" spans="1:11" x14ac:dyDescent="0.2">
      <c r="A164" t="str">
        <f ca="1">'Total Duration Tables'!A21</f>
        <v>Motorcyclist</v>
      </c>
      <c r="B164" s="58">
        <f ca="1">('Total Duration Tables Sup #1'!B175*'Updated Population'!B$158)/('Total Duration Tables Sup #1'!B164*1000000)</f>
        <v>1</v>
      </c>
      <c r="C164" s="58">
        <f ca="1">('Total Duration Tables Sup #1'!C175*'Updated Population'!C$158)/('Total Duration Tables Sup #1'!C164*1000000)</f>
        <v>1.0061867407890037</v>
      </c>
      <c r="D164" s="58">
        <f ca="1">('Total Duration Tables Sup #1'!D175*'Updated Population'!D$158)/('Total Duration Tables Sup #1'!D164*1000000)</f>
        <v>1.0108404311366437</v>
      </c>
      <c r="E164" s="58">
        <f ca="1">('Total Duration Tables Sup #1'!E175*'Updated Population'!E$158)/('Total Duration Tables Sup #1'!E164*1000000)</f>
        <v>1.0145002976083499</v>
      </c>
      <c r="F164" s="58">
        <f ca="1">('Total Duration Tables Sup #1'!F175*'Updated Population'!F$158)/('Total Duration Tables Sup #1'!F164*1000000)</f>
        <v>1.0179893825175781</v>
      </c>
      <c r="G164" s="58">
        <f ca="1">('Total Duration Tables Sup #1'!G175*'Updated Population'!G$158)/('Total Duration Tables Sup #1'!G164*1000000)</f>
        <v>1.0213409917036143</v>
      </c>
      <c r="H164" s="58">
        <f ca="1">('Total Duration Tables Sup #1'!H175*'Updated Population'!H$158)/('Total Duration Tables Sup #1'!H164*1000000)</f>
        <v>1.0246386878255898</v>
      </c>
      <c r="I164" s="58">
        <f ca="1">('Total Duration Tables Sup #1'!I175*'Updated Population'!I$158)/('Total Duration Tables Sup #1'!I164*1000000)</f>
        <v>1.0273163382461576</v>
      </c>
      <c r="J164" s="58">
        <f ca="1">('Total Duration Tables Sup #1'!J175*'Updated Population'!J$158)/('Total Duration Tables Sup #1'!J164*1000000)</f>
        <v>1.0303752393318224</v>
      </c>
      <c r="K164" s="58">
        <f ca="1">('Total Duration Tables Sup #1'!K175*'Updated Population'!K$158)/('Total Duration Tables Sup #1'!K164*1000000)</f>
        <v>1.033375716122511</v>
      </c>
    </row>
    <row r="165" spans="1:11" x14ac:dyDescent="0.2">
      <c r="A165" t="str">
        <f ca="1">'Total Duration Tables'!A22</f>
        <v>Local Train</v>
      </c>
      <c r="B165" s="58">
        <f ca="1">('Total Duration Tables Sup #1'!B176*'Updated Population'!B$158)/('Total Duration Tables Sup #1'!B165*1000000)</f>
        <v>1</v>
      </c>
      <c r="C165" s="58">
        <f ca="1">('Total Duration Tables Sup #1'!C176*'Updated Population'!C$158)/('Total Duration Tables Sup #1'!C165*1000000)</f>
        <v>1.0420185678060232</v>
      </c>
      <c r="D165" s="58">
        <f ca="1">('Total Duration Tables Sup #1'!D176*'Updated Population'!D$158)/('Total Duration Tables Sup #1'!D165*1000000)</f>
        <v>1.0681836216473577</v>
      </c>
      <c r="E165" s="58">
        <f ca="1">('Total Duration Tables Sup #1'!E176*'Updated Population'!E$158)/('Total Duration Tables Sup #1'!E165*1000000)</f>
        <v>1.0808168177202813</v>
      </c>
      <c r="F165" s="58">
        <f ca="1">('Total Duration Tables Sup #1'!F176*'Updated Population'!F$158)/('Total Duration Tables Sup #1'!F165*1000000)</f>
        <v>1.0905821090492638</v>
      </c>
      <c r="G165" s="58">
        <f ca="1">('Total Duration Tables Sup #1'!G176*'Updated Population'!G$158)/('Total Duration Tables Sup #1'!G165*1000000)</f>
        <v>1.0983710345299613</v>
      </c>
      <c r="H165" s="58">
        <f ca="1">('Total Duration Tables Sup #1'!H176*'Updated Population'!H$158)/('Total Duration Tables Sup #1'!H165*1000000)</f>
        <v>1.1031622432419141</v>
      </c>
      <c r="I165" s="58">
        <f ca="1">('Total Duration Tables Sup #1'!I176*'Updated Population'!I$158)/('Total Duration Tables Sup #1'!I165*1000000)</f>
        <v>1.1075239828867276</v>
      </c>
      <c r="J165" s="58">
        <f ca="1">('Total Duration Tables Sup #1'!J176*'Updated Population'!J$158)/('Total Duration Tables Sup #1'!J165*1000000)</f>
        <v>1.1130209277003245</v>
      </c>
      <c r="K165" s="58">
        <f ca="1">('Total Duration Tables Sup #1'!K176*'Updated Population'!K$158)/('Total Duration Tables Sup #1'!K165*1000000)</f>
        <v>1.1185751893086202</v>
      </c>
    </row>
    <row r="166" spans="1:11" x14ac:dyDescent="0.2">
      <c r="A166" t="str">
        <f ca="1">'Total Duration Tables'!A23</f>
        <v>Local Bus</v>
      </c>
      <c r="B166" s="58">
        <f ca="1">('Total Duration Tables Sup #1'!B177*'Updated Population'!B$169)/('Total Duration Tables Sup #1'!B166*1000000)</f>
        <v>1</v>
      </c>
      <c r="C166" s="58">
        <f ca="1">('Total Duration Tables Sup #1'!C177*'Updated Population'!C$169)/('Total Duration Tables Sup #1'!C166*1000000)</f>
        <v>1.0009547463065989</v>
      </c>
      <c r="D166" s="58">
        <f ca="1">('Total Duration Tables Sup #1'!D177*'Updated Population'!D$169)/('Total Duration Tables Sup #1'!D166*1000000)</f>
        <v>1.0020627512705027</v>
      </c>
      <c r="E166" s="58">
        <f ca="1">('Total Duration Tables Sup #1'!E177*'Updated Population'!E$169)/('Total Duration Tables Sup #1'!E166*1000000)</f>
        <v>1.0029927381442629</v>
      </c>
      <c r="F166" s="58">
        <f ca="1">('Total Duration Tables Sup #1'!F177*'Updated Population'!F$169)/('Total Duration Tables Sup #1'!F166*1000000)</f>
        <v>1.0039082841466753</v>
      </c>
      <c r="G166" s="58">
        <f ca="1">('Total Duration Tables Sup #1'!G177*'Updated Population'!G$169)/('Total Duration Tables Sup #1'!G166*1000000)</f>
        <v>1.0048140354263795</v>
      </c>
      <c r="H166" s="58">
        <f ca="1">('Total Duration Tables Sup #1'!H177*'Updated Population'!H$169)/('Total Duration Tables Sup #1'!H166*1000000)</f>
        <v>1.0057164965150669</v>
      </c>
      <c r="I166" s="58">
        <f ca="1">('Total Duration Tables Sup #1'!I177*'Updated Population'!I$169)/('Total Duration Tables Sup #1'!I166*1000000)</f>
        <v>1.00648798934171</v>
      </c>
      <c r="J166" s="58">
        <f ca="1">('Total Duration Tables Sup #1'!J177*'Updated Population'!J$169)/('Total Duration Tables Sup #1'!J166*1000000)</f>
        <v>1.0073211690509114</v>
      </c>
      <c r="K166" s="58">
        <f ca="1">('Total Duration Tables Sup #1'!K177*'Updated Population'!K$169)/('Total Duration Tables Sup #1'!K166*1000000)</f>
        <v>1.0081308160786873</v>
      </c>
    </row>
    <row r="167" spans="1:11" x14ac:dyDescent="0.2">
      <c r="A167" t="str">
        <f ca="1">'Total Duration Tables'!A24</f>
        <v>Local Ferry</v>
      </c>
      <c r="B167" s="58">
        <f ca="1">('Total Duration Tables Sup #1'!B178*'Updated Population'!B$158)/('Total Duration Tables Sup #1'!B167*1000000)</f>
        <v>0.99999999999999978</v>
      </c>
      <c r="C167" s="58">
        <f ca="1">('Total Duration Tables Sup #1'!C178*'Updated Population'!C$158)/('Total Duration Tables Sup #1'!C167*1000000)</f>
        <v>0.96017015148808482</v>
      </c>
      <c r="D167" s="58">
        <f ca="1">('Total Duration Tables Sup #1'!D178*'Updated Population'!D$158)/('Total Duration Tables Sup #1'!D167*1000000)</f>
        <v>0.92967468489961214</v>
      </c>
      <c r="E167" s="58">
        <f ca="1">('Total Duration Tables Sup #1'!E178*'Updated Population'!E$158)/('Total Duration Tables Sup #1'!E167*1000000)</f>
        <v>0.90424926906277725</v>
      </c>
      <c r="F167" s="58">
        <f ca="1">('Total Duration Tables Sup #1'!F178*'Updated Population'!F$158)/('Total Duration Tables Sup #1'!F167*1000000)</f>
        <v>0.88167531426457113</v>
      </c>
      <c r="G167" s="58">
        <f ca="1">('Total Duration Tables Sup #1'!G178*'Updated Population'!G$158)/('Total Duration Tables Sup #1'!G167*1000000)</f>
        <v>0.86140679770982687</v>
      </c>
      <c r="H167" s="58">
        <f ca="1">('Total Duration Tables Sup #1'!H178*'Updated Population'!H$158)/('Total Duration Tables Sup #1'!H167*1000000)</f>
        <v>0.84288044166044829</v>
      </c>
      <c r="I167" s="58">
        <f ca="1">('Total Duration Tables Sup #1'!I178*'Updated Population'!I$158)/('Total Duration Tables Sup #1'!I167*1000000)</f>
        <v>0.83008628267472384</v>
      </c>
      <c r="J167" s="58">
        <f ca="1">('Total Duration Tables Sup #1'!J178*'Updated Population'!J$158)/('Total Duration Tables Sup #1'!J167*1000000)</f>
        <v>0.81410604425574173</v>
      </c>
      <c r="K167" s="58">
        <f ca="1">('Total Duration Tables Sup #1'!K178*'Updated Population'!K$158)/('Total Duration Tables Sup #1'!K167*1000000)</f>
        <v>0.79878764783242073</v>
      </c>
    </row>
    <row r="168" spans="1:11" x14ac:dyDescent="0.2">
      <c r="A168" t="str">
        <f ca="1">'Total Duration Tables'!A25</f>
        <v>Other Household Travel</v>
      </c>
      <c r="B168" s="58">
        <f ca="1">('Total Duration Tables Sup #1'!B179*'Updated Population'!B$158)/('Total Duration Tables Sup #1'!B168*1000000)</f>
        <v>1</v>
      </c>
      <c r="C168" s="58">
        <f ca="1">('Total Duration Tables Sup #1'!C179*'Updated Population'!C$158)/('Total Duration Tables Sup #1'!C168*1000000)</f>
        <v>0.98915186707658309</v>
      </c>
      <c r="D168" s="58">
        <f ca="1">('Total Duration Tables Sup #1'!D179*'Updated Population'!D$158)/('Total Duration Tables Sup #1'!D168*1000000)</f>
        <v>0.98080665590113436</v>
      </c>
      <c r="E168" s="58">
        <f ca="1">('Total Duration Tables Sup #1'!E179*'Updated Population'!E$158)/('Total Duration Tables Sup #1'!E168*1000000)</f>
        <v>0.97412040394796284</v>
      </c>
      <c r="F168" s="58">
        <f ca="1">('Total Duration Tables Sup #1'!F179*'Updated Population'!F$158)/('Total Duration Tables Sup #1'!F168*1000000)</f>
        <v>0.9679317732498669</v>
      </c>
      <c r="G168" s="58">
        <f ca="1">('Total Duration Tables Sup #1'!G179*'Updated Population'!G$158)/('Total Duration Tables Sup #1'!G168*1000000)</f>
        <v>0.96220046439515972</v>
      </c>
      <c r="H168" s="58">
        <f ca="1">('Total Duration Tables Sup #1'!H179*'Updated Population'!H$158)/('Total Duration Tables Sup #1'!H168*1000000)</f>
        <v>0.95688591881419016</v>
      </c>
      <c r="I168" s="58">
        <f ca="1">('Total Duration Tables Sup #1'!I179*'Updated Population'!I$158)/('Total Duration Tables Sup #1'!I168*1000000)</f>
        <v>0.95284316960352766</v>
      </c>
      <c r="J168" s="58">
        <f ca="1">('Total Duration Tables Sup #1'!J179*'Updated Population'!J$158)/('Total Duration Tables Sup #1'!J168*1000000)</f>
        <v>0.94806238140736299</v>
      </c>
      <c r="K168" s="58">
        <f ca="1">('Total Duration Tables Sup #1'!K179*'Updated Population'!K$158)/('Total Duration Tables Sup #1'!K168*1000000)</f>
        <v>0.94341491418833889</v>
      </c>
    </row>
    <row r="169" spans="1:11" x14ac:dyDescent="0.2">
      <c r="A169" t="s">
        <v>67</v>
      </c>
    </row>
    <row r="170" spans="1:11" x14ac:dyDescent="0.2">
      <c r="A170" t="s">
        <v>34</v>
      </c>
      <c r="B170" s="4">
        <f>'[1]Transition '!B$40</f>
        <v>0</v>
      </c>
      <c r="C170" s="4">
        <f>'[1]Transition '!C$40</f>
        <v>5.0749186565425477</v>
      </c>
      <c r="D170" s="4">
        <f>'[1]Transition '!D$40</f>
        <v>16.23381290769316</v>
      </c>
      <c r="E170" s="4">
        <f>'[1]Transition '!E$40</f>
        <v>27.438308738315701</v>
      </c>
      <c r="F170" s="4">
        <f>'[1]Transition '!F$40</f>
        <v>32.940162329693052</v>
      </c>
      <c r="G170" s="4">
        <f>'[1]Transition '!G$40</f>
        <v>38.51776049307044</v>
      </c>
      <c r="H170" s="4">
        <f>'[1]Transition '!H$40</f>
        <v>44.145758385105552</v>
      </c>
      <c r="I170" s="1">
        <f>'[1]Transition '!I$40</f>
        <v>49.727215937492161</v>
      </c>
      <c r="J170" s="1">
        <f>'[1]Transition '!J$40</f>
        <v>55.702384820338949</v>
      </c>
      <c r="K170" s="1">
        <f>'[1]Transition '!K$40</f>
        <v>62.367904211211012</v>
      </c>
    </row>
    <row r="171" spans="1:11" x14ac:dyDescent="0.2">
      <c r="A171" t="s">
        <v>41</v>
      </c>
      <c r="B171" s="4">
        <f>'[2]Transition '!B$40</f>
        <v>0</v>
      </c>
      <c r="C171" s="4">
        <f>'[2]Transition '!C$40</f>
        <v>6.3557504535590503E-2</v>
      </c>
      <c r="D171" s="4">
        <f>'[2]Transition '!D$40</f>
        <v>0.58507581978432821</v>
      </c>
      <c r="E171" s="4">
        <f>'[2]Transition '!E$40</f>
        <v>1.0423738284840027</v>
      </c>
      <c r="F171" s="4">
        <f>'[2]Transition '!F$40</f>
        <v>1.4745261290924159</v>
      </c>
      <c r="G171" s="4">
        <f>'[2]Transition '!G$40</f>
        <v>1.9007844067922921</v>
      </c>
      <c r="H171" s="4">
        <f>'[2]Transition '!H$40</f>
        <v>2.3641732846539263</v>
      </c>
      <c r="I171" s="1">
        <f>'[2]Transition '!I$40</f>
        <v>2.9101782097085138</v>
      </c>
      <c r="J171" s="1">
        <f>'[2]Transition '!J$40</f>
        <v>3.5118924877581694</v>
      </c>
      <c r="K171" s="1">
        <f>'[2]Transition '!K$40</f>
        <v>4.1669990052605765</v>
      </c>
    </row>
    <row r="172" spans="1:11" x14ac:dyDescent="0.2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'!B$43</f>
        <v>0</v>
      </c>
      <c r="C173" s="4">
        <f>'[1]Transition '!C$43</f>
        <v>0.18151910476814237</v>
      </c>
      <c r="D173" s="4">
        <f>'[1]Transition '!D$43</f>
        <v>7.8104173676279487</v>
      </c>
      <c r="E173" s="4">
        <f>'[1]Transition '!E$43</f>
        <v>15.185404176046603</v>
      </c>
      <c r="F173" s="4">
        <f>'[1]Transition '!F$43</f>
        <v>19.593230290737221</v>
      </c>
      <c r="G173" s="4">
        <f>'[1]Transition '!G$43</f>
        <v>24.006309636254777</v>
      </c>
      <c r="H173" s="4">
        <f>'[1]Transition '!H$43</f>
        <v>28.596589241456901</v>
      </c>
      <c r="I173" s="1">
        <f>'[1]Transition '!I$43</f>
        <v>32.745234426743714</v>
      </c>
      <c r="J173" s="1">
        <f>'[1]Transition '!J$43</f>
        <v>37.231685264280401</v>
      </c>
      <c r="K173" s="1">
        <f>'[1]Transition '!K$43</f>
        <v>42.253770569481119</v>
      </c>
    </row>
    <row r="174" spans="1:11" x14ac:dyDescent="0.2">
      <c r="A174" t="s">
        <v>41</v>
      </c>
      <c r="B174" s="4">
        <f>'[2]Transition '!B$43</f>
        <v>0</v>
      </c>
      <c r="C174" s="4">
        <f>'[2]Transition '!C$43</f>
        <v>1.3301984160015934E-2</v>
      </c>
      <c r="D174" s="4">
        <f>'[2]Transition '!D$43</f>
        <v>0.90116684100100208</v>
      </c>
      <c r="E174" s="4">
        <f>'[2]Transition '!E$43</f>
        <v>1.4983319546275489</v>
      </c>
      <c r="F174" s="4">
        <f>'[2]Transition '!F$43</f>
        <v>1.7423870906884495</v>
      </c>
      <c r="G174" s="4">
        <f>'[2]Transition '!G$43</f>
        <v>2.031746403488766</v>
      </c>
      <c r="H174" s="4">
        <f>'[2]Transition '!H$43</f>
        <v>2.3672212982516001</v>
      </c>
      <c r="I174" s="1">
        <f>'[2]Transition '!I$43</f>
        <v>2.5950077802134857</v>
      </c>
      <c r="J174" s="1">
        <f>'[2]Transition '!J$43</f>
        <v>2.8574948872089223</v>
      </c>
      <c r="K174" s="1">
        <f>'[2]Transition '!K$43</f>
        <v>3.1466888765694669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T1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4" sqref="G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59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$B5*('Updated Population'!C$4/'Updated Population'!$B$4)*('Total Duration Tables Sup #1'!C170/'Total Duration Tables Sup #1'!$B170)</f>
        <v>5.2649816006526047</v>
      </c>
      <c r="D5" s="4">
        <f ca="1">$B5*('Updated Population'!D$4/'Updated Population'!$B$4)*('Total Duration Tables Sup #1'!D170/'Total Duration Tables Sup #1'!$B170)</f>
        <v>5.2745360411046995</v>
      </c>
      <c r="E5" s="4">
        <f ca="1">$B5*('Updated Population'!E$4/'Updated Population'!$B$4)*('Total Duration Tables Sup #1'!E170/'Total Duration Tables Sup #1'!$B170)</f>
        <v>5.1944283136746661</v>
      </c>
      <c r="F5" s="4">
        <f ca="1">$B5*('Updated Population'!F$4/'Updated Population'!$B$4)*('Total Duration Tables Sup #1'!F170/'Total Duration Tables Sup #1'!$B170)</f>
        <v>5.0654684771444094</v>
      </c>
      <c r="G5" s="4">
        <f ca="1">$B5*('Updated Population'!G$4/'Updated Population'!$B$4)*('Total Duration Tables Sup #1'!G170/'Total Duration Tables Sup #1'!$B170)</f>
        <v>4.9261914383208429</v>
      </c>
      <c r="H5" s="4">
        <f ca="1">$B5*('Updated Population'!H$4/'Updated Population'!$B$4)*('Total Duration Tables Sup #1'!H170/'Total Duration Tables Sup #1'!$B170)</f>
        <v>4.7579636180396001</v>
      </c>
      <c r="I5" s="1">
        <f ca="1">$B5*('Updated Population'!I$4/'Updated Population'!$B$4)*('Total Duration Tables Sup #1'!I170/'Total Duration Tables Sup #1'!$B170)</f>
        <v>4.7805301423334594</v>
      </c>
      <c r="J5" s="1">
        <f ca="1">$B5*('Updated Population'!J$4/'Updated Population'!$B$4)*('Total Duration Tables Sup #1'!J170/'Total Duration Tables Sup #1'!$B170)</f>
        <v>4.7879142723127011</v>
      </c>
      <c r="K5" s="1">
        <f ca="1">$B5*('Updated Population'!K$4/'Updated Population'!$B$4)*('Total Duration Tables Sup #1'!K170/'Total Duration Tables Sup #1'!$B170)</f>
        <v>4.7850043775326183</v>
      </c>
    </row>
    <row r="6" spans="1:11" x14ac:dyDescent="0.2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$B6*('Updated Population'!C$4/'Updated Population'!$B$4)*('Total Duration Tables Sup #1'!C171/'Total Duration Tables Sup #1'!$B171)</f>
        <v>0.16414030087037354</v>
      </c>
      <c r="D6" s="4">
        <f ca="1">$B6*('Updated Population'!D$4/'Updated Population'!$B$4)*('Total Duration Tables Sup #1'!D171/'Total Duration Tables Sup #1'!$B171)</f>
        <v>0.17034601209791403</v>
      </c>
      <c r="E6" s="4">
        <f ca="1">$B6*('Updated Population'!E$4/'Updated Population'!$B$4)*('Total Duration Tables Sup #1'!E171/'Total Duration Tables Sup #1'!$B171)</f>
        <v>0.16912413697908382</v>
      </c>
      <c r="F6" s="4">
        <f ca="1">$B6*('Updated Population'!F$4/'Updated Population'!$B$4)*('Total Duration Tables Sup #1'!F171/'Total Duration Tables Sup #1'!$B171)</f>
        <v>0.16914113606143005</v>
      </c>
      <c r="G6" s="4">
        <f ca="1">$B6*('Updated Population'!G$4/'Updated Population'!$B$4)*('Total Duration Tables Sup #1'!G171/'Total Duration Tables Sup #1'!$B171)</f>
        <v>0.17088782428309363</v>
      </c>
      <c r="H6" s="4">
        <f ca="1">$B6*('Updated Population'!H$4/'Updated Population'!$B$4)*('Total Duration Tables Sup #1'!H171/'Total Duration Tables Sup #1'!$B171)</f>
        <v>0.17197651986445328</v>
      </c>
      <c r="I6" s="1">
        <f ca="1">$B6*('Updated Population'!I$4/'Updated Population'!$B$4)*('Total Duration Tables Sup #1'!I171/'Total Duration Tables Sup #1'!$B171)</f>
        <v>0.17279218652881789</v>
      </c>
      <c r="J6" s="1">
        <f ca="1">$B6*('Updated Population'!J$4/'Updated Population'!$B$4)*('Total Duration Tables Sup #1'!J171/'Total Duration Tables Sup #1'!$B171)</f>
        <v>0.17305908579035115</v>
      </c>
      <c r="K6" s="1">
        <f ca="1">$B6*('Updated Population'!K$4/'Updated Population'!$B$4)*('Total Duration Tables Sup #1'!K171/'Total Duration Tables Sup #1'!$B171)</f>
        <v>0.17295390768946087</v>
      </c>
    </row>
    <row r="7" spans="1:11" x14ac:dyDescent="0.2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$B7*('Updated Population'!C$4/'Updated Population'!$B$4)*('Total Duration Tables Sup #1'!C172/'Total Duration Tables Sup #1'!$B172)</f>
        <v>25.499084084157303</v>
      </c>
      <c r="D7" s="4">
        <f ca="1">$B7*('Updated Population'!D$4/'Updated Population'!$B$4)*('Total Duration Tables Sup #1'!D172/'Total Duration Tables Sup #1'!$B172)</f>
        <v>26.213992267666434</v>
      </c>
      <c r="E7" s="4">
        <f ca="1">$B7*('Updated Population'!E$4/'Updated Population'!$B$4)*('Total Duration Tables Sup #1'!E172/'Total Duration Tables Sup #1'!$B172)</f>
        <v>26.88240897493802</v>
      </c>
      <c r="F7" s="4">
        <f ca="1">$B7*('Updated Population'!F$4/'Updated Population'!$B$4)*('Total Duration Tables Sup #1'!F172/'Total Duration Tables Sup #1'!$B172)</f>
        <v>27.232475727085106</v>
      </c>
      <c r="G7" s="4">
        <f ca="1">$B7*('Updated Population'!G$4/'Updated Population'!$B$4)*('Total Duration Tables Sup #1'!G172/'Total Duration Tables Sup #1'!$B172)</f>
        <v>27.2654883251464</v>
      </c>
      <c r="H7" s="4">
        <f ca="1">$B7*('Updated Population'!H$4/'Updated Population'!$B$4)*('Total Duration Tables Sup #1'!H172/'Total Duration Tables Sup #1'!$B172)</f>
        <v>27.041036278786375</v>
      </c>
      <c r="I7" s="1">
        <f ca="1">$B7*('Updated Population'!I$4/'Updated Population'!$B$4)*('Total Duration Tables Sup #1'!I172/'Total Duration Tables Sup #1'!$B172)</f>
        <v>27.169289088413326</v>
      </c>
      <c r="J7" s="1">
        <f ca="1">$B7*('Updated Population'!J$4/'Updated Population'!$B$4)*('Total Duration Tables Sup #1'!J172/'Total Duration Tables Sup #1'!$B172)</f>
        <v>27.211255472077731</v>
      </c>
      <c r="K7" s="1">
        <f ca="1">$B7*('Updated Population'!K$4/'Updated Population'!$B$4)*('Total Duration Tables Sup #1'!K172/'Total Duration Tables Sup #1'!$B172)</f>
        <v>27.194717604907556</v>
      </c>
    </row>
    <row r="8" spans="1:11" x14ac:dyDescent="0.2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$B8*('Updated Population'!C$4/'Updated Population'!$B$4)*('Total Duration Tables Sup #1'!C173/'Total Duration Tables Sup #1'!$B173)</f>
        <v>15.733866537390519</v>
      </c>
      <c r="D8" s="4">
        <f ca="1">$B8*('Updated Population'!D$4/'Updated Population'!$B$4)*('Total Duration Tables Sup #1'!D173/'Total Duration Tables Sup #1'!$B173)</f>
        <v>15.936937488202862</v>
      </c>
      <c r="E8" s="4">
        <f ca="1">$B8*('Updated Population'!E$4/'Updated Population'!$B$4)*('Total Duration Tables Sup #1'!E173/'Total Duration Tables Sup #1'!$B173)</f>
        <v>16.065445640118398</v>
      </c>
      <c r="F8" s="4">
        <f ca="1">$B8*('Updated Population'!F$4/'Updated Population'!$B$4)*('Total Duration Tables Sup #1'!F173/'Total Duration Tables Sup #1'!$B173)</f>
        <v>16.038760842904164</v>
      </c>
      <c r="G8" s="4">
        <f ca="1">$B8*('Updated Population'!G$4/'Updated Population'!$B$4)*('Total Duration Tables Sup #1'!G173/'Total Duration Tables Sup #1'!$B173)</f>
        <v>15.911478870952473</v>
      </c>
      <c r="H8" s="4">
        <f ca="1">$B8*('Updated Population'!H$4/'Updated Population'!$B$4)*('Total Duration Tables Sup #1'!H173/'Total Duration Tables Sup #1'!$B173)</f>
        <v>15.669517546503291</v>
      </c>
      <c r="I8" s="1">
        <f ca="1">$B8*('Updated Population'!I$4/'Updated Population'!$B$4)*('Total Duration Tables Sup #1'!I173/'Total Duration Tables Sup #1'!$B173)</f>
        <v>15.743836430961663</v>
      </c>
      <c r="J8" s="1">
        <f ca="1">$B8*('Updated Population'!J$4/'Updated Population'!$B$4)*('Total Duration Tables Sup #1'!J173/'Total Duration Tables Sup #1'!$B173)</f>
        <v>15.768154766191611</v>
      </c>
      <c r="K8" s="1">
        <f ca="1">$B8*('Updated Population'!K$4/'Updated Population'!$B$4)*('Total Duration Tables Sup #1'!K173/'Total Duration Tables Sup #1'!$B173)</f>
        <v>15.758571538791108</v>
      </c>
    </row>
    <row r="9" spans="1:11" x14ac:dyDescent="0.2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$B9*('Updated Population'!C$4/'Updated Population'!$B$4)*('Total Duration Tables Sup #1'!C174/'Total Duration Tables Sup #1'!$B174)</f>
        <v>2.8766956162125105E-2</v>
      </c>
      <c r="D9" s="4">
        <f ca="1">$B9*('Updated Population'!D$4/'Updated Population'!$B$4)*('Total Duration Tables Sup #1'!D174/'Total Duration Tables Sup #1'!$B174)</f>
        <v>3.1637440400339813E-2</v>
      </c>
      <c r="E9" s="4">
        <f ca="1">$B9*('Updated Population'!E$4/'Updated Population'!$B$4)*('Total Duration Tables Sup #1'!E174/'Total Duration Tables Sup #1'!$B174)</f>
        <v>3.3822168165128591E-2</v>
      </c>
      <c r="F9" s="4">
        <f ca="1">$B9*('Updated Population'!F$4/'Updated Population'!$B$4)*('Total Duration Tables Sup #1'!F174/'Total Duration Tables Sup #1'!$B174)</f>
        <v>3.5352536056471096E-2</v>
      </c>
      <c r="G9" s="4">
        <f ca="1">$B9*('Updated Population'!G$4/'Updated Population'!$B$4)*('Total Duration Tables Sup #1'!G174/'Total Duration Tables Sup #1'!$B174)</f>
        <v>3.6085168826209615E-2</v>
      </c>
      <c r="H9" s="4">
        <f ca="1">$B9*('Updated Population'!H$4/'Updated Population'!$B$4)*('Total Duration Tables Sup #1'!H174/'Total Duration Tables Sup #1'!$B174)</f>
        <v>3.6379368428228719E-2</v>
      </c>
      <c r="I9" s="1">
        <f ca="1">$B9*('Updated Population'!I$4/'Updated Population'!$B$4)*('Total Duration Tables Sup #1'!I174/'Total Duration Tables Sup #1'!$B174)</f>
        <v>3.6551911971503891E-2</v>
      </c>
      <c r="J9" s="1">
        <f ca="1">$B9*('Updated Population'!J$4/'Updated Population'!$B$4)*('Total Duration Tables Sup #1'!J174/'Total Duration Tables Sup #1'!$B174)</f>
        <v>3.6608370996120687E-2</v>
      </c>
      <c r="K9" s="1">
        <f ca="1">$B9*('Updated Population'!K$4/'Updated Population'!$B$4)*('Total Duration Tables Sup #1'!K174/'Total Duration Tables Sup #1'!$B174)</f>
        <v>3.6586121953717202E-2</v>
      </c>
    </row>
    <row r="10" spans="1:11" x14ac:dyDescent="0.2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$B10*('Updated Population'!C$4/'Updated Population'!$B$4)*('Total Duration Tables Sup #1'!C175/'Total Duration Tables Sup #1'!$B175)</f>
        <v>0.30133708515300089</v>
      </c>
      <c r="D10" s="4">
        <f ca="1">$B10*('Updated Population'!D$4/'Updated Population'!$B$4)*('Total Duration Tables Sup #1'!D175/'Total Duration Tables Sup #1'!$B175)</f>
        <v>0.30772530064795406</v>
      </c>
      <c r="E10" s="4">
        <f ca="1">$B10*('Updated Population'!E$4/'Updated Population'!$B$4)*('Total Duration Tables Sup #1'!E175/'Total Duration Tables Sup #1'!$B175)</f>
        <v>0.3091513912641598</v>
      </c>
      <c r="F10" s="4">
        <f ca="1">$B10*('Updated Population'!F$4/'Updated Population'!$B$4)*('Total Duration Tables Sup #1'!F175/'Total Duration Tables Sup #1'!$B175)</f>
        <v>0.30547543826360107</v>
      </c>
      <c r="G10" s="4">
        <f ca="1">$B10*('Updated Population'!G$4/'Updated Population'!$B$4)*('Total Duration Tables Sup #1'!G175/'Total Duration Tables Sup #1'!$B175)</f>
        <v>0.29576788017924455</v>
      </c>
      <c r="H10" s="4">
        <f ca="1">$B10*('Updated Population'!H$4/'Updated Population'!$B$4)*('Total Duration Tables Sup #1'!H175/'Total Duration Tables Sup #1'!$B175)</f>
        <v>0.28326826616245959</v>
      </c>
      <c r="I10" s="1">
        <f ca="1">$B10*('Updated Population'!I$4/'Updated Population'!$B$4)*('Total Duration Tables Sup #1'!I175/'Total Duration Tables Sup #1'!$B175)</f>
        <v>0.28461177795094789</v>
      </c>
      <c r="J10" s="1">
        <f ca="1">$B10*('Updated Population'!J$4/'Updated Population'!$B$4)*('Total Duration Tables Sup #1'!J175/'Total Duration Tables Sup #1'!$B175)</f>
        <v>0.28505139663327816</v>
      </c>
      <c r="K10" s="1">
        <f ca="1">$B10*('Updated Population'!K$4/'Updated Population'!$B$4)*('Total Duration Tables Sup #1'!K175/'Total Duration Tables Sup #1'!$B175)</f>
        <v>0.28487815427262958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Duration Tables Sup #1'!C176/'Total Duration Tables Sup #1'!$B176)</f>
        <v>0</v>
      </c>
      <c r="D11" s="4">
        <f ca="1">$B11*('Updated Population'!D$4/'Updated Population'!$B$4)*('Total Duration Tables Sup #1'!D176/'Total Duration Tables Sup #1'!$B176)</f>
        <v>0</v>
      </c>
      <c r="E11" s="4">
        <f ca="1">$B11*('Updated Population'!E$4/'Updated Population'!$B$4)*('Total Duration Tables Sup #1'!E176/'Total Duration Tables Sup #1'!$B176)</f>
        <v>0</v>
      </c>
      <c r="F11" s="4">
        <f ca="1">$B11*('Updated Population'!F$4/'Updated Population'!$B$4)*('Total Duration Tables Sup #1'!F176/'Total Duration Tables Sup #1'!$B176)</f>
        <v>0</v>
      </c>
      <c r="G11" s="4">
        <f ca="1">$B11*('Updated Population'!G$4/'Updated Population'!$B$4)*('Total Duration Tables Sup #1'!G176/'Total Duration Tables Sup #1'!$B176)</f>
        <v>0</v>
      </c>
      <c r="H11" s="4">
        <f ca="1">$B11*('Updated Population'!H$4/'Updated Population'!$B$4)*('Total Duration Tables Sup #1'!H176/'Total Duration Tables Sup #1'!$B176)</f>
        <v>0</v>
      </c>
      <c r="I11" s="1">
        <f ca="1">$B11*('Updated Population'!I$4/'Updated Population'!$B$4)*('Total Duration Tables Sup #1'!I176/'Total Duration Tables Sup #1'!$B176)</f>
        <v>0</v>
      </c>
      <c r="J11" s="1">
        <f ca="1">$B11*('Updated Population'!J$4/'Updated Population'!$B$4)*('Total Duration Tables Sup #1'!J176/'Total Duration Tables Sup #1'!$B176)</f>
        <v>0</v>
      </c>
      <c r="K11" s="1">
        <f ca="1">$B11*('Updated Population'!K$4/'Updated Population'!$B$4)*('Total Duration Tables Sup #1'!K176/'Total Duration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$B12*('Updated Population'!C$4/'Updated Population'!$B$4)*('Total Duration Tables Sup #1'!C177/'Total Duration Tables Sup #1'!$B177)</f>
        <v>1.4676480013842137</v>
      </c>
      <c r="D12" s="4">
        <f ca="1">$B12*('Updated Population'!D$4/'Updated Population'!$B$4)*('Total Duration Tables Sup #1'!D177/'Total Duration Tables Sup #1'!$B177)</f>
        <v>1.4733733812398715</v>
      </c>
      <c r="E12" s="4">
        <f ca="1">$B12*('Updated Population'!E$4/'Updated Population'!$B$4)*('Total Duration Tables Sup #1'!E177/'Total Duration Tables Sup #1'!$B177)</f>
        <v>1.4496274681731738</v>
      </c>
      <c r="F12" s="4">
        <f ca="1">$B12*('Updated Population'!F$4/'Updated Population'!$B$4)*('Total Duration Tables Sup #1'!F177/'Total Duration Tables Sup #1'!$B177)</f>
        <v>1.4171638590515905</v>
      </c>
      <c r="G12" s="4">
        <f ca="1">$B12*('Updated Population'!G$4/'Updated Population'!$B$4)*('Total Duration Tables Sup #1'!G177/'Total Duration Tables Sup #1'!$B177)</f>
        <v>1.3939225565925855</v>
      </c>
      <c r="H12" s="4">
        <f ca="1">$B12*('Updated Population'!H$4/'Updated Population'!$B$4)*('Total Duration Tables Sup #1'!H177/'Total Duration Tables Sup #1'!$B177)</f>
        <v>1.3683689457000934</v>
      </c>
      <c r="I12" s="1">
        <f ca="1">$B12*('Updated Population'!I$4/'Updated Population'!$B$4)*('Total Duration Tables Sup #1'!I177/'Total Duration Tables Sup #1'!$B177)</f>
        <v>1.3748589766324499</v>
      </c>
      <c r="J12" s="1">
        <f ca="1">$B12*('Updated Population'!J$4/'Updated Population'!$B$4)*('Total Duration Tables Sup #1'!J177/'Total Duration Tables Sup #1'!$B177)</f>
        <v>1.3769826192169157</v>
      </c>
      <c r="K12" s="1">
        <f ca="1">$B12*('Updated Population'!K$4/'Updated Population'!$B$4)*('Total Duration Tables Sup #1'!K177/'Total Duration Tables Sup #1'!$B177)</f>
        <v>1.3761457465604658</v>
      </c>
    </row>
    <row r="13" spans="1:11" x14ac:dyDescent="0.2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$B13*('Updated Population'!C$4/'Updated Population'!$B$4)*('Total Duration Tables Sup #1'!C178/'Total Duration Tables Sup #1'!$B178)</f>
        <v>1.7455886033899089E-2</v>
      </c>
      <c r="D13" s="4">
        <f ca="1">$B13*('Updated Population'!D$4/'Updated Population'!$B$4)*('Total Duration Tables Sup #1'!D178/'Total Duration Tables Sup #1'!$B178)</f>
        <v>1.7998050951608051E-2</v>
      </c>
      <c r="E13" s="4">
        <f ca="1">$B13*('Updated Population'!E$4/'Updated Population'!$B$4)*('Total Duration Tables Sup #1'!E178/'Total Duration Tables Sup #1'!$B178)</f>
        <v>1.8713038026151402E-2</v>
      </c>
      <c r="F13" s="4">
        <f ca="1">$B13*('Updated Population'!F$4/'Updated Population'!$B$4)*('Total Duration Tables Sup #1'!F178/'Total Duration Tables Sup #1'!$B178)</f>
        <v>1.8964020719440498E-2</v>
      </c>
      <c r="G13" s="4">
        <f ca="1">$B13*('Updated Population'!G$4/'Updated Population'!$B$4)*('Total Duration Tables Sup #1'!G178/'Total Duration Tables Sup #1'!$B178)</f>
        <v>1.9379879844817333E-2</v>
      </c>
      <c r="H13" s="4">
        <f ca="1">$B13*('Updated Population'!H$4/'Updated Population'!$B$4)*('Total Duration Tables Sup #1'!H178/'Total Duration Tables Sup #1'!$B178)</f>
        <v>1.9441133931766282E-2</v>
      </c>
      <c r="I13" s="1">
        <f ca="1">$B13*('Updated Population'!I$4/'Updated Population'!$B$4)*('Total Duration Tables Sup #1'!I178/'Total Duration Tables Sup #1'!$B178)</f>
        <v>1.9533341198654158E-2</v>
      </c>
      <c r="J13" s="1">
        <f ca="1">$B13*('Updated Population'!J$4/'Updated Population'!$B$4)*('Total Duration Tables Sup #1'!J178/'Total Duration Tables Sup #1'!$B178)</f>
        <v>1.956351290054606E-2</v>
      </c>
      <c r="K13" s="1">
        <f ca="1">$B13*('Updated Population'!K$4/'Updated Population'!$B$4)*('Total Duration Tables Sup #1'!K178/'Total Duration Tables Sup #1'!$B178)</f>
        <v>1.9551623012625852E-2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$B14*('Updated Population'!C$4/'Updated Population'!$B$4)*('Total Duration Tables Sup #1'!C179/'Total Duration Tables Sup #1'!$B179)</f>
        <v>0</v>
      </c>
      <c r="D14" s="4">
        <f ca="1">$B14*('Updated Population'!D$4/'Updated Population'!$B$4)*('Total Duration Tables Sup #1'!D179/'Total Duration Tables Sup #1'!$B179)</f>
        <v>0</v>
      </c>
      <c r="E14" s="4">
        <f ca="1">$B14*('Updated Population'!E$4/'Updated Population'!$B$4)*('Total Duration Tables Sup #1'!E179/'Total Duration Tables Sup #1'!$B179)</f>
        <v>0</v>
      </c>
      <c r="F14" s="4">
        <f ca="1">$B14*('Updated Population'!F$4/'Updated Population'!$B$4)*('Total Duration Tables Sup #1'!F179/'Total Duration Tables Sup #1'!$B179)</f>
        <v>0</v>
      </c>
      <c r="G14" s="4">
        <f ca="1">$B14*('Updated Population'!G$4/'Updated Population'!$B$4)*('Total Duration Tables Sup #1'!G179/'Total Duration Tables Sup #1'!$B179)</f>
        <v>0</v>
      </c>
      <c r="H14" s="4">
        <f ca="1">$B14*('Updated Population'!H$4/'Updated Population'!$B$4)*('Total Duration Tables Sup #1'!H179/'Total Duration Tables Sup #1'!$B179)</f>
        <v>0</v>
      </c>
      <c r="I14" s="1">
        <f ca="1">$B14*('Updated Population'!I$4/'Updated Population'!$B$4)*('Total Duration Tables Sup #1'!I179/'Total Duration Tables Sup #1'!$B179)</f>
        <v>0</v>
      </c>
      <c r="J14" s="1">
        <f ca="1">$B14*('Updated Population'!J$4/'Updated Population'!$B$4)*('Total Duration Tables Sup #1'!J179/'Total Duration Tables Sup #1'!$B179)</f>
        <v>0</v>
      </c>
      <c r="K14" s="1">
        <f ca="1">$B14*('Updated Population'!K$4/'Updated Population'!$B$4)*('Total Duration Tables Sup #1'!K179/'Total Duration Tables Sup #1'!$B179)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OFFSET(Auckland_Reference,0,7)</f>
        <v>73.381071999</v>
      </c>
      <c r="C16" s="4">
        <f ca="1">$B16*('Updated Population'!C$15/'Updated Population'!$B$15)*('Total Duration Tables Sup #1'!C170/'Total Duration Tables Sup #1'!$B170)</f>
        <v>83.520890517202687</v>
      </c>
      <c r="D16" s="4">
        <f ca="1">$B16*('Updated Population'!D$15/'Updated Population'!$B$15)*('Total Duration Tables Sup #1'!D170/'Total Duration Tables Sup #1'!$B170)</f>
        <v>90.344814913749659</v>
      </c>
      <c r="E16" s="4">
        <f ca="1">$B16*('Updated Population'!E$15/'Updated Population'!$B$15)*('Total Duration Tables Sup #1'!E170/'Total Duration Tables Sup #1'!$B170)</f>
        <v>95.273583796808467</v>
      </c>
      <c r="F16" s="4">
        <f ca="1">$B16*('Updated Population'!F$15/'Updated Population'!$B$15)*('Total Duration Tables Sup #1'!F170/'Total Duration Tables Sup #1'!$B170)</f>
        <v>99.323602751213542</v>
      </c>
      <c r="G16" s="4">
        <f ca="1">$B16*('Updated Population'!G$15/'Updated Population'!$B$15)*('Total Duration Tables Sup #1'!G170/'Total Duration Tables Sup #1'!$B170)</f>
        <v>103.05949784232632</v>
      </c>
      <c r="H16" s="4">
        <f ca="1">$B16*('Updated Population'!H$15/'Updated Population'!$B$15)*('Total Duration Tables Sup #1'!H170/'Total Duration Tables Sup #1'!$B170)</f>
        <v>106.07488208118991</v>
      </c>
      <c r="I16" s="1">
        <f ca="1">$B16*('Updated Population'!I$15/'Updated Population'!$B$15)*('Total Duration Tables Sup #1'!I170/'Total Duration Tables Sup #1'!$B170)</f>
        <v>111.72957621758979</v>
      </c>
      <c r="J16" s="1">
        <f ca="1">$B16*('Updated Population'!J$15/'Updated Population'!$B$15)*('Total Duration Tables Sup #1'!J170/'Total Duration Tables Sup #1'!$B170)</f>
        <v>118.90783655695445</v>
      </c>
      <c r="K16" s="1">
        <f ca="1">$B16*('Updated Population'!K$15/'Updated Population'!$B$15)*('Total Duration Tables Sup #1'!K170/'Total Duration Tables Sup #1'!$B170)</f>
        <v>126.37026395997098</v>
      </c>
    </row>
    <row r="17" spans="1:11" x14ac:dyDescent="0.2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$B17*('Updated Population'!C$15/'Updated Population'!$B$15)*('Total Duration Tables Sup #1'!C171/'Total Duration Tables Sup #1'!$B171)</f>
        <v>4.9868010879353362</v>
      </c>
      <c r="D17" s="4">
        <f ca="1">$B17*('Updated Population'!D$15/'Updated Population'!$B$15)*('Total Duration Tables Sup #1'!D171/'Total Duration Tables Sup #1'!$B171)</f>
        <v>5.5880399356542654</v>
      </c>
      <c r="E17" s="4">
        <f ca="1">$B17*('Updated Population'!E$15/'Updated Population'!$B$15)*('Total Duration Tables Sup #1'!E171/'Total Duration Tables Sup #1'!$B171)</f>
        <v>5.9408542838192364</v>
      </c>
      <c r="F17" s="4">
        <f ca="1">$B17*('Updated Population'!F$15/'Updated Population'!$B$15)*('Total Duration Tables Sup #1'!F171/'Total Duration Tables Sup #1'!$B171)</f>
        <v>6.3517098711676274</v>
      </c>
      <c r="G17" s="4">
        <f ca="1">$B17*('Updated Population'!G$15/'Updated Population'!$B$15)*('Total Duration Tables Sup #1'!G171/'Total Duration Tables Sup #1'!$B171)</f>
        <v>6.8469383797281385</v>
      </c>
      <c r="H17" s="4">
        <f ca="1">$B17*('Updated Population'!H$15/'Updated Population'!$B$15)*('Total Duration Tables Sup #1'!H171/'Total Duration Tables Sup #1'!$B171)</f>
        <v>7.3429261271486475</v>
      </c>
      <c r="I17" s="1">
        <f ca="1">$B17*('Updated Population'!I$15/'Updated Population'!$B$15)*('Total Duration Tables Sup #1'!I171/'Total Duration Tables Sup #1'!$B171)</f>
        <v>7.7343665935488257</v>
      </c>
      <c r="J17" s="1">
        <f ca="1">$B17*('Updated Population'!J$15/'Updated Population'!$B$15)*('Total Duration Tables Sup #1'!J171/'Total Duration Tables Sup #1'!$B171)</f>
        <v>8.2312743850941583</v>
      </c>
      <c r="K17" s="1">
        <f ca="1">$B17*('Updated Population'!K$15/'Updated Population'!$B$15)*('Total Duration Tables Sup #1'!K171/'Total Duration Tables Sup #1'!$B171)</f>
        <v>8.7478533534084395</v>
      </c>
    </row>
    <row r="18" spans="1:11" x14ac:dyDescent="0.2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$B18*('Updated Population'!C$15/'Updated Population'!$B$15)*('Total Duration Tables Sup #1'!C172/'Total Duration Tables Sup #1'!$B172)</f>
        <v>352.94330838138075</v>
      </c>
      <c r="D18" s="4">
        <f ca="1">$B18*('Updated Population'!D$15/'Updated Population'!$B$15)*('Total Duration Tables Sup #1'!D172/'Total Duration Tables Sup #1'!$B172)</f>
        <v>391.77277078455887</v>
      </c>
      <c r="E18" s="4">
        <f ca="1">$B18*('Updated Population'!E$15/'Updated Population'!$B$15)*('Total Duration Tables Sup #1'!E172/'Total Duration Tables Sup #1'!$B172)</f>
        <v>430.21449777152907</v>
      </c>
      <c r="F18" s="4">
        <f ca="1">$B18*('Updated Population'!F$15/'Updated Population'!$B$15)*('Total Duration Tables Sup #1'!F172/'Total Duration Tables Sup #1'!$B172)</f>
        <v>465.9100571986163</v>
      </c>
      <c r="G18" s="4">
        <f ca="1">$B18*('Updated Population'!G$15/'Updated Population'!$B$15)*('Total Duration Tables Sup #1'!G172/'Total Duration Tables Sup #1'!$B172)</f>
        <v>497.70514482137713</v>
      </c>
      <c r="H18" s="4">
        <f ca="1">$B18*('Updated Population'!H$15/'Updated Population'!$B$15)*('Total Duration Tables Sup #1'!H172/'Total Duration Tables Sup #1'!$B172)</f>
        <v>526.01349286764662</v>
      </c>
      <c r="I18" s="1">
        <f ca="1">$B18*('Updated Population'!I$15/'Updated Population'!$B$15)*('Total Duration Tables Sup #1'!I172/'Total Duration Tables Sup #1'!$B172)</f>
        <v>554.05448952422796</v>
      </c>
      <c r="J18" s="1">
        <f ca="1">$B18*('Updated Population'!J$15/'Updated Population'!$B$15)*('Total Duration Tables Sup #1'!J172/'Total Duration Tables Sup #1'!$B172)</f>
        <v>589.65068081607831</v>
      </c>
      <c r="K18" s="1">
        <f ca="1">$B18*('Updated Population'!K$15/'Updated Population'!$B$15)*('Total Duration Tables Sup #1'!K172/'Total Duration Tables Sup #1'!$B172)</f>
        <v>626.65602483830878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$B19*('Updated Population'!C$15/'Updated Population'!$B$15)*('Total Duration Tables Sup #1'!C173/'Total Duration Tables Sup #1'!$B173)</f>
        <v>165.49751488880636</v>
      </c>
      <c r="D19" s="4">
        <f ca="1">$B19*('Updated Population'!D$15/'Updated Population'!$B$15)*('Total Duration Tables Sup #1'!D173/'Total Duration Tables Sup #1'!$B173)</f>
        <v>181.00125822370086</v>
      </c>
      <c r="E19" s="4">
        <f ca="1">$B19*('Updated Population'!E$15/'Updated Population'!$B$15)*('Total Duration Tables Sup #1'!E173/'Total Duration Tables Sup #1'!$B173)</f>
        <v>195.38232719669202</v>
      </c>
      <c r="F19" s="4">
        <f ca="1">$B19*('Updated Population'!F$15/'Updated Population'!$B$15)*('Total Duration Tables Sup #1'!F173/'Total Duration Tables Sup #1'!$B173)</f>
        <v>208.52657747149385</v>
      </c>
      <c r="G19" s="4">
        <f ca="1">$B19*('Updated Population'!G$15/'Updated Population'!$B$15)*('Total Duration Tables Sup #1'!G173/'Total Duration Tables Sup #1'!$B173)</f>
        <v>220.72170375748388</v>
      </c>
      <c r="H19" s="4">
        <f ca="1">$B19*('Updated Population'!H$15/'Updated Population'!$B$15)*('Total Duration Tables Sup #1'!H173/'Total Duration Tables Sup #1'!$B173)</f>
        <v>231.63534159547106</v>
      </c>
      <c r="I19" s="1">
        <f ca="1">$B19*('Updated Population'!I$15/'Updated Population'!$B$15)*('Total Duration Tables Sup #1'!I173/'Total Duration Tables Sup #1'!$B173)</f>
        <v>243.98347700890804</v>
      </c>
      <c r="J19" s="1">
        <f ca="1">$B19*('Updated Population'!J$15/'Updated Population'!$B$15)*('Total Duration Tables Sup #1'!J173/'Total Duration Tables Sup #1'!$B173)</f>
        <v>259.65861850467974</v>
      </c>
      <c r="K19" s="1">
        <f ca="1">$B19*('Updated Population'!K$15/'Updated Population'!$B$15)*('Total Duration Tables Sup #1'!K173/'Total Duration Tables Sup #1'!$B173)</f>
        <v>275.95429460362743</v>
      </c>
    </row>
    <row r="20" spans="1:11" x14ac:dyDescent="0.2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$B20*('Updated Population'!C$15/'Updated Population'!$B$15)*('Total Duration Tables Sup #1'!C174/'Total Duration Tables Sup #1'!$B174)</f>
        <v>2.4036616566330249</v>
      </c>
      <c r="D20" s="4">
        <f ca="1">$B20*('Updated Population'!D$15/'Updated Population'!$B$15)*('Total Duration Tables Sup #1'!D174/'Total Duration Tables Sup #1'!$B174)</f>
        <v>2.8543122013014526</v>
      </c>
      <c r="E20" s="4">
        <f ca="1">$B20*('Updated Population'!E$15/'Updated Population'!$B$15)*('Total Duration Tables Sup #1'!E174/'Total Duration Tables Sup #1'!$B174)</f>
        <v>3.2675132322607423</v>
      </c>
      <c r="F20" s="4">
        <f ca="1">$B20*('Updated Population'!F$15/'Updated Population'!$B$15)*('Total Duration Tables Sup #1'!F174/'Total Duration Tables Sup #1'!$B174)</f>
        <v>3.6511912906553063</v>
      </c>
      <c r="G20" s="4">
        <f ca="1">$B20*('Updated Population'!G$15/'Updated Population'!$B$15)*('Total Duration Tables Sup #1'!G174/'Total Duration Tables Sup #1'!$B174)</f>
        <v>3.9763686775321858</v>
      </c>
      <c r="H20" s="4">
        <f ca="1">$B20*('Updated Population'!H$15/'Updated Population'!$B$15)*('Total Duration Tables Sup #1'!H174/'Total Duration Tables Sup #1'!$B174)</f>
        <v>4.2719657448929009</v>
      </c>
      <c r="I20" s="1">
        <f ca="1">$B20*('Updated Population'!I$15/'Updated Population'!$B$15)*('Total Duration Tables Sup #1'!I174/'Total Duration Tables Sup #1'!$B174)</f>
        <v>4.4996978825544591</v>
      </c>
      <c r="J20" s="1">
        <f ca="1">$B20*('Updated Population'!J$15/'Updated Population'!$B$15)*('Total Duration Tables Sup #1'!J174/'Total Duration Tables Sup #1'!$B174)</f>
        <v>4.7887887745360098</v>
      </c>
      <c r="K20" s="1">
        <f ca="1">$B20*('Updated Population'!K$15/'Updated Population'!$B$15)*('Total Duration Tables Sup #1'!K174/'Total Duration Tables Sup #1'!$B174)</f>
        <v>5.0893239588696231</v>
      </c>
    </row>
    <row r="21" spans="1:11" x14ac:dyDescent="0.2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$B21*('Updated Population'!C$15/'Updated Population'!$B$15)*('Total Duration Tables Sup #1'!C175/'Total Duration Tables Sup #1'!$B175)</f>
        <v>1.7869361069092842</v>
      </c>
      <c r="D21" s="4">
        <f ca="1">$B21*('Updated Population'!D$15/'Updated Population'!$B$15)*('Total Duration Tables Sup #1'!D175/'Total Duration Tables Sup #1'!$B175)</f>
        <v>1.9703362877033415</v>
      </c>
      <c r="E21" s="4">
        <f ca="1">$B21*('Updated Population'!E$15/'Updated Population'!$B$15)*('Total Duration Tables Sup #1'!E175/'Total Duration Tables Sup #1'!$B175)</f>
        <v>2.119649890076504</v>
      </c>
      <c r="F21" s="4">
        <f ca="1">$B21*('Updated Population'!F$15/'Updated Population'!$B$15)*('Total Duration Tables Sup #1'!F175/'Total Duration Tables Sup #1'!$B175)</f>
        <v>2.2390682240355289</v>
      </c>
      <c r="G21" s="4">
        <f ca="1">$B21*('Updated Population'!G$15/'Updated Population'!$B$15)*('Total Duration Tables Sup #1'!G175/'Total Duration Tables Sup #1'!$B175)</f>
        <v>2.3130548344505377</v>
      </c>
      <c r="H21" s="4">
        <f ca="1">$B21*('Updated Population'!H$15/'Updated Population'!$B$15)*('Total Duration Tables Sup #1'!H175/'Total Duration Tables Sup #1'!$B175)</f>
        <v>2.3607366802328751</v>
      </c>
      <c r="I21" s="1">
        <f ca="1">$B21*('Updated Population'!I$15/'Updated Population'!$B$15)*('Total Duration Tables Sup #1'!I175/'Total Duration Tables Sup #1'!$B175)</f>
        <v>2.4865840401486694</v>
      </c>
      <c r="J21" s="1">
        <f ca="1">$B21*('Updated Population'!J$15/'Updated Population'!$B$15)*('Total Duration Tables Sup #1'!J175/'Total Duration Tables Sup #1'!$B175)</f>
        <v>2.6463389430146327</v>
      </c>
      <c r="K21" s="1">
        <f ca="1">$B21*('Updated Population'!K$15/'Updated Population'!$B$15)*('Total Duration Tables Sup #1'!K175/'Total Duration Tables Sup #1'!$B175)</f>
        <v>2.8124180915202341</v>
      </c>
    </row>
    <row r="22" spans="1:11" x14ac:dyDescent="0.2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5.1771028185999999</v>
      </c>
      <c r="D22" s="4">
        <f ca="1">OFFSET(Auckland_Reference,44,7)</f>
        <v>5.2380729482000001</v>
      </c>
      <c r="E22" s="4">
        <f ca="1">OFFSET(Auckland_Reference,45,7)</f>
        <v>5.4850204829999996</v>
      </c>
      <c r="F22" s="4">
        <f ca="1">OFFSET(Auckland_Reference,46,7)</f>
        <v>5.6603076628000002</v>
      </c>
      <c r="G22" s="4">
        <f ca="1">OFFSET(Auckland_Reference,47,7)</f>
        <v>5.7949239210999997</v>
      </c>
      <c r="H22" s="4">
        <f ca="1">OFFSET(Auckland_Reference,48,7)</f>
        <v>5.8869770618999997</v>
      </c>
      <c r="I22" s="1">
        <f ca="1">OFFSET(Auckland_Reference,48,7)*('Updated Population'!I15/'Updated Population'!H15)</f>
        <v>6.2008030499182292</v>
      </c>
      <c r="J22" s="1">
        <f ca="1">OFFSET(Auckland_Reference,48,7)*('Updated Population'!J15/'Updated Population'!H15)</f>
        <v>6.5991843927307672</v>
      </c>
      <c r="K22" s="1">
        <f ca="1">OFFSET(Auckland_Reference,48,7)*('Updated Population'!K15/'Updated Population'!H15)</f>
        <v>7.0133365283327409</v>
      </c>
    </row>
    <row r="23" spans="1:11" x14ac:dyDescent="0.2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26.321559500999999</v>
      </c>
      <c r="D23" s="4">
        <f ca="1">OFFSET(Auckland_Reference,51,7)</f>
        <v>25.629782864999999</v>
      </c>
      <c r="E23" s="4">
        <f ca="1">OFFSET(Auckland_Reference,52,7)</f>
        <v>25.669623771000001</v>
      </c>
      <c r="F23" s="4">
        <f ca="1">OFFSET(Auckland_Reference,53,7)</f>
        <v>25.223522669000001</v>
      </c>
      <c r="G23" s="4">
        <f ca="1">OFFSET(Auckland_Reference,54,7)</f>
        <v>24.896163360999999</v>
      </c>
      <c r="H23" s="4">
        <f ca="1">OFFSET(Auckland_Reference,55,7)</f>
        <v>24.334945995999998</v>
      </c>
      <c r="I23" s="1">
        <f ca="1">OFFSET(Auckland_Reference,55,7)*('Updated Population'!I15/'Updated Population'!H15)</f>
        <v>25.632205759417552</v>
      </c>
      <c r="J23" s="1">
        <f ca="1">OFFSET(Auckland_Reference,55,7)*('Updated Population'!J15/'Updated Population'!H15)</f>
        <v>27.278991259211598</v>
      </c>
      <c r="K23" s="1">
        <f ca="1">OFFSET(Auckland_Reference,55,7)*('Updated Population'!K15/'Updated Population'!H15)</f>
        <v>28.990968348306854</v>
      </c>
    </row>
    <row r="24" spans="1:11" x14ac:dyDescent="0.2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$B24*('Updated Population'!C$15/'Updated Population'!$B$15)*('Total Duration Tables Sup #1'!C178/'Total Duration Tables Sup #1'!$B178)</f>
        <v>1.6237411191737867</v>
      </c>
      <c r="D24" s="4">
        <f ca="1">$B24*('Updated Population'!D$15/'Updated Population'!$B$15)*('Total Duration Tables Sup #1'!D178/'Total Duration Tables Sup #1'!$B178)</f>
        <v>1.8076780216583948</v>
      </c>
      <c r="E24" s="4">
        <f ca="1">$B24*('Updated Population'!E$15/'Updated Population'!$B$15)*('Total Duration Tables Sup #1'!E178/'Total Duration Tables Sup #1'!$B178)</f>
        <v>2.0125917004505256</v>
      </c>
      <c r="F24" s="4">
        <f ca="1">$B24*('Updated Population'!F$15/'Updated Population'!$B$15)*('Total Duration Tables Sup #1'!F178/'Total Duration Tables Sup #1'!$B178)</f>
        <v>2.1804187144351688</v>
      </c>
      <c r="G24" s="4">
        <f ca="1">$B24*('Updated Population'!G$15/'Updated Population'!$B$15)*('Total Duration Tables Sup #1'!G178/'Total Duration Tables Sup #1'!$B178)</f>
        <v>2.3774119950377912</v>
      </c>
      <c r="H24" s="4">
        <f ca="1">$B24*('Updated Population'!H$15/'Updated Population'!$B$15)*('Total Duration Tables Sup #1'!H178/'Total Duration Tables Sup #1'!$B178)</f>
        <v>2.5414973751159056</v>
      </c>
      <c r="I24" s="1">
        <f ca="1">$B24*('Updated Population'!I$15/'Updated Population'!$B$15)*('Total Duration Tables Sup #1'!I178/'Total Duration Tables Sup #1'!$B178)</f>
        <v>2.6769808187245796</v>
      </c>
      <c r="J24" s="1">
        <f ca="1">$B24*('Updated Population'!J$15/'Updated Population'!$B$15)*('Total Duration Tables Sup #1'!J178/'Total Duration Tables Sup #1'!$B178)</f>
        <v>2.848968092737576</v>
      </c>
      <c r="K24" s="1">
        <f ca="1">$B24*('Updated Population'!K$15/'Updated Population'!$B$15)*('Total Duration Tables Sup #1'!K178/'Total Duration Tables Sup #1'!$B178)</f>
        <v>3.0277638574337185</v>
      </c>
    </row>
    <row r="25" spans="1:11" x14ac:dyDescent="0.2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$B25*('Updated Population'!C$15/'Updated Population'!$B$15)*('Total Duration Tables Sup #1'!C179/'Total Duration Tables Sup #1'!$B179)</f>
        <v>2.9700176913266882</v>
      </c>
      <c r="D25" s="4">
        <f ca="1">$B25*('Updated Population'!D$15/'Updated Population'!$B$15)*('Total Duration Tables Sup #1'!D179/'Total Duration Tables Sup #1'!$B179)</f>
        <v>3.293624544223809</v>
      </c>
      <c r="E25" s="4">
        <f ca="1">$B25*('Updated Population'!E$15/'Updated Population'!$B$15)*('Total Duration Tables Sup #1'!E179/'Total Duration Tables Sup #1'!$B179)</f>
        <v>3.5749154478377729</v>
      </c>
      <c r="F25" s="4">
        <f ca="1">$B25*('Updated Population'!F$15/'Updated Population'!$B$15)*('Total Duration Tables Sup #1'!F179/'Total Duration Tables Sup #1'!$B179)</f>
        <v>3.802345310294525</v>
      </c>
      <c r="G25" s="4">
        <f ca="1">$B25*('Updated Population'!G$15/'Updated Population'!$B$15)*('Total Duration Tables Sup #1'!G179/'Total Duration Tables Sup #1'!$B179)</f>
        <v>4.0245938667804673</v>
      </c>
      <c r="H25" s="4">
        <f ca="1">$B25*('Updated Population'!H$15/'Updated Population'!$B$15)*('Total Duration Tables Sup #1'!H179/'Total Duration Tables Sup #1'!$B179)</f>
        <v>4.1935166059935991</v>
      </c>
      <c r="I25" s="1">
        <f ca="1">$B25*('Updated Population'!I$15/'Updated Population'!$B$15)*('Total Duration Tables Sup #1'!I179/'Total Duration Tables Sup #1'!$B179)</f>
        <v>4.4170667367838226</v>
      </c>
      <c r="J25" s="1">
        <f ca="1">$B25*('Updated Population'!J$15/'Updated Population'!$B$15)*('Total Duration Tables Sup #1'!J179/'Total Duration Tables Sup #1'!$B179)</f>
        <v>4.7008488475405477</v>
      </c>
      <c r="K25" s="1">
        <f ca="1">$B25*('Updated Population'!K$15/'Updated Population'!$B$15)*('Total Duration Tables Sup #1'!K179/'Total Duration Tables Sup #1'!$B179)</f>
        <v>4.9958650909865616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OFFSET(Waikato_Reference,0,7)</f>
        <v>13.69170819</v>
      </c>
      <c r="C27" s="4">
        <f ca="1">$B27*('Updated Population'!C$26/'Updated Population'!$B$26)*('Total Duration Tables Sup #1'!C170/'Total Duration Tables Sup #1'!$B170)</f>
        <v>15.583632530553123</v>
      </c>
      <c r="D27" s="4">
        <f ca="1">$B27*('Updated Population'!D$26/'Updated Population'!$B$26)*('Total Duration Tables Sup #1'!D170/'Total Duration Tables Sup #1'!$B170)</f>
        <v>16.856865245788139</v>
      </c>
      <c r="E27" s="4">
        <f ca="1">$B27*('Updated Population'!E$26/'Updated Population'!$B$26)*('Total Duration Tables Sup #1'!E170/'Total Duration Tables Sup #1'!$B170)</f>
        <v>17.776492929664354</v>
      </c>
      <c r="F27" s="4">
        <f ca="1">$B27*('Updated Population'!F$26/'Updated Population'!$B$26)*('Total Duration Tables Sup #1'!F170/'Total Duration Tables Sup #1'!$B170)</f>
        <v>18.532160245187328</v>
      </c>
      <c r="G27" s="4">
        <f ca="1">$B27*('Updated Population'!G$26/'Updated Population'!$B$26)*('Total Duration Tables Sup #1'!G170/'Total Duration Tables Sup #1'!$B170)</f>
        <v>19.229217184021184</v>
      </c>
      <c r="H27" s="4">
        <f ca="1">$B27*('Updated Population'!H$26/'Updated Population'!$B$26)*('Total Duration Tables Sup #1'!H170/'Total Duration Tables Sup #1'!$B170)</f>
        <v>19.791838578810946</v>
      </c>
      <c r="I27" s="1">
        <f ca="1">$B27*('Updated Population'!I$26/'Updated Population'!$B$26)*('Total Duration Tables Sup #1'!I170/'Total Duration Tables Sup #1'!$B170)</f>
        <v>20.846912045444775</v>
      </c>
      <c r="J27" s="1">
        <f ca="1">$B27*('Updated Population'!J$26/'Updated Population'!$B$26)*('Total Duration Tables Sup #1'!J170/'Total Duration Tables Sup #1'!$B170)</f>
        <v>22.186258053905519</v>
      </c>
      <c r="K27" s="1">
        <f ca="1">$B27*('Updated Population'!K$26/'Updated Population'!$B$26)*('Total Duration Tables Sup #1'!K170/'Total Duration Tables Sup #1'!$B170)</f>
        <v>23.57862499006249</v>
      </c>
    </row>
    <row r="28" spans="1:11" x14ac:dyDescent="0.2">
      <c r="A28" t="str">
        <f ca="1">OFFSET(Waikato_Reference,7,2)</f>
        <v>Cyclist</v>
      </c>
      <c r="B28" s="4">
        <f ca="1">OFFSET(Waikato_Reference,7,7)</f>
        <v>1.7805943500000001</v>
      </c>
      <c r="C28" s="4">
        <f ca="1">$B28*('Updated Population'!C$26/'Updated Population'!$B$26)*('Total Duration Tables Sup #1'!C171/'Total Duration Tables Sup #1'!$B171)</f>
        <v>2.0338034473477862</v>
      </c>
      <c r="D28" s="4">
        <f ca="1">$B28*('Updated Population'!D$26/'Updated Population'!$B$26)*('Total Duration Tables Sup #1'!D171/'Total Duration Tables Sup #1'!$B171)</f>
        <v>2.2790110703525444</v>
      </c>
      <c r="E28" s="4">
        <f ca="1">$B28*('Updated Population'!E$26/'Updated Population'!$B$26)*('Total Duration Tables Sup #1'!E171/'Total Duration Tables Sup #1'!$B171)</f>
        <v>2.4229019183969309</v>
      </c>
      <c r="F28" s="4">
        <f ca="1">$B28*('Updated Population'!F$26/'Updated Population'!$B$26)*('Total Duration Tables Sup #1'!F171/'Total Duration Tables Sup #1'!$B171)</f>
        <v>2.5904641482065043</v>
      </c>
      <c r="G28" s="4">
        <f ca="1">$B28*('Updated Population'!G$26/'Updated Population'!$B$26)*('Total Duration Tables Sup #1'!G171/'Total Duration Tables Sup #1'!$B171)</f>
        <v>2.7924368016520167</v>
      </c>
      <c r="H28" s="4">
        <f ca="1">$B28*('Updated Population'!H$26/'Updated Population'!$B$26)*('Total Duration Tables Sup #1'!H171/'Total Duration Tables Sup #1'!$B171)</f>
        <v>2.9947191010175485</v>
      </c>
      <c r="I28" s="1">
        <f ca="1">$B28*('Updated Population'!I$26/'Updated Population'!$B$26)*('Total Duration Tables Sup #1'!I171/'Total Duration Tables Sup #1'!$B171)</f>
        <v>3.1543631204917082</v>
      </c>
      <c r="J28" s="1">
        <f ca="1">$B28*('Updated Population'!J$26/'Updated Population'!$B$26)*('Total Duration Tables Sup #1'!J171/'Total Duration Tables Sup #1'!$B171)</f>
        <v>3.3570206481608724</v>
      </c>
      <c r="K28" s="1">
        <f ca="1">$B28*('Updated Population'!K$26/'Updated Population'!$B$26)*('Total Duration Tables Sup #1'!K171/'Total Duration Tables Sup #1'!$B171)</f>
        <v>3.5677008152777709</v>
      </c>
    </row>
    <row r="29" spans="1:11" x14ac:dyDescent="0.2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$B29*('Updated Population'!C$26/'Updated Population'!$B$26)*('Total Duration Tables Sup #1'!C172/'Total Duration Tables Sup #1'!$B172)</f>
        <v>98.312550051336913</v>
      </c>
      <c r="D29" s="4">
        <f ca="1">$B29*('Updated Population'!D$26/'Updated Population'!$B$26)*('Total Duration Tables Sup #1'!D172/'Total Duration Tables Sup #1'!$B172)</f>
        <v>109.12851787202146</v>
      </c>
      <c r="E29" s="4">
        <f ca="1">$B29*('Updated Population'!E$26/'Updated Population'!$B$26)*('Total Duration Tables Sup #1'!E172/'Total Duration Tables Sup #1'!$B172)</f>
        <v>119.83648178214193</v>
      </c>
      <c r="F29" s="4">
        <f ca="1">$B29*('Updated Population'!F$26/'Updated Population'!$B$26)*('Total Duration Tables Sup #1'!F172/'Total Duration Tables Sup #1'!$B172)</f>
        <v>129.77949922842794</v>
      </c>
      <c r="G29" s="4">
        <f ca="1">$B29*('Updated Population'!G$26/'Updated Population'!$B$26)*('Total Duration Tables Sup #1'!G172/'Total Duration Tables Sup #1'!$B172)</f>
        <v>138.63603813728182</v>
      </c>
      <c r="H29" s="4">
        <f ca="1">$B29*('Updated Population'!H$26/'Updated Population'!$B$26)*('Total Duration Tables Sup #1'!H172/'Total Duration Tables Sup #1'!$B172)</f>
        <v>146.52134384525189</v>
      </c>
      <c r="I29" s="1">
        <f ca="1">$B29*('Updated Population'!I$26/'Updated Population'!$B$26)*('Total Duration Tables Sup #1'!I172/'Total Duration Tables Sup #1'!$B172)</f>
        <v>154.33217867856351</v>
      </c>
      <c r="J29" s="1">
        <f ca="1">$B29*('Updated Population'!J$26/'Updated Population'!$B$26)*('Total Duration Tables Sup #1'!J172/'Total Duration Tables Sup #1'!$B172)</f>
        <v>164.24751707686363</v>
      </c>
      <c r="K29" s="1">
        <f ca="1">$B29*('Updated Population'!K$26/'Updated Population'!$B$26)*('Total Duration Tables Sup #1'!K172/'Total Duration Tables Sup #1'!$B172)</f>
        <v>174.55537573279616</v>
      </c>
    </row>
    <row r="30" spans="1:11" x14ac:dyDescent="0.2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$B30*('Updated Population'!C$26/'Updated Population'!$B$26)*('Total Duration Tables Sup #1'!C173/'Total Duration Tables Sup #1'!$B173)</f>
        <v>47.839056307131656</v>
      </c>
      <c r="D30" s="4">
        <f ca="1">$B30*('Updated Population'!D$26/'Updated Population'!$B$26)*('Total Duration Tables Sup #1'!D173/'Total Duration Tables Sup #1'!$B173)</f>
        <v>52.32060064251128</v>
      </c>
      <c r="E30" s="4">
        <f ca="1">$B30*('Updated Population'!E$26/'Updated Population'!$B$26)*('Total Duration Tables Sup #1'!E173/'Total Duration Tables Sup #1'!$B173)</f>
        <v>56.47762238883724</v>
      </c>
      <c r="F30" s="4">
        <f ca="1">$B30*('Updated Population'!F$26/'Updated Population'!$B$26)*('Total Duration Tables Sup #1'!F173/'Total Duration Tables Sup #1'!$B173)</f>
        <v>60.277126746553733</v>
      </c>
      <c r="G30" s="4">
        <f ca="1">$B30*('Updated Population'!G$26/'Updated Population'!$B$26)*('Total Duration Tables Sup #1'!G173/'Total Duration Tables Sup #1'!$B173)</f>
        <v>63.802275347486095</v>
      </c>
      <c r="H30" s="4">
        <f ca="1">$B30*('Updated Population'!H$26/'Updated Population'!$B$26)*('Total Duration Tables Sup #1'!H173/'Total Duration Tables Sup #1'!$B173)</f>
        <v>66.956994228901891</v>
      </c>
      <c r="I30" s="1">
        <f ca="1">$B30*('Updated Population'!I$26/'Updated Population'!$B$26)*('Total Duration Tables Sup #1'!I173/'Total Duration Tables Sup #1'!$B173)</f>
        <v>70.526371966860026</v>
      </c>
      <c r="J30" s="1">
        <f ca="1">$B30*('Updated Population'!J$26/'Updated Population'!$B$26)*('Total Duration Tables Sup #1'!J173/'Total Duration Tables Sup #1'!$B173)</f>
        <v>75.057461011564456</v>
      </c>
      <c r="K30" s="1">
        <f ca="1">$B30*('Updated Population'!K$26/'Updated Population'!$B$26)*('Total Duration Tables Sup #1'!K173/'Total Duration Tables Sup #1'!$B173)</f>
        <v>79.767923080944229</v>
      </c>
    </row>
    <row r="31" spans="1:11" x14ac:dyDescent="0.2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$B31*('Updated Population'!C$26/'Updated Population'!$B$26)*('Total Duration Tables Sup #1'!C174/'Total Duration Tables Sup #1'!$B174)</f>
        <v>0.20526859037305084</v>
      </c>
      <c r="D31" s="4">
        <f ca="1">$B31*('Updated Population'!D$26/'Updated Population'!$B$26)*('Total Duration Tables Sup #1'!D174/'Total Duration Tables Sup #1'!$B174)</f>
        <v>0.24375337536750516</v>
      </c>
      <c r="E31" s="4">
        <f ca="1">$B31*('Updated Population'!E$26/'Updated Population'!$B$26)*('Total Duration Tables Sup #1'!E174/'Total Duration Tables Sup #1'!$B174)</f>
        <v>0.27904003600530647</v>
      </c>
      <c r="F31" s="4">
        <f ca="1">$B31*('Updated Population'!F$26/'Updated Population'!$B$26)*('Total Duration Tables Sup #1'!F174/'Total Duration Tables Sup #1'!$B174)</f>
        <v>0.31180548532983471</v>
      </c>
      <c r="G31" s="4">
        <f ca="1">$B31*('Updated Population'!G$26/'Updated Population'!$B$26)*('Total Duration Tables Sup #1'!G174/'Total Duration Tables Sup #1'!$B174)</f>
        <v>0.33957507746074583</v>
      </c>
      <c r="H31" s="4">
        <f ca="1">$B31*('Updated Population'!H$26/'Updated Population'!$B$26)*('Total Duration Tables Sup #1'!H174/'Total Duration Tables Sup #1'!$B174)</f>
        <v>0.36481856094690995</v>
      </c>
      <c r="I31" s="1">
        <f ca="1">$B31*('Updated Population'!I$26/'Updated Population'!$B$26)*('Total Duration Tables Sup #1'!I174/'Total Duration Tables Sup #1'!$B174)</f>
        <v>0.3842664956225042</v>
      </c>
      <c r="J31" s="1">
        <f ca="1">$B31*('Updated Population'!J$26/'Updated Population'!$B$26)*('Total Duration Tables Sup #1'!J174/'Total Duration Tables Sup #1'!$B174)</f>
        <v>0.40895436286995379</v>
      </c>
      <c r="K31" s="1">
        <f ca="1">$B31*('Updated Population'!K$26/'Updated Population'!$B$26)*('Total Duration Tables Sup #1'!K174/'Total Duration Tables Sup #1'!$B174)</f>
        <v>0.4346195530914761</v>
      </c>
    </row>
    <row r="32" spans="1:11" x14ac:dyDescent="0.2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$B32*('Updated Population'!C$26/'Updated Population'!$B$26)*('Total Duration Tables Sup #1'!C175/'Total Duration Tables Sup #1'!$B175)</f>
        <v>0.70663627389025196</v>
      </c>
      <c r="D32" s="4">
        <f ca="1">$B32*('Updated Population'!D$26/'Updated Population'!$B$26)*('Total Duration Tables Sup #1'!D175/'Total Duration Tables Sup #1'!$B175)</f>
        <v>0.7791610943838424</v>
      </c>
      <c r="E32" s="4">
        <f ca="1">$B32*('Updated Population'!E$26/'Updated Population'!$B$26)*('Total Duration Tables Sup #1'!E175/'Total Duration Tables Sup #1'!$B175)</f>
        <v>0.8382065225970512</v>
      </c>
      <c r="F32" s="4">
        <f ca="1">$B32*('Updated Population'!F$26/'Updated Population'!$B$26)*('Total Duration Tables Sup #1'!F175/'Total Duration Tables Sup #1'!$B175)</f>
        <v>0.88542999422354429</v>
      </c>
      <c r="G32" s="4">
        <f ca="1">$B32*('Updated Population'!G$26/'Updated Population'!$B$26)*('Total Duration Tables Sup #1'!G175/'Total Duration Tables Sup #1'!$B175)</f>
        <v>0.91468768424350722</v>
      </c>
      <c r="H32" s="4">
        <f ca="1">$B32*('Updated Population'!H$26/'Updated Population'!$B$26)*('Total Duration Tables Sup #1'!H175/'Total Duration Tables Sup #1'!$B175)</f>
        <v>0.9335432671071372</v>
      </c>
      <c r="I32" s="1">
        <f ca="1">$B32*('Updated Population'!I$26/'Updated Population'!$B$26)*('Total Duration Tables Sup #1'!I175/'Total Duration Tables Sup #1'!$B175)</f>
        <v>0.98330906967051757</v>
      </c>
      <c r="J32" s="1">
        <f ca="1">$B32*('Updated Population'!J$26/'Updated Population'!$B$26)*('Total Duration Tables Sup #1'!J175/'Total Duration Tables Sup #1'!$B175)</f>
        <v>1.0464834656997954</v>
      </c>
      <c r="K32" s="1">
        <f ca="1">$B32*('Updated Population'!K$26/'Updated Population'!$B$26)*('Total Duration Tables Sup #1'!K175/'Total Duration Tables Sup #1'!$B175)</f>
        <v>1.112158757735753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Duration Tables Sup #1'!C176/'Total Duration Tables Sup #1'!$B176)</f>
        <v>0</v>
      </c>
      <c r="D33" s="4">
        <f ca="1">$B33*('Updated Population'!D$26/'Updated Population'!$B$26)*('Total Duration Tables Sup #1'!D176/'Total Duration Tables Sup #1'!$B176)</f>
        <v>0</v>
      </c>
      <c r="E33" s="4">
        <f ca="1">$B33*('Updated Population'!E$26/'Updated Population'!$B$26)*('Total Duration Tables Sup #1'!E176/'Total Duration Tables Sup #1'!$B176)</f>
        <v>0</v>
      </c>
      <c r="F33" s="4">
        <f ca="1">$B33*('Updated Population'!F$26/'Updated Population'!$B$26)*('Total Duration Tables Sup #1'!F176/'Total Duration Tables Sup #1'!$B176)</f>
        <v>0</v>
      </c>
      <c r="G33" s="4">
        <f ca="1">$B33*('Updated Population'!G$26/'Updated Population'!$B$26)*('Total Duration Tables Sup #1'!G176/'Total Duration Tables Sup #1'!$B176)</f>
        <v>0</v>
      </c>
      <c r="H33" s="4">
        <f ca="1">$B33*('Updated Population'!H$26/'Updated Population'!$B$26)*('Total Duration Tables Sup #1'!H176/'Total Duration Tables Sup #1'!$B176)</f>
        <v>0</v>
      </c>
      <c r="I33" s="1">
        <f ca="1">$B33*('Updated Population'!I$26/'Updated Population'!$B$26)*('Total Duration Tables Sup #1'!I176/'Total Duration Tables Sup #1'!$B176)</f>
        <v>0</v>
      </c>
      <c r="J33" s="1">
        <f ca="1">$B33*('Updated Population'!J$26/'Updated Population'!$B$26)*('Total Duration Tables Sup #1'!J176/'Total Duration Tables Sup #1'!$B176)</f>
        <v>0</v>
      </c>
      <c r="K33" s="1">
        <f ca="1">$B33*('Updated Population'!K$26/'Updated Population'!$B$26)*('Total Duration Tables Sup #1'!K176/'Total Duration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$B34*('Updated Population'!C$26/'Updated Population'!$B$26)*('Total Duration Tables Sup #1'!C177/'Total Duration Tables Sup #1'!$B177)</f>
        <v>2.2676598595672628</v>
      </c>
      <c r="D34" s="4">
        <f ca="1">$B34*('Updated Population'!D$26/'Updated Population'!$B$26)*('Total Duration Tables Sup #1'!D177/'Total Duration Tables Sup #1'!$B177)</f>
        <v>2.4580433302213347</v>
      </c>
      <c r="E34" s="4">
        <f ca="1">$B34*('Updated Population'!E$26/'Updated Population'!$B$26)*('Total Duration Tables Sup #1'!E177/'Total Duration Tables Sup #1'!$B177)</f>
        <v>2.58969668608901</v>
      </c>
      <c r="F34" s="4">
        <f ca="1">$B34*('Updated Population'!F$26/'Updated Population'!$B$26)*('Total Duration Tables Sup #1'!F177/'Total Duration Tables Sup #1'!$B177)</f>
        <v>2.7065163947544661</v>
      </c>
      <c r="G34" s="4">
        <f ca="1">$B34*('Updated Population'!G$26/'Updated Population'!$B$26)*('Total Duration Tables Sup #1'!G177/'Total Duration Tables Sup #1'!$B177)</f>
        <v>2.8403583098578911</v>
      </c>
      <c r="H34" s="4">
        <f ca="1">$B34*('Updated Population'!H$26/'Updated Population'!$B$26)*('Total Duration Tables Sup #1'!H177/'Total Duration Tables Sup #1'!$B177)</f>
        <v>2.9713403255928106</v>
      </c>
      <c r="I34" s="1">
        <f ca="1">$B34*('Updated Population'!I$26/'Updated Population'!$B$26)*('Total Duration Tables Sup #1'!I177/'Total Duration Tables Sup #1'!$B177)</f>
        <v>3.1297380573340341</v>
      </c>
      <c r="J34" s="1">
        <f ca="1">$B34*('Updated Population'!J$26/'Updated Population'!$B$26)*('Total Duration Tables Sup #1'!J177/'Total Duration Tables Sup #1'!$B177)</f>
        <v>3.3308135051260233</v>
      </c>
      <c r="K34" s="1">
        <f ca="1">$B34*('Updated Population'!K$26/'Updated Population'!$B$26)*('Total Duration Tables Sup #1'!K177/'Total Duration Tables Sup #1'!$B177)</f>
        <v>3.5398489622893909</v>
      </c>
    </row>
    <row r="35" spans="1:11" x14ac:dyDescent="0.2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$B35*('Updated Population'!C$26/'Updated Population'!$B$26)*('Total Duration Tables Sup #1'!C178/'Total Duration Tables Sup #1'!$B178)</f>
        <v>0.12501134222316426</v>
      </c>
      <c r="D35" s="4">
        <f ca="1">$B35*('Updated Population'!D$26/'Updated Population'!$B$26)*('Total Duration Tables Sup #1'!D178/'Total Duration Tables Sup #1'!$B178)</f>
        <v>0.13917258923012088</v>
      </c>
      <c r="E35" s="4">
        <f ca="1">$B35*('Updated Population'!E$26/'Updated Population'!$B$26)*('Total Duration Tables Sup #1'!E178/'Total Duration Tables Sup #1'!$B178)</f>
        <v>0.15494883195945769</v>
      </c>
      <c r="F35" s="4">
        <f ca="1">$B35*('Updated Population'!F$26/'Updated Population'!$B$26)*('Total Duration Tables Sup #1'!F178/'Total Duration Tables Sup #1'!$B178)</f>
        <v>0.16786978347801096</v>
      </c>
      <c r="G35" s="4">
        <f ca="1">$B35*('Updated Population'!G$26/'Updated Population'!$B$26)*('Total Duration Tables Sup #1'!G178/'Total Duration Tables Sup #1'!$B178)</f>
        <v>0.18303623712402625</v>
      </c>
      <c r="H35" s="4">
        <f ca="1">$B35*('Updated Population'!H$26/'Updated Population'!$B$26)*('Total Duration Tables Sup #1'!H178/'Total Duration Tables Sup #1'!$B178)</f>
        <v>0.19566912136926887</v>
      </c>
      <c r="I35" s="1">
        <f ca="1">$B35*('Updated Population'!I$26/'Updated Population'!$B$26)*('Total Duration Tables Sup #1'!I178/'Total Duration Tables Sup #1'!$B178)</f>
        <v>0.20609995109608814</v>
      </c>
      <c r="J35" s="1">
        <f ca="1">$B35*('Updated Population'!J$26/'Updated Population'!$B$26)*('Total Duration Tables Sup #1'!J178/'Total Duration Tables Sup #1'!$B178)</f>
        <v>0.2193411997876332</v>
      </c>
      <c r="K35" s="1">
        <f ca="1">$B35*('Updated Population'!K$26/'Updated Population'!$B$26)*('Total Duration Tables Sup #1'!K178/'Total Duration Tables Sup #1'!$B178)</f>
        <v>0.23310663213675978</v>
      </c>
    </row>
    <row r="36" spans="1:11" x14ac:dyDescent="0.2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$B36*('Updated Population'!C$26/'Updated Population'!$B$26)*('Total Duration Tables Sup #1'!C179/'Total Duration Tables Sup #1'!$B179)</f>
        <v>0.77414961075338429</v>
      </c>
      <c r="D36" s="4">
        <f ca="1">$B36*('Updated Population'!D$26/'Updated Population'!$B$26)*('Total Duration Tables Sup #1'!D179/'Total Duration Tables Sup #1'!$B179)</f>
        <v>0.8584993167968954</v>
      </c>
      <c r="E36" s="4">
        <f ca="1">$B36*('Updated Population'!E$26/'Updated Population'!$B$26)*('Total Duration Tables Sup #1'!E179/'Total Duration Tables Sup #1'!$B179)</f>
        <v>0.93181916407495868</v>
      </c>
      <c r="F36" s="4">
        <f ca="1">$B36*('Updated Population'!F$26/'Updated Population'!$B$26)*('Total Duration Tables Sup #1'!F179/'Total Duration Tables Sup #1'!$B179)</f>
        <v>0.99109986802791816</v>
      </c>
      <c r="G36" s="4">
        <f ca="1">$B36*('Updated Population'!G$26/'Updated Population'!$B$26)*('Total Duration Tables Sup #1'!G179/'Total Duration Tables Sup #1'!$B179)</f>
        <v>1.0490300392846548</v>
      </c>
      <c r="H36" s="4">
        <f ca="1">$B36*('Updated Population'!H$26/'Updated Population'!$B$26)*('Total Duration Tables Sup #1'!H179/'Total Duration Tables Sup #1'!$B179)</f>
        <v>1.0930605759346996</v>
      </c>
      <c r="I36" s="1">
        <f ca="1">$B36*('Updated Population'!I$26/'Updated Population'!$B$26)*('Total Duration Tables Sup #1'!I179/'Total Duration Tables Sup #1'!$B179)</f>
        <v>1.151330008888082</v>
      </c>
      <c r="J36" s="1">
        <f ca="1">$B36*('Updated Population'!J$26/'Updated Population'!$B$26)*('Total Duration Tables Sup #1'!J179/'Total Duration Tables Sup #1'!$B179)</f>
        <v>1.2252992014698809</v>
      </c>
      <c r="K36" s="1">
        <f ca="1">$B36*('Updated Population'!K$26/'Updated Population'!$B$26)*('Total Duration Tables Sup #1'!K179/'Total Duration Tables Sup #1'!$B179)</f>
        <v>1.3021966255817345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OFFSET(BOP_Reference,0,7)</f>
        <v>9.1706746114000008</v>
      </c>
      <c r="C38" s="4">
        <f ca="1">$B38*('Updated Population'!C$37/'Updated Population'!$B$37)*('Total Duration Tables Sup #1'!C170/'Total Duration Tables Sup #1'!$B170)</f>
        <v>10.437881177288711</v>
      </c>
      <c r="D38" s="4">
        <f ca="1">$B38*('Updated Population'!D$37/'Updated Population'!$B$37)*('Total Duration Tables Sup #1'!D170/'Total Duration Tables Sup #1'!$B170)</f>
        <v>11.290689517488198</v>
      </c>
      <c r="E38" s="4">
        <f ca="1">$B38*('Updated Population'!E$37/'Updated Population'!$B$37)*('Total Duration Tables Sup #1'!E170/'Total Duration Tables Sup #1'!$B170)</f>
        <v>11.906654022094262</v>
      </c>
      <c r="F38" s="4">
        <f ca="1">$B38*('Updated Population'!F$37/'Updated Population'!$B$37)*('Total Duration Tables Sup #1'!F170/'Total Duration Tables Sup #1'!$B170)</f>
        <v>12.412798249605103</v>
      </c>
      <c r="G38" s="4">
        <f ca="1">$B38*('Updated Population'!G$37/'Updated Population'!$B$37)*('Total Duration Tables Sup #1'!G170/'Total Duration Tables Sup #1'!$B170)</f>
        <v>12.879685381798931</v>
      </c>
      <c r="H38" s="4">
        <f ca="1">$B38*('Updated Population'!H$37/'Updated Population'!$B$37)*('Total Duration Tables Sup #1'!H170/'Total Duration Tables Sup #1'!$B170)</f>
        <v>13.256527896219254</v>
      </c>
      <c r="I38" s="1">
        <f ca="1">$B38*('Updated Population'!I$37/'Updated Population'!$B$37)*('Total Duration Tables Sup #1'!I170/'Total Duration Tables Sup #1'!$B170)</f>
        <v>13.963213674162398</v>
      </c>
      <c r="J38" s="1">
        <f ca="1">$B38*('Updated Population'!J$37/'Updated Population'!$B$37)*('Total Duration Tables Sup #1'!J170/'Total Duration Tables Sup #1'!$B170)</f>
        <v>14.860304545894659</v>
      </c>
      <c r="K38" s="1">
        <f ca="1">$B38*('Updated Population'!K$37/'Updated Population'!$B$37)*('Total Duration Tables Sup #1'!K170/'Total Duration Tables Sup #1'!$B170)</f>
        <v>15.792908712881918</v>
      </c>
    </row>
    <row r="39" spans="1:11" x14ac:dyDescent="0.2">
      <c r="A39" t="str">
        <f ca="1">OFFSET(BOP_Reference,7,2)</f>
        <v>Cyclist</v>
      </c>
      <c r="B39" s="4">
        <f ca="1">OFFSET(BOP_Reference,7,7)</f>
        <v>0.91801276549999999</v>
      </c>
      <c r="C39" s="4">
        <f ca="1">$B39*('Updated Population'!C$37/'Updated Population'!$B$37)*('Total Duration Tables Sup #1'!C171/'Total Duration Tables Sup #1'!$B171)</f>
        <v>1.0485586047058806</v>
      </c>
      <c r="D39" s="4">
        <f ca="1">$B39*('Updated Population'!D$37/'Updated Population'!$B$37)*('Total Duration Tables Sup #1'!D171/'Total Duration Tables Sup #1'!$B171)</f>
        <v>1.1749791609186304</v>
      </c>
      <c r="E39" s="4">
        <f ca="1">$B39*('Updated Population'!E$37/'Updated Population'!$B$37)*('Total Duration Tables Sup #1'!E171/'Total Duration Tables Sup #1'!$B171)</f>
        <v>1.2491642976643285</v>
      </c>
      <c r="F39" s="4">
        <f ca="1">$B39*('Updated Population'!F$37/'Updated Population'!$B$37)*('Total Duration Tables Sup #1'!F171/'Total Duration Tables Sup #1'!$B171)</f>
        <v>1.3355535788505981</v>
      </c>
      <c r="G39" s="4">
        <f ca="1">$B39*('Updated Population'!G$37/'Updated Population'!$B$37)*('Total Duration Tables Sup #1'!G171/'Total Duration Tables Sup #1'!$B171)</f>
        <v>1.4396836824561097</v>
      </c>
      <c r="H39" s="4">
        <f ca="1">$B39*('Updated Population'!H$37/'Updated Population'!$B$37)*('Total Duration Tables Sup #1'!H171/'Total Duration Tables Sup #1'!$B171)</f>
        <v>1.543973428771575</v>
      </c>
      <c r="I39" s="1">
        <f ca="1">$B39*('Updated Population'!I$37/'Updated Population'!$B$37)*('Total Duration Tables Sup #1'!I171/'Total Duration Tables Sup #1'!$B171)</f>
        <v>1.6262803550027007</v>
      </c>
      <c r="J39" s="1">
        <f ca="1">$B39*('Updated Population'!J$37/'Updated Population'!$B$37)*('Total Duration Tables Sup #1'!J171/'Total Duration Tables Sup #1'!$B171)</f>
        <v>1.7307635560332788</v>
      </c>
      <c r="K39" s="1">
        <f ca="1">$B39*('Updated Population'!K$37/'Updated Population'!$B$37)*('Total Duration Tables Sup #1'!K171/'Total Duration Tables Sup #1'!$B171)</f>
        <v>1.8393829520517972</v>
      </c>
    </row>
    <row r="40" spans="1:11" x14ac:dyDescent="0.2">
      <c r="A40" t="str">
        <f ca="1">OFFSET(BOP_Reference,14,2)</f>
        <v>Light Vehicle Driver</v>
      </c>
      <c r="B40" s="4">
        <f ca="1">OFFSET(BOP_Reference,14,7)</f>
        <v>45.59682093</v>
      </c>
      <c r="C40" s="4">
        <f ca="1">$B40*('Updated Population'!C$37/'Updated Population'!$B$37)*('Total Duration Tables Sup #1'!C172/'Total Duration Tables Sup #1'!$B172)</f>
        <v>54.485130475389369</v>
      </c>
      <c r="D40" s="4">
        <f ca="1">$B40*('Updated Population'!D$37/'Updated Population'!$B$37)*('Total Duration Tables Sup #1'!D172/'Total Duration Tables Sup #1'!$B172)</f>
        <v>60.479374522765667</v>
      </c>
      <c r="E40" s="4">
        <f ca="1">$B40*('Updated Population'!E$37/'Updated Population'!$B$37)*('Total Duration Tables Sup #1'!E172/'Total Duration Tables Sup #1'!$B172)</f>
        <v>66.413762456595279</v>
      </c>
      <c r="F40" s="4">
        <f ca="1">$B40*('Updated Population'!F$37/'Updated Population'!$B$37)*('Total Duration Tables Sup #1'!F172/'Total Duration Tables Sup #1'!$B172)</f>
        <v>71.924214607384542</v>
      </c>
      <c r="G40" s="4">
        <f ca="1">$B40*('Updated Population'!G$37/'Updated Population'!$B$37)*('Total Duration Tables Sup #1'!G172/'Total Duration Tables Sup #1'!$B172)</f>
        <v>76.832536868960403</v>
      </c>
      <c r="H40" s="4">
        <f ca="1">$B40*('Updated Population'!H$37/'Updated Population'!$B$37)*('Total Duration Tables Sup #1'!H172/'Total Duration Tables Sup #1'!$B172)</f>
        <v>81.202598576369425</v>
      </c>
      <c r="I40" s="1">
        <f ca="1">$B40*('Updated Population'!I$37/'Updated Population'!$B$37)*('Total Duration Tables Sup #1'!I172/'Total Duration Tables Sup #1'!$B172)</f>
        <v>85.531388286253602</v>
      </c>
      <c r="J40" s="1">
        <f ca="1">$B40*('Updated Population'!J$37/'Updated Population'!$B$37)*('Total Duration Tables Sup #1'!J172/'Total Duration Tables Sup #1'!$B172)</f>
        <v>91.026500619896851</v>
      </c>
      <c r="K40" s="1">
        <f ca="1">$B40*('Updated Population'!K$37/'Updated Population'!$B$37)*('Total Duration Tables Sup #1'!K172/'Total Duration Tables Sup #1'!$B172)</f>
        <v>96.739148938927173</v>
      </c>
    </row>
    <row r="41" spans="1:11" x14ac:dyDescent="0.2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$B41*('Updated Population'!C$37/'Updated Population'!$B$37)*('Total Duration Tables Sup #1'!C173/'Total Duration Tables Sup #1'!$B173)</f>
        <v>32.883650053681841</v>
      </c>
      <c r="D41" s="4">
        <f ca="1">$B41*('Updated Population'!D$37/'Updated Population'!$B$37)*('Total Duration Tables Sup #1'!D173/'Total Duration Tables Sup #1'!$B173)</f>
        <v>35.964177702023299</v>
      </c>
      <c r="E41" s="4">
        <f ca="1">$B41*('Updated Population'!E$37/'Updated Population'!$B$37)*('Total Duration Tables Sup #1'!E173/'Total Duration Tables Sup #1'!$B173)</f>
        <v>38.821634744948909</v>
      </c>
      <c r="F41" s="4">
        <f ca="1">$B41*('Updated Population'!F$37/'Updated Population'!$B$37)*('Total Duration Tables Sup #1'!F173/'Total Duration Tables Sup #1'!$B173)</f>
        <v>41.433341189876487</v>
      </c>
      <c r="G41" s="4">
        <f ca="1">$B41*('Updated Population'!G$37/'Updated Population'!$B$37)*('Total Duration Tables Sup #1'!G173/'Total Duration Tables Sup #1'!$B173)</f>
        <v>43.856460748006342</v>
      </c>
      <c r="H41" s="4">
        <f ca="1">$B41*('Updated Population'!H$37/'Updated Population'!$B$37)*('Total Duration Tables Sup #1'!H173/'Total Duration Tables Sup #1'!$B173)</f>
        <v>46.024954019449794</v>
      </c>
      <c r="I41" s="1">
        <f ca="1">$B41*('Updated Population'!I$37/'Updated Population'!$B$37)*('Total Duration Tables Sup #1'!I173/'Total Duration Tables Sup #1'!$B173)</f>
        <v>48.478475838334838</v>
      </c>
      <c r="J41" s="1">
        <f ca="1">$B41*('Updated Population'!J$37/'Updated Population'!$B$37)*('Total Duration Tables Sup #1'!J173/'Total Duration Tables Sup #1'!$B173)</f>
        <v>51.593059569910658</v>
      </c>
      <c r="K41" s="1">
        <f ca="1">$B41*('Updated Population'!K$37/'Updated Population'!$B$37)*('Total Duration Tables Sup #1'!K173/'Total Duration Tables Sup #1'!$B173)</f>
        <v>54.830940879403272</v>
      </c>
    </row>
    <row r="42" spans="1:11" x14ac:dyDescent="0.2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$B42*('Updated Population'!C$37/'Updated Population'!$B$37)*('Total Duration Tables Sup #1'!C174/'Total Duration Tables Sup #1'!$B174)</f>
        <v>9.1775898362275649E-2</v>
      </c>
      <c r="D42" s="4">
        <f ca="1">$B42*('Updated Population'!D$37/'Updated Population'!$B$37)*('Total Duration Tables Sup #1'!D174/'Total Duration Tables Sup #1'!$B174)</f>
        <v>0.10898250415484299</v>
      </c>
      <c r="E42" s="4">
        <f ca="1">$B42*('Updated Population'!E$37/'Updated Population'!$B$37)*('Total Duration Tables Sup #1'!E174/'Total Duration Tables Sup #1'!$B174)</f>
        <v>0.12475922369266146</v>
      </c>
      <c r="F42" s="4">
        <f ca="1">$B42*('Updated Population'!F$37/'Updated Population'!$B$37)*('Total Duration Tables Sup #1'!F174/'Total Duration Tables Sup #1'!$B174)</f>
        <v>0.13940870582500914</v>
      </c>
      <c r="G42" s="4">
        <f ca="1">$B42*('Updated Population'!G$37/'Updated Population'!$B$37)*('Total Duration Tables Sup #1'!G174/'Total Duration Tables Sup #1'!$B174)</f>
        <v>0.15182453262216603</v>
      </c>
      <c r="H42" s="4">
        <f ca="1">$B42*('Updated Population'!H$37/'Updated Population'!$B$37)*('Total Duration Tables Sup #1'!H174/'Total Duration Tables Sup #1'!$B174)</f>
        <v>0.1631109324095158</v>
      </c>
      <c r="I42" s="1">
        <f ca="1">$B42*('Updated Population'!I$37/'Updated Population'!$B$37)*('Total Duration Tables Sup #1'!I174/'Total Duration Tables Sup #1'!$B174)</f>
        <v>0.17180613352576918</v>
      </c>
      <c r="J42" s="1">
        <f ca="1">$B42*('Updated Population'!J$37/'Updated Population'!$B$37)*('Total Duration Tables Sup #1'!J174/'Total Duration Tables Sup #1'!$B174)</f>
        <v>0.18284411644934048</v>
      </c>
      <c r="K42" s="1">
        <f ca="1">$B42*('Updated Population'!K$37/'Updated Population'!$B$37)*('Total Duration Tables Sup #1'!K174/'Total Duration Tables Sup #1'!$B174)</f>
        <v>0.19431906195823767</v>
      </c>
    </row>
    <row r="43" spans="1:11" x14ac:dyDescent="0.2">
      <c r="A43" t="str">
        <f ca="1">OFFSET(BOP_Reference,35,2)</f>
        <v>Motorcyclist</v>
      </c>
      <c r="B43" s="4">
        <f ca="1">OFFSET(BOP_Reference,35,7)</f>
        <v>0.60409197079999999</v>
      </c>
      <c r="C43" s="4">
        <f ca="1">$B43*('Updated Population'!C$37/'Updated Population'!$B$37)*('Total Duration Tables Sup #1'!C175/'Total Duration Tables Sup #1'!$B175)</f>
        <v>0.70395521474067158</v>
      </c>
      <c r="D43" s="4">
        <f ca="1">$B43*('Updated Population'!D$37/'Updated Population'!$B$37)*('Total Duration Tables Sup #1'!D175/'Total Duration Tables Sup #1'!$B175)</f>
        <v>0.77620486773898822</v>
      </c>
      <c r="E43" s="4">
        <f ca="1">$B43*('Updated Population'!E$37/'Updated Population'!$B$37)*('Total Duration Tables Sup #1'!E175/'Total Duration Tables Sup #1'!$B175)</f>
        <v>0.83502627081875658</v>
      </c>
      <c r="F43" s="4">
        <f ca="1">$B43*('Updated Population'!F$37/'Updated Population'!$B$37)*('Total Duration Tables Sup #1'!F175/'Total Duration Tables Sup #1'!$B175)</f>
        <v>0.88207057117233723</v>
      </c>
      <c r="G43" s="4">
        <f ca="1">$B43*('Updated Population'!G$37/'Updated Population'!$B$37)*('Total Duration Tables Sup #1'!G175/'Total Duration Tables Sup #1'!$B175)</f>
        <v>0.91121725415739152</v>
      </c>
      <c r="H43" s="4">
        <f ca="1">$B43*('Updated Population'!H$37/'Updated Population'!$B$37)*('Total Duration Tables Sup #1'!H175/'Total Duration Tables Sup #1'!$B175)</f>
        <v>0.93000129677489329</v>
      </c>
      <c r="I43" s="1">
        <f ca="1">$B43*('Updated Population'!I$37/'Updated Population'!$B$37)*('Total Duration Tables Sup #1'!I175/'Total Duration Tables Sup #1'!$B175)</f>
        <v>0.97957828216991016</v>
      </c>
      <c r="J43" s="1">
        <f ca="1">$B43*('Updated Population'!J$37/'Updated Population'!$B$37)*('Total Duration Tables Sup #1'!J175/'Total Duration Tables Sup #1'!$B175)</f>
        <v>1.0425129872878216</v>
      </c>
      <c r="K43" s="1">
        <f ca="1">$B43*('Updated Population'!K$37/'Updated Population'!$B$37)*('Total Duration Tables Sup #1'!K175/'Total Duration Tables Sup #1'!$B175)</f>
        <v>1.1079390997258438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Duration Tables Sup #1'!C176/'Total Duration Tables Sup #1'!$B176)</f>
        <v>0</v>
      </c>
      <c r="D44" s="4">
        <f ca="1">$B44*('Updated Population'!D$37/'Updated Population'!$B$37)*('Total Duration Tables Sup #1'!D176/'Total Duration Tables Sup #1'!$B176)</f>
        <v>0</v>
      </c>
      <c r="E44" s="4">
        <f ca="1">$B44*('Updated Population'!E$37/'Updated Population'!$B$37)*('Total Duration Tables Sup #1'!E176/'Total Duration Tables Sup #1'!$B176)</f>
        <v>0</v>
      </c>
      <c r="F44" s="4">
        <f ca="1">$B44*('Updated Population'!F$37/'Updated Population'!$B$37)*('Total Duration Tables Sup #1'!F176/'Total Duration Tables Sup #1'!$B176)</f>
        <v>0</v>
      </c>
      <c r="G44" s="4">
        <f ca="1">$B44*('Updated Population'!G$37/'Updated Population'!$B$37)*('Total Duration Tables Sup #1'!G176/'Total Duration Tables Sup #1'!$B176)</f>
        <v>0</v>
      </c>
      <c r="H44" s="4">
        <f ca="1">$B44*('Updated Population'!H$37/'Updated Population'!$B$37)*('Total Duration Tables Sup #1'!H176/'Total Duration Tables Sup #1'!$B176)</f>
        <v>0</v>
      </c>
      <c r="I44" s="1">
        <f ca="1">$B44*('Updated Population'!I$37/'Updated Population'!$B$37)*('Total Duration Tables Sup #1'!I176/'Total Duration Tables Sup #1'!$B176)</f>
        <v>0</v>
      </c>
      <c r="J44" s="1">
        <f ca="1">$B44*('Updated Population'!J$37/'Updated Population'!$B$37)*('Total Duration Tables Sup #1'!J176/'Total Duration Tables Sup #1'!$B176)</f>
        <v>0</v>
      </c>
      <c r="K44" s="1">
        <f ca="1">$B44*('Updated Population'!K$37/'Updated Population'!$B$37)*('Total Duration Tables Sup #1'!K176/'Total Duration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OFFSET(BOP_Reference,42,7)</f>
        <v>2.9412276716000001</v>
      </c>
      <c r="C45" s="4">
        <f ca="1">$B45*('Updated Population'!C$37/'Updated Population'!$B$37)*('Total Duration Tables Sup #1'!C177/'Total Duration Tables Sup #1'!$B177)</f>
        <v>3.0194938525255357</v>
      </c>
      <c r="D45" s="4">
        <f ca="1">$B45*('Updated Population'!D$37/'Updated Population'!$B$37)*('Total Duration Tables Sup #1'!D177/'Total Duration Tables Sup #1'!$B177)</f>
        <v>3.2729982380431006</v>
      </c>
      <c r="E45" s="4">
        <f ca="1">$B45*('Updated Population'!E$37/'Updated Population'!$B$37)*('Total Duration Tables Sup #1'!E177/'Total Duration Tables Sup #1'!$B177)</f>
        <v>3.4483007628153386</v>
      </c>
      <c r="F45" s="4">
        <f ca="1">$B45*('Updated Population'!F$37/'Updated Population'!$B$37)*('Total Duration Tables Sup #1'!F177/'Total Duration Tables Sup #1'!$B177)</f>
        <v>3.6038516011304309</v>
      </c>
      <c r="G45" s="4">
        <f ca="1">$B45*('Updated Population'!G$37/'Updated Population'!$B$37)*('Total Duration Tables Sup #1'!G177/'Total Duration Tables Sup #1'!$B177)</f>
        <v>3.7820682936207048</v>
      </c>
      <c r="H45" s="4">
        <f ca="1">$B45*('Updated Population'!H$37/'Updated Population'!$B$37)*('Total Duration Tables Sup #1'!H177/'Total Duration Tables Sup #1'!$B177)</f>
        <v>3.9564768979951128</v>
      </c>
      <c r="I45" s="1">
        <f ca="1">$B45*('Updated Population'!I$37/'Updated Population'!$B$37)*('Total Duration Tables Sup #1'!I177/'Total Duration Tables Sup #1'!$B177)</f>
        <v>4.1673907946400366</v>
      </c>
      <c r="J45" s="1">
        <f ca="1">$B45*('Updated Population'!J$37/'Updated Population'!$B$37)*('Total Duration Tables Sup #1'!J177/'Total Duration Tables Sup #1'!$B177)</f>
        <v>4.4351320416088802</v>
      </c>
      <c r="K45" s="1">
        <f ca="1">$B45*('Updated Population'!K$37/'Updated Population'!$B$37)*('Total Duration Tables Sup #1'!K177/'Total Duration Tables Sup #1'!$B177)</f>
        <v>4.713472408750671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Duration Tables Sup #1'!C178/'Total Duration Tables Sup #1'!$B178)</f>
        <v>0</v>
      </c>
      <c r="D46" s="4">
        <f ca="1">$B46*('Updated Population'!D$37/'Updated Population'!$B$37)*('Total Duration Tables Sup #1'!D178/'Total Duration Tables Sup #1'!$B178)</f>
        <v>0</v>
      </c>
      <c r="E46" s="4">
        <f ca="1">$B46*('Updated Population'!E$37/'Updated Population'!$B$37)*('Total Duration Tables Sup #1'!E178/'Total Duration Tables Sup #1'!$B178)</f>
        <v>0</v>
      </c>
      <c r="F46" s="4">
        <f ca="1">$B46*('Updated Population'!F$37/'Updated Population'!$B$37)*('Total Duration Tables Sup #1'!F178/'Total Duration Tables Sup #1'!$B178)</f>
        <v>0</v>
      </c>
      <c r="G46" s="4">
        <f ca="1">$B46*('Updated Population'!G$37/'Updated Population'!$B$37)*('Total Duration Tables Sup #1'!G178/'Total Duration Tables Sup #1'!$B178)</f>
        <v>0</v>
      </c>
      <c r="H46" s="4">
        <f ca="1">$B46*('Updated Population'!H$37/'Updated Population'!$B$37)*('Total Duration Tables Sup #1'!H178/'Total Duration Tables Sup #1'!$B178)</f>
        <v>0</v>
      </c>
      <c r="I46" s="1">
        <f ca="1">$B46*('Updated Population'!I$37/'Updated Population'!$B$37)*('Total Duration Tables Sup #1'!I178/'Total Duration Tables Sup #1'!$B178)</f>
        <v>0</v>
      </c>
      <c r="J46" s="1">
        <f ca="1">$B46*('Updated Population'!J$37/'Updated Population'!$B$37)*('Total Duration Tables Sup #1'!J178/'Total Duration Tables Sup #1'!$B178)</f>
        <v>0</v>
      </c>
      <c r="K46" s="1">
        <f ca="1">$B46*('Updated Population'!K$37/'Updated Population'!$B$37)*('Total Duration Tables Sup #1'!K178/'Total Duration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$B47*('Updated Population'!C$37/'Updated Population'!$B$37)*('Total Duration Tables Sup #1'!C179/'Total Duration Tables Sup #1'!$B179)</f>
        <v>0.25981689519185641</v>
      </c>
      <c r="D47" s="4">
        <f ca="1">$B47*('Updated Population'!D$37/'Updated Population'!$B$37)*('Total Duration Tables Sup #1'!D179/'Total Duration Tables Sup #1'!$B179)</f>
        <v>0.2881259951773788</v>
      </c>
      <c r="E47" s="4">
        <f ca="1">$B47*('Updated Population'!E$37/'Updated Population'!$B$37)*('Total Duration Tables Sup #1'!E179/'Total Duration Tables Sup #1'!$B179)</f>
        <v>0.31273329951637957</v>
      </c>
      <c r="F47" s="4">
        <f ca="1">$B47*('Updated Population'!F$37/'Updated Population'!$B$37)*('Total Duration Tables Sup #1'!F179/'Total Duration Tables Sup #1'!$B179)</f>
        <v>0.3326288445530251</v>
      </c>
      <c r="G47" s="4">
        <f ca="1">$B47*('Updated Population'!G$37/'Updated Population'!$B$37)*('Total Duration Tables Sup #1'!G179/'Total Duration Tables Sup #1'!$B179)</f>
        <v>0.35207112938374452</v>
      </c>
      <c r="H47" s="4">
        <f ca="1">$B47*('Updated Population'!H$37/'Updated Population'!$B$37)*('Total Duration Tables Sup #1'!H179/'Total Duration Tables Sup #1'!$B179)</f>
        <v>0.36684847625202344</v>
      </c>
      <c r="I47" s="1">
        <f ca="1">$B47*('Updated Population'!I$37/'Updated Population'!$B$37)*('Total Duration Tables Sup #1'!I179/'Total Duration Tables Sup #1'!$B179)</f>
        <v>0.3864046226922504</v>
      </c>
      <c r="J47" s="1">
        <f ca="1">$B47*('Updated Population'!J$37/'Updated Population'!$B$37)*('Total Duration Tables Sup #1'!J179/'Total Duration Tables Sup #1'!$B179)</f>
        <v>0.4112298576203523</v>
      </c>
      <c r="K47" s="1">
        <f ca="1">$B47*('Updated Population'!K$37/'Updated Population'!$B$37)*('Total Duration Tables Sup #1'!K179/'Total Duration Tables Sup #1'!$B179)</f>
        <v>0.43703785352123498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$B49*('Updated Population'!C$48/'Updated Population'!$B$48)*('Total Duration Tables Sup #1'!C170/'Total Duration Tables Sup #1'!$B170)</f>
        <v>2.2712324969185538</v>
      </c>
      <c r="D49" s="4">
        <f ca="1">$B49*('Updated Population'!D$48/'Updated Population'!$B$48)*('Total Duration Tables Sup #1'!D170/'Total Duration Tables Sup #1'!$B170)</f>
        <v>2.2265430736954381</v>
      </c>
      <c r="E49" s="4">
        <f ca="1">$B49*('Updated Population'!E$48/'Updated Population'!$B$48)*('Total Duration Tables Sup #1'!E170/'Total Duration Tables Sup #1'!$B170)</f>
        <v>2.156991462162098</v>
      </c>
      <c r="F49" s="4">
        <f ca="1">$B49*('Updated Population'!F$48/'Updated Population'!$B$48)*('Total Duration Tables Sup #1'!F170/'Total Duration Tables Sup #1'!$B170)</f>
        <v>2.0731905533879522</v>
      </c>
      <c r="G49" s="4">
        <f ca="1">$B49*('Updated Population'!G$48/'Updated Population'!$B$48)*('Total Duration Tables Sup #1'!G170/'Total Duration Tables Sup #1'!$B170)</f>
        <v>1.9853637402517934</v>
      </c>
      <c r="H49" s="4">
        <f ca="1">$B49*('Updated Population'!H$48/'Updated Population'!$B$48)*('Total Duration Tables Sup #1'!H170/'Total Duration Tables Sup #1'!$B170)</f>
        <v>1.8906000088638666</v>
      </c>
      <c r="I49" s="1">
        <f ca="1">$B49*('Updated Population'!I$48/'Updated Population'!$B$48)*('Total Duration Tables Sup #1'!I170/'Total Duration Tables Sup #1'!$B170)</f>
        <v>1.8728557882065584</v>
      </c>
      <c r="J49" s="1">
        <f ca="1">$B49*('Updated Population'!J$48/'Updated Population'!$B$48)*('Total Duration Tables Sup #1'!J170/'Total Duration Tables Sup #1'!$B170)</f>
        <v>1.849372435994969</v>
      </c>
      <c r="K49" s="1">
        <f ca="1">$B49*('Updated Population'!K$48/'Updated Population'!$B$48)*('Total Duration Tables Sup #1'!K170/'Total Duration Tables Sup #1'!$B170)</f>
        <v>1.8222589503281157</v>
      </c>
    </row>
    <row r="50" spans="1:11" x14ac:dyDescent="0.2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$B50*('Updated Population'!C$48/'Updated Population'!$B$48)*('Total Duration Tables Sup #1'!C171/'Total Duration Tables Sup #1'!$B171)</f>
        <v>0.28168670425582365</v>
      </c>
      <c r="D50" s="4">
        <f ca="1">$B50*('Updated Population'!D$48/'Updated Population'!$B$48)*('Total Duration Tables Sup #1'!D171/'Total Duration Tables Sup #1'!$B171)</f>
        <v>0.28606530988949108</v>
      </c>
      <c r="E50" s="4">
        <f ca="1">$B50*('Updated Population'!E$48/'Updated Population'!$B$48)*('Total Duration Tables Sup #1'!E171/'Total Duration Tables Sup #1'!$B171)</f>
        <v>0.27938472000452325</v>
      </c>
      <c r="F50" s="4">
        <f ca="1">$B50*('Updated Population'!F$48/'Updated Population'!$B$48)*('Total Duration Tables Sup #1'!F171/'Total Duration Tables Sup #1'!$B171)</f>
        <v>0.2753944826873706</v>
      </c>
      <c r="G50" s="4">
        <f ca="1">$B50*('Updated Population'!G$48/'Updated Population'!$B$48)*('Total Duration Tables Sup #1'!G171/'Total Duration Tables Sup #1'!$B171)</f>
        <v>0.27398469847377482</v>
      </c>
      <c r="H50" s="4">
        <f ca="1">$B50*('Updated Population'!H$48/'Updated Population'!$B$48)*('Total Duration Tables Sup #1'!H171/'Total Duration Tables Sup #1'!$B171)</f>
        <v>0.27185297044670986</v>
      </c>
      <c r="I50" s="1">
        <f ca="1">$B50*('Updated Population'!I$48/'Updated Population'!$B$48)*('Total Duration Tables Sup #1'!I171/'Total Duration Tables Sup #1'!$B171)</f>
        <v>0.26930149521591795</v>
      </c>
      <c r="J50" s="1">
        <f ca="1">$B50*('Updated Population'!J$48/'Updated Population'!$B$48)*('Total Duration Tables Sup #1'!J171/'Total Duration Tables Sup #1'!$B171)</f>
        <v>0.26592477934538156</v>
      </c>
      <c r="K50" s="1">
        <f ca="1">$B50*('Updated Population'!K$48/'Updated Population'!$B$48)*('Total Duration Tables Sup #1'!K171/'Total Duration Tables Sup #1'!$B171)</f>
        <v>0.26202607968223718</v>
      </c>
    </row>
    <row r="51" spans="1:11" x14ac:dyDescent="0.2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$B51*('Updated Population'!C$48/'Updated Population'!$B$48)*('Total Duration Tables Sup #1'!C172/'Total Duration Tables Sup #1'!$B172)</f>
        <v>6.3234352579023749</v>
      </c>
      <c r="D51" s="4">
        <f ca="1">$B51*('Updated Population'!D$48/'Updated Population'!$B$48)*('Total Duration Tables Sup #1'!D172/'Total Duration Tables Sup #1'!$B172)</f>
        <v>6.3612690387117077</v>
      </c>
      <c r="E51" s="4">
        <f ca="1">$B51*('Updated Population'!E$48/'Updated Population'!$B$48)*('Total Duration Tables Sup #1'!E172/'Total Duration Tables Sup #1'!$B172)</f>
        <v>6.4171562299497324</v>
      </c>
      <c r="F51" s="4">
        <f ca="1">$B51*('Updated Population'!F$48/'Updated Population'!$B$48)*('Total Duration Tables Sup #1'!F172/'Total Duration Tables Sup #1'!$B172)</f>
        <v>6.4072325823826448</v>
      </c>
      <c r="G51" s="4">
        <f ca="1">$B51*('Updated Population'!G$48/'Updated Population'!$B$48)*('Total Duration Tables Sup #1'!G172/'Total Duration Tables Sup #1'!$B172)</f>
        <v>6.3169267482404701</v>
      </c>
      <c r="H51" s="4">
        <f ca="1">$B51*('Updated Population'!H$48/'Updated Population'!$B$48)*('Total Duration Tables Sup #1'!H172/'Total Duration Tables Sup #1'!$B172)</f>
        <v>6.1768297226505355</v>
      </c>
      <c r="I51" s="1">
        <f ca="1">$B51*('Updated Population'!I$48/'Updated Population'!$B$48)*('Total Duration Tables Sup #1'!I172/'Total Duration Tables Sup #1'!$B172)</f>
        <v>6.1188571059957857</v>
      </c>
      <c r="J51" s="1">
        <f ca="1">$B51*('Updated Population'!J$48/'Updated Population'!$B$48)*('Total Duration Tables Sup #1'!J172/'Total Duration Tables Sup #1'!$B172)</f>
        <v>6.042134019542833</v>
      </c>
      <c r="K51" s="1">
        <f ca="1">$B51*('Updated Population'!K$48/'Updated Population'!$B$48)*('Total Duration Tables Sup #1'!K172/'Total Duration Tables Sup #1'!$B172)</f>
        <v>5.953550827240659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$B52*('Updated Population'!C$48/'Updated Population'!$B$48)*('Total Duration Tables Sup #1'!C173/'Total Duration Tables Sup #1'!$B173)</f>
        <v>4.5939856971770752</v>
      </c>
      <c r="D52" s="4">
        <f ca="1">$B52*('Updated Population'!D$48/'Updated Population'!$B$48)*('Total Duration Tables Sup #1'!D173/'Total Duration Tables Sup #1'!$B173)</f>
        <v>4.5534560305844574</v>
      </c>
      <c r="E52" s="4">
        <f ca="1">$B52*('Updated Population'!E$48/'Updated Population'!$B$48)*('Total Duration Tables Sup #1'!E173/'Total Duration Tables Sup #1'!$B173)</f>
        <v>4.5153652573706724</v>
      </c>
      <c r="F52" s="4">
        <f ca="1">$B52*('Updated Population'!F$48/'Updated Population'!$B$48)*('Total Duration Tables Sup #1'!F173/'Total Duration Tables Sup #1'!$B173)</f>
        <v>4.4430362537313126</v>
      </c>
      <c r="G52" s="4">
        <f ca="1">$B52*('Updated Population'!G$48/'Updated Population'!$B$48)*('Total Duration Tables Sup #1'!G173/'Total Duration Tables Sup #1'!$B173)</f>
        <v>4.3403903410528999</v>
      </c>
      <c r="H52" s="4">
        <f ca="1">$B52*('Updated Population'!H$48/'Updated Population'!$B$48)*('Total Duration Tables Sup #1'!H173/'Total Duration Tables Sup #1'!$B173)</f>
        <v>4.2142821137095687</v>
      </c>
      <c r="I52" s="1">
        <f ca="1">$B52*('Updated Population'!I$48/'Updated Population'!$B$48)*('Total Duration Tables Sup #1'!I173/'Total Duration Tables Sup #1'!$B173)</f>
        <v>4.1747289816947495</v>
      </c>
      <c r="J52" s="1">
        <f ca="1">$B52*('Updated Population'!J$48/'Updated Population'!$B$48)*('Total Duration Tables Sup #1'!J173/'Total Duration Tables Sup #1'!$B173)</f>
        <v>4.1223829165666137</v>
      </c>
      <c r="K52" s="1">
        <f ca="1">$B52*('Updated Population'!K$48/'Updated Population'!$B$48)*('Total Duration Tables Sup #1'!K173/'Total Duration Tables Sup #1'!$B173)</f>
        <v>4.0619450253413802</v>
      </c>
    </row>
    <row r="53" spans="1:11" x14ac:dyDescent="0.2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$B53*('Updated Population'!C$48/'Updated Population'!$B$48)*('Total Duration Tables Sup #1'!C174/'Total Duration Tables Sup #1'!$B174)</f>
        <v>5.5827305421711874E-3</v>
      </c>
      <c r="D53" s="4">
        <f ca="1">$B53*('Updated Population'!D$48/'Updated Population'!$B$48)*('Total Duration Tables Sup #1'!D174/'Total Duration Tables Sup #1'!$B174)</f>
        <v>6.0080867724846884E-3</v>
      </c>
      <c r="E53" s="4">
        <f ca="1">$B53*('Updated Population'!E$48/'Updated Population'!$B$48)*('Total Duration Tables Sup #1'!E174/'Total Duration Tables Sup #1'!$B174)</f>
        <v>6.3182983999987225E-3</v>
      </c>
      <c r="F53" s="4">
        <f ca="1">$B53*('Updated Population'!F$48/'Updated Population'!$B$48)*('Total Duration Tables Sup #1'!F174/'Total Duration Tables Sup #1'!$B174)</f>
        <v>6.50920871894182E-3</v>
      </c>
      <c r="G53" s="4">
        <f ca="1">$B53*('Updated Population'!G$48/'Updated Population'!$B$48)*('Total Duration Tables Sup #1'!G174/'Total Duration Tables Sup #1'!$B174)</f>
        <v>6.542527573576329E-3</v>
      </c>
      <c r="H53" s="4">
        <f ca="1">$B53*('Updated Population'!H$48/'Updated Population'!$B$48)*('Total Duration Tables Sup #1'!H174/'Total Duration Tables Sup #1'!$B174)</f>
        <v>6.5031191802489216E-3</v>
      </c>
      <c r="I53" s="1">
        <f ca="1">$B53*('Updated Population'!I$48/'Updated Population'!$B$48)*('Total Duration Tables Sup #1'!I174/'Total Duration Tables Sup #1'!$B174)</f>
        <v>6.4420841748780841E-3</v>
      </c>
      <c r="J53" s="1">
        <f ca="1">$B53*('Updated Population'!J$48/'Updated Population'!$B$48)*('Total Duration Tables Sup #1'!J174/'Total Duration Tables Sup #1'!$B174)</f>
        <v>6.3613082109154583E-3</v>
      </c>
      <c r="K53" s="1">
        <f ca="1">$B53*('Updated Population'!K$48/'Updated Population'!$B$48)*('Total Duration Tables Sup #1'!K174/'Total Duration Tables Sup #1'!$B174)</f>
        <v>6.2680456340314791E-3</v>
      </c>
    </row>
    <row r="54" spans="1:11" x14ac:dyDescent="0.2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$B54*('Updated Population'!C$48/'Updated Population'!$B$48)*('Total Duration Tables Sup #1'!C175/'Total Duration Tables Sup #1'!$B175)</f>
        <v>4.7562806123257993E-2</v>
      </c>
      <c r="D54" s="4">
        <f ca="1">$B54*('Updated Population'!D$48/'Updated Population'!$B$48)*('Total Duration Tables Sup #1'!D175/'Total Duration Tables Sup #1'!$B175)</f>
        <v>4.7529165843273886E-2</v>
      </c>
      <c r="E54" s="4">
        <f ca="1">$B54*('Updated Population'!E$48/'Updated Population'!$B$48)*('Total Duration Tables Sup #1'!E175/'Total Duration Tables Sup #1'!$B175)</f>
        <v>4.6971239953373801E-2</v>
      </c>
      <c r="F54" s="4">
        <f ca="1">$B54*('Updated Population'!F$48/'Updated Population'!$B$48)*('Total Duration Tables Sup #1'!F175/'Total Duration Tables Sup #1'!$B175)</f>
        <v>4.5745254853387797E-2</v>
      </c>
      <c r="G54" s="4">
        <f ca="1">$B54*('Updated Population'!G$48/'Updated Population'!$B$48)*('Total Duration Tables Sup #1'!G175/'Total Duration Tables Sup #1'!$B175)</f>
        <v>4.3614405806501624E-2</v>
      </c>
      <c r="H54" s="4">
        <f ca="1">$B54*('Updated Population'!H$48/'Updated Population'!$B$48)*('Total Duration Tables Sup #1'!H175/'Total Duration Tables Sup #1'!$B175)</f>
        <v>4.1183818731868771E-2</v>
      </c>
      <c r="I54" s="1">
        <f ca="1">$B54*('Updated Population'!I$48/'Updated Population'!$B$48)*('Total Duration Tables Sup #1'!I175/'Total Duration Tables Sup #1'!$B175)</f>
        <v>4.0797288125890396E-2</v>
      </c>
      <c r="J54" s="1">
        <f ca="1">$B54*('Updated Population'!J$48/'Updated Population'!$B$48)*('Total Duration Tables Sup #1'!J175/'Total Duration Tables Sup #1'!$B175)</f>
        <v>4.0285739349753491E-2</v>
      </c>
      <c r="K54" s="1">
        <f ca="1">$B54*('Updated Population'!K$48/'Updated Population'!$B$48)*('Total Duration Tables Sup #1'!K175/'Total Duration Tables Sup #1'!$B175)</f>
        <v>3.9695113689297776E-2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Duration Tables Sup #1'!C176/'Total Duration Tables Sup #1'!$B176)</f>
        <v>0</v>
      </c>
      <c r="D55" s="4">
        <f ca="1">$B55*('Updated Population'!D$48/'Updated Population'!$B$48)*('Total Duration Tables Sup #1'!D176/'Total Duration Tables Sup #1'!$B176)</f>
        <v>0</v>
      </c>
      <c r="E55" s="4">
        <f ca="1">$B55*('Updated Population'!E$48/'Updated Population'!$B$48)*('Total Duration Tables Sup #1'!E176/'Total Duration Tables Sup #1'!$B176)</f>
        <v>0</v>
      </c>
      <c r="F55" s="4">
        <f ca="1">$B55*('Updated Population'!F$48/'Updated Population'!$B$48)*('Total Duration Tables Sup #1'!F176/'Total Duration Tables Sup #1'!$B176)</f>
        <v>0</v>
      </c>
      <c r="G55" s="4">
        <f ca="1">$B55*('Updated Population'!G$48/'Updated Population'!$B$48)*('Total Duration Tables Sup #1'!G176/'Total Duration Tables Sup #1'!$B176)</f>
        <v>0</v>
      </c>
      <c r="H55" s="4">
        <f ca="1">$B55*('Updated Population'!H$48/'Updated Population'!$B$48)*('Total Duration Tables Sup #1'!H176/'Total Duration Tables Sup #1'!$B176)</f>
        <v>0</v>
      </c>
      <c r="I55" s="1">
        <f ca="1">$B55*('Updated Population'!I$48/'Updated Population'!$B$48)*('Total Duration Tables Sup #1'!I176/'Total Duration Tables Sup #1'!$B176)</f>
        <v>0</v>
      </c>
      <c r="J55" s="1">
        <f ca="1">$B55*('Updated Population'!J$48/'Updated Population'!$B$48)*('Total Duration Tables Sup #1'!J176/'Total Duration Tables Sup #1'!$B176)</f>
        <v>0</v>
      </c>
      <c r="K55" s="1">
        <f ca="1">$B55*('Updated Population'!K$48/'Updated Population'!$B$48)*('Total Duration Tables Sup #1'!K176/'Total Duration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$B56*('Updated Population'!C$48/'Updated Population'!$B$48)*('Total Duration Tables Sup #1'!C177/'Total Duration Tables Sup #1'!$B177)</f>
        <v>0.16079248734565491</v>
      </c>
      <c r="D56" s="4">
        <f ca="1">$B56*('Updated Population'!D$48/'Updated Population'!$B$48)*('Total Duration Tables Sup #1'!D177/'Total Duration Tables Sup #1'!$B177)</f>
        <v>0.1579569599590489</v>
      </c>
      <c r="E56" s="4">
        <f ca="1">$B56*('Updated Population'!E$48/'Updated Population'!$B$48)*('Total Duration Tables Sup #1'!E177/'Total Duration Tables Sup #1'!$B177)</f>
        <v>0.15287842115170813</v>
      </c>
      <c r="F56" s="4">
        <f ca="1">$B56*('Updated Population'!F$48/'Updated Population'!$B$48)*('Total Duration Tables Sup #1'!F177/'Total Duration Tables Sup #1'!$B177)</f>
        <v>0.14730543904896781</v>
      </c>
      <c r="G56" s="4">
        <f ca="1">$B56*('Updated Population'!G$48/'Updated Population'!$B$48)*('Total Duration Tables Sup #1'!G177/'Total Duration Tables Sup #1'!$B177)</f>
        <v>0.14267456498279493</v>
      </c>
      <c r="H56" s="4">
        <f ca="1">$B56*('Updated Population'!H$48/'Updated Population'!$B$48)*('Total Duration Tables Sup #1'!H177/'Total Duration Tables Sup #1'!$B177)</f>
        <v>0.13808956407971176</v>
      </c>
      <c r="I56" s="1">
        <f ca="1">$B56*('Updated Population'!I$48/'Updated Population'!$B$48)*('Total Duration Tables Sup #1'!I177/'Total Duration Tables Sup #1'!$B177)</f>
        <v>0.13679352489426058</v>
      </c>
      <c r="J56" s="1">
        <f ca="1">$B56*('Updated Population'!J$48/'Updated Population'!$B$48)*('Total Duration Tables Sup #1'!J177/'Total Duration Tables Sup #1'!$B177)</f>
        <v>0.13507829911682212</v>
      </c>
      <c r="K56" s="1">
        <f ca="1">$B56*('Updated Population'!K$48/'Updated Population'!$B$48)*('Total Duration Tables Sup #1'!K177/'Total Duration Tables Sup #1'!$B177)</f>
        <v>0.1330979281240878</v>
      </c>
    </row>
    <row r="57" spans="1:11" x14ac:dyDescent="0.2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$B57*('Updated Population'!C$48/'Updated Population'!$B$48)*('Total Duration Tables Sup #1'!C178/'Total Duration Tables Sup #1'!$B178)</f>
        <v>7.6796708105457204E-3</v>
      </c>
      <c r="D57" s="4">
        <f ca="1">$B57*('Updated Population'!D$48/'Updated Population'!$B$48)*('Total Duration Tables Sup #1'!D178/'Total Duration Tables Sup #1'!$B178)</f>
        <v>7.7483331374928743E-3</v>
      </c>
      <c r="E57" s="4">
        <f ca="1">$B57*('Updated Population'!E$48/'Updated Population'!$B$48)*('Total Duration Tables Sup #1'!E178/'Total Duration Tables Sup #1'!$B178)</f>
        <v>7.9248479786735212E-3</v>
      </c>
      <c r="F57" s="4">
        <f ca="1">$B57*('Updated Population'!F$48/'Updated Population'!$B$48)*('Total Duration Tables Sup #1'!F178/'Total Duration Tables Sup #1'!$B178)</f>
        <v>7.9156393040228541E-3</v>
      </c>
      <c r="G57" s="4">
        <f ca="1">$B57*('Updated Population'!G$48/'Updated Population'!$B$48)*('Total Duration Tables Sup #1'!G178/'Total Duration Tables Sup #1'!$B178)</f>
        <v>7.9655515354162491E-3</v>
      </c>
      <c r="H57" s="4">
        <f ca="1">$B57*('Updated Population'!H$48/'Updated Population'!$B$48)*('Total Duration Tables Sup #1'!H178/'Total Duration Tables Sup #1'!$B178)</f>
        <v>7.8783650769652103E-3</v>
      </c>
      <c r="I57" s="1">
        <f ca="1">$B57*('Updated Population'!I$48/'Updated Population'!$B$48)*('Total Duration Tables Sup #1'!I178/'Total Duration Tables Sup #1'!$B178)</f>
        <v>7.8044227053958208E-3</v>
      </c>
      <c r="J57" s="1">
        <f ca="1">$B57*('Updated Population'!J$48/'Updated Population'!$B$48)*('Total Duration Tables Sup #1'!J178/'Total Duration Tables Sup #1'!$B178)</f>
        <v>7.7065646597560995E-3</v>
      </c>
      <c r="K57" s="1">
        <f ca="1">$B57*('Updated Population'!K$48/'Updated Population'!$B$48)*('Total Duration Tables Sup #1'!K178/'Total Duration Tables Sup #1'!$B178)</f>
        <v>7.5935793970928998E-3</v>
      </c>
    </row>
    <row r="58" spans="1:11" x14ac:dyDescent="0.2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$B58*('Updated Population'!C$48/'Updated Population'!$B$48)*('Total Duration Tables Sup #1'!C179/'Total Duration Tables Sup #1'!$B179)</f>
        <v>5.6070478303717032E-3</v>
      </c>
      <c r="D58" s="4">
        <f ca="1">$B58*('Updated Population'!D$48/'Updated Population'!$B$48)*('Total Duration Tables Sup #1'!D179/'Total Duration Tables Sup #1'!$B179)</f>
        <v>5.6352178039341524E-3</v>
      </c>
      <c r="E58" s="4">
        <f ca="1">$B58*('Updated Population'!E$48/'Updated Population'!$B$48)*('Total Duration Tables Sup #1'!E179/'Total Duration Tables Sup #1'!$B179)</f>
        <v>5.6188889127876734E-3</v>
      </c>
      <c r="F58" s="4">
        <f ca="1">$B58*('Updated Population'!F$48/'Updated Population'!$B$48)*('Total Duration Tables Sup #1'!F179/'Total Duration Tables Sup #1'!$B179)</f>
        <v>5.5099424037604672E-3</v>
      </c>
      <c r="G58" s="4">
        <f ca="1">$B58*('Updated Population'!G$48/'Updated Population'!$B$48)*('Total Duration Tables Sup #1'!G179/'Total Duration Tables Sup #1'!$B179)</f>
        <v>5.3824855449707944E-3</v>
      </c>
      <c r="H58" s="4">
        <f ca="1">$B58*('Updated Population'!H$48/'Updated Population'!$B$48)*('Total Duration Tables Sup #1'!H179/'Total Duration Tables Sup #1'!$B179)</f>
        <v>5.1888869922010672E-3</v>
      </c>
      <c r="I58" s="1">
        <f ca="1">$B58*('Updated Population'!I$48/'Updated Population'!$B$48)*('Total Duration Tables Sup #1'!I179/'Total Duration Tables Sup #1'!$B179)</f>
        <v>5.1401867090508611E-3</v>
      </c>
      <c r="J58" s="1">
        <f ca="1">$B58*('Updated Population'!J$48/'Updated Population'!$B$48)*('Total Duration Tables Sup #1'!J179/'Total Duration Tables Sup #1'!$B179)</f>
        <v>5.0757349687289002E-3</v>
      </c>
      <c r="K58" s="1">
        <f ca="1">$B58*('Updated Population'!K$48/'Updated Population'!$B$48)*('Total Duration Tables Sup #1'!K179/'Total Duration Tables Sup #1'!$B179)</f>
        <v>5.0013200674116666E-3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$B60*('Updated Population'!C$59/'Updated Population'!$B$59)*('Total Duration Tables Sup #1'!C170/'Total Duration Tables Sup #1'!$B170)</f>
        <v>5.9896328229708935</v>
      </c>
      <c r="D60" s="4">
        <f ca="1">$B60*('Updated Population'!D$59/'Updated Population'!$B$59)*('Total Duration Tables Sup #1'!D170/'Total Duration Tables Sup #1'!$B170)</f>
        <v>5.8807317579769363</v>
      </c>
      <c r="E60" s="4">
        <f ca="1">$B60*('Updated Population'!E$59/'Updated Population'!$B$59)*('Total Duration Tables Sup #1'!E170/'Total Duration Tables Sup #1'!$B170)</f>
        <v>5.7127282398154593</v>
      </c>
      <c r="F60" s="4">
        <f ca="1">$B60*('Updated Population'!F$59/'Updated Population'!$B$59)*('Total Duration Tables Sup #1'!F170/'Total Duration Tables Sup #1'!$B170)</f>
        <v>5.4997982778713217</v>
      </c>
      <c r="G60" s="4">
        <f ca="1">$B60*('Updated Population'!G$59/'Updated Population'!$B$59)*('Total Duration Tables Sup #1'!G170/'Total Duration Tables Sup #1'!$B170)</f>
        <v>5.2834664065849513</v>
      </c>
      <c r="H60" s="4">
        <f ca="1">$B60*('Updated Population'!H$59/'Updated Population'!$B$59)*('Total Duration Tables Sup #1'!H170/'Total Duration Tables Sup #1'!$B170)</f>
        <v>5.0438102564541856</v>
      </c>
      <c r="I60" s="1">
        <f ca="1">$B60*('Updated Population'!I$59/'Updated Population'!$B$59)*('Total Duration Tables Sup #1'!I170/'Total Duration Tables Sup #1'!$B170)</f>
        <v>5.0089147785634403</v>
      </c>
      <c r="J60" s="1">
        <f ca="1">$B60*('Updated Population'!J$59/'Updated Population'!$B$59)*('Total Duration Tables Sup #1'!J170/'Total Duration Tables Sup #1'!$B170)</f>
        <v>4.9584267952110688</v>
      </c>
      <c r="K60" s="1">
        <f ca="1">$B60*('Updated Population'!K$59/'Updated Population'!$B$59)*('Total Duration Tables Sup #1'!K170/'Total Duration Tables Sup #1'!$B170)</f>
        <v>4.8978991406664312</v>
      </c>
    </row>
    <row r="61" spans="1:11" x14ac:dyDescent="0.2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$B61*('Updated Population'!C$59/'Updated Population'!$B$59)*('Total Duration Tables Sup #1'!C171/'Total Duration Tables Sup #1'!$B171)</f>
        <v>0.89360906484679137</v>
      </c>
      <c r="D61" s="4">
        <f ca="1">$B61*('Updated Population'!D$59/'Updated Population'!$B$59)*('Total Duration Tables Sup #1'!D171/'Total Duration Tables Sup #1'!$B171)</f>
        <v>0.90888319818906504</v>
      </c>
      <c r="E61" s="4">
        <f ca="1">$B61*('Updated Population'!E$59/'Updated Population'!$B$59)*('Total Duration Tables Sup #1'!E171/'Total Duration Tables Sup #1'!$B171)</f>
        <v>0.89010327577053183</v>
      </c>
      <c r="F61" s="4">
        <f ca="1">$B61*('Updated Population'!F$59/'Updated Population'!$B$59)*('Total Duration Tables Sup #1'!F171/'Total Duration Tables Sup #1'!$B171)</f>
        <v>0.87883103500199533</v>
      </c>
      <c r="G61" s="4">
        <f ca="1">$B61*('Updated Population'!G$59/'Updated Population'!$B$59)*('Total Duration Tables Sup #1'!G171/'Total Duration Tables Sup #1'!$B171)</f>
        <v>0.87709732007935703</v>
      </c>
      <c r="H61" s="4">
        <f ca="1">$B61*('Updated Population'!H$59/'Updated Population'!$B$59)*('Total Duration Tables Sup #1'!H171/'Total Duration Tables Sup #1'!$B171)</f>
        <v>0.87244041992479504</v>
      </c>
      <c r="I61" s="1">
        <f ca="1">$B61*('Updated Population'!I$59/'Updated Population'!$B$59)*('Total Duration Tables Sup #1'!I171/'Total Duration Tables Sup #1'!$B171)</f>
        <v>0.86640446221890777</v>
      </c>
      <c r="J61" s="1">
        <f ca="1">$B61*('Updated Population'!J$59/'Updated Population'!$B$59)*('Total Duration Tables Sup #1'!J171/'Total Duration Tables Sup #1'!$B171)</f>
        <v>0.85767143001557788</v>
      </c>
      <c r="K61" s="1">
        <f ca="1">$B61*('Updated Population'!K$59/'Updated Population'!$B$59)*('Total Duration Tables Sup #1'!K171/'Total Duration Tables Sup #1'!$B171)</f>
        <v>0.84720181088579127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$B62*('Updated Population'!C$59/'Updated Population'!$B$59)*('Total Duration Tables Sup #1'!C172/'Total Duration Tables Sup #1'!$B172)</f>
        <v>26.837772405985728</v>
      </c>
      <c r="D62" s="4">
        <f ca="1">$B62*('Updated Population'!D$59/'Updated Population'!$B$59)*('Total Duration Tables Sup #1'!D172/'Total Duration Tables Sup #1'!$B172)</f>
        <v>27.039509871208082</v>
      </c>
      <c r="E62" s="4">
        <f ca="1">$B62*('Updated Population'!E$59/'Updated Population'!$B$59)*('Total Duration Tables Sup #1'!E172/'Total Duration Tables Sup #1'!$B172)</f>
        <v>27.352217036041186</v>
      </c>
      <c r="F62" s="4">
        <f ca="1">$B62*('Updated Population'!F$59/'Updated Population'!$B$59)*('Total Duration Tables Sup #1'!F172/'Total Duration Tables Sup #1'!$B172)</f>
        <v>27.354753850553536</v>
      </c>
      <c r="G62" s="4">
        <f ca="1">$B62*('Updated Population'!G$59/'Updated Population'!$B$59)*('Total Duration Tables Sup #1'!G172/'Total Duration Tables Sup #1'!$B172)</f>
        <v>27.054498499526915</v>
      </c>
      <c r="H62" s="4">
        <f ca="1">$B62*('Updated Population'!H$59/'Updated Population'!$B$59)*('Total Duration Tables Sup #1'!H172/'Total Duration Tables Sup #1'!$B172)</f>
        <v>26.520364984279819</v>
      </c>
      <c r="I62" s="1">
        <f ca="1">$B62*('Updated Population'!I$59/'Updated Population'!$B$59)*('Total Duration Tables Sup #1'!I172/'Total Duration Tables Sup #1'!$B172)</f>
        <v>26.336884487808085</v>
      </c>
      <c r="J62" s="1">
        <f ca="1">$B62*('Updated Population'!J$59/'Updated Population'!$B$59)*('Total Duration Tables Sup #1'!J172/'Total Duration Tables Sup #1'!$B172)</f>
        <v>26.071418564677494</v>
      </c>
      <c r="K62" s="1">
        <f ca="1">$B62*('Updated Population'!K$59/'Updated Population'!$B$59)*('Total Duration Tables Sup #1'!K172/'Total Duration Tables Sup #1'!$B172)</f>
        <v>25.753164029207582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$B63*('Updated Population'!C$59/'Updated Population'!$B$59)*('Total Duration Tables Sup #1'!C173/'Total Duration Tables Sup #1'!$B173)</f>
        <v>15.339623686055798</v>
      </c>
      <c r="D63" s="4">
        <f ca="1">$B63*('Updated Population'!D$59/'Updated Population'!$B$59)*('Total Duration Tables Sup #1'!D173/'Total Duration Tables Sup #1'!$B173)</f>
        <v>15.227474341349966</v>
      </c>
      <c r="E63" s="4">
        <f ca="1">$B63*('Updated Population'!E$59/'Updated Population'!$B$59)*('Total Duration Tables Sup #1'!E173/'Total Duration Tables Sup #1'!$B173)</f>
        <v>15.141694723002139</v>
      </c>
      <c r="F63" s="4">
        <f ca="1">$B63*('Updated Population'!F$59/'Updated Population'!$B$59)*('Total Duration Tables Sup #1'!F173/'Total Duration Tables Sup #1'!$B173)</f>
        <v>14.923608816506199</v>
      </c>
      <c r="G63" s="4">
        <f ca="1">$B63*('Updated Population'!G$59/'Updated Population'!$B$59)*('Total Duration Tables Sup #1'!G173/'Total Duration Tables Sup #1'!$B173)</f>
        <v>14.624940678146986</v>
      </c>
      <c r="H63" s="4">
        <f ca="1">$B63*('Updated Population'!H$59/'Updated Population'!$B$59)*('Total Duration Tables Sup #1'!H173/'Total Duration Tables Sup #1'!$B173)</f>
        <v>14.235382796097895</v>
      </c>
      <c r="I63" s="1">
        <f ca="1">$B63*('Updated Population'!I$59/'Updated Population'!$B$59)*('Total Duration Tables Sup #1'!I173/'Total Duration Tables Sup #1'!$B173)</f>
        <v>14.136895648411901</v>
      </c>
      <c r="J63" s="1">
        <f ca="1">$B63*('Updated Population'!J$59/'Updated Population'!$B$59)*('Total Duration Tables Sup #1'!J173/'Total Duration Tables Sup #1'!$B173)</f>
        <v>13.994401039558536</v>
      </c>
      <c r="K63" s="1">
        <f ca="1">$B63*('Updated Population'!K$59/'Updated Population'!$B$59)*('Total Duration Tables Sup #1'!K173/'Total Duration Tables Sup #1'!$B173)</f>
        <v>13.823570994734718</v>
      </c>
    </row>
    <row r="64" spans="1:11" x14ac:dyDescent="0.2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$B64*('Updated Population'!C$59/'Updated Population'!$B$59)*('Total Duration Tables Sup #1'!C174/'Total Duration Tables Sup #1'!$B174)</f>
        <v>5.0966427886949085E-2</v>
      </c>
      <c r="D64" s="4">
        <f ca="1">$B64*('Updated Population'!D$59/'Updated Population'!$B$59)*('Total Duration Tables Sup #1'!D174/'Total Duration Tables Sup #1'!$B174)</f>
        <v>5.4933261927904715E-2</v>
      </c>
      <c r="E64" s="4">
        <f ca="1">$B64*('Updated Population'!E$59/'Updated Population'!$B$59)*('Total Duration Tables Sup #1'!E174/'Total Duration Tables Sup #1'!$B174)</f>
        <v>5.7928754949917942E-2</v>
      </c>
      <c r="F64" s="4">
        <f ca="1">$B64*('Updated Population'!F$59/'Updated Population'!$B$59)*('Total Duration Tables Sup #1'!F174/'Total Duration Tables Sup #1'!$B174)</f>
        <v>5.9777074912837458E-2</v>
      </c>
      <c r="G64" s="4">
        <f ca="1">$B64*('Updated Population'!G$59/'Updated Population'!$B$59)*('Total Duration Tables Sup #1'!G174/'Total Duration Tables Sup #1'!$B174)</f>
        <v>6.0273075043237749E-2</v>
      </c>
      <c r="H64" s="4">
        <f ca="1">$B64*('Updated Population'!H$59/'Updated Population'!$B$59)*('Total Duration Tables Sup #1'!H174/'Total Duration Tables Sup #1'!$B174)</f>
        <v>6.0059224608351121E-2</v>
      </c>
      <c r="I64" s="1">
        <f ca="1">$B64*('Updated Population'!I$59/'Updated Population'!$B$59)*('Total Duration Tables Sup #1'!I174/'Total Duration Tables Sup #1'!$B174)</f>
        <v>5.9643706331910365E-2</v>
      </c>
      <c r="J64" s="1">
        <f ca="1">$B64*('Updated Population'!J$59/'Updated Population'!$B$59)*('Total Duration Tables Sup #1'!J174/'Total Duration Tables Sup #1'!$B174)</f>
        <v>5.904252012981194E-2</v>
      </c>
      <c r="K64" s="1">
        <f ca="1">$B64*('Updated Population'!K$59/'Updated Population'!$B$59)*('Total Duration Tables Sup #1'!K174/'Total Duration Tables Sup #1'!$B174)</f>
        <v>5.8321786435545517E-2</v>
      </c>
    </row>
    <row r="65" spans="1:11" x14ac:dyDescent="0.2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$B65*('Updated Population'!C$59/'Updated Population'!$B$59)*('Total Duration Tables Sup #1'!C175/'Total Duration Tables Sup #1'!$B175)</f>
        <v>0.12131461007307481</v>
      </c>
      <c r="D65" s="4">
        <f ca="1">$B65*('Updated Population'!D$59/'Updated Population'!$B$59)*('Total Duration Tables Sup #1'!D175/'Total Duration Tables Sup #1'!$B175)</f>
        <v>0.12141364346666282</v>
      </c>
      <c r="E65" s="4">
        <f ca="1">$B65*('Updated Population'!E$59/'Updated Population'!$B$59)*('Total Duration Tables Sup #1'!E175/'Total Duration Tables Sup #1'!$B175)</f>
        <v>0.12031899461835362</v>
      </c>
      <c r="F65" s="4">
        <f ca="1">$B65*('Updated Population'!F$59/'Updated Population'!$B$59)*('Total Duration Tables Sup #1'!F175/'Total Duration Tables Sup #1'!$B175)</f>
        <v>0.11737095049803904</v>
      </c>
      <c r="G65" s="4">
        <f ca="1">$B65*('Updated Population'!G$59/'Updated Population'!$B$59)*('Total Duration Tables Sup #1'!G175/'Total Duration Tables Sup #1'!$B175)</f>
        <v>0.1122576264705471</v>
      </c>
      <c r="H65" s="4">
        <f ca="1">$B65*('Updated Population'!H$59/'Updated Population'!$B$59)*('Total Duration Tables Sup #1'!H175/'Total Duration Tables Sup #1'!$B175)</f>
        <v>0.10626560749330027</v>
      </c>
      <c r="I65" s="1">
        <f ca="1">$B65*('Updated Population'!I$59/'Updated Population'!$B$59)*('Total Duration Tables Sup #1'!I175/'Total Duration Tables Sup #1'!$B175)</f>
        <v>0.10553041148705006</v>
      </c>
      <c r="J65" s="1">
        <f ca="1">$B65*('Updated Population'!J$59/'Updated Population'!$B$59)*('Total Duration Tables Sup #1'!J175/'Total Duration Tables Sup #1'!$B175)</f>
        <v>0.10446670449783767</v>
      </c>
      <c r="K65" s="1">
        <f ca="1">$B65*('Updated Population'!K$59/'Updated Population'!$B$59)*('Total Duration Tables Sup #1'!K175/'Total Duration Tables Sup #1'!$B175)</f>
        <v>0.10319147651476673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Duration Tables Sup #1'!C176/'Total Duration Tables Sup #1'!$B176)</f>
        <v>0</v>
      </c>
      <c r="D66" s="4">
        <f ca="1">$B66*('Updated Population'!D$59/'Updated Population'!$B$59)*('Total Duration Tables Sup #1'!D176/'Total Duration Tables Sup #1'!$B176)</f>
        <v>0</v>
      </c>
      <c r="E66" s="4">
        <f ca="1">$B66*('Updated Population'!E$59/'Updated Population'!$B$59)*('Total Duration Tables Sup #1'!E176/'Total Duration Tables Sup #1'!$B176)</f>
        <v>0</v>
      </c>
      <c r="F66" s="4">
        <f ca="1">$B66*('Updated Population'!F$59/'Updated Population'!$B$59)*('Total Duration Tables Sup #1'!F176/'Total Duration Tables Sup #1'!$B176)</f>
        <v>0</v>
      </c>
      <c r="G66" s="4">
        <f ca="1">$B66*('Updated Population'!G$59/'Updated Population'!$B$59)*('Total Duration Tables Sup #1'!G176/'Total Duration Tables Sup #1'!$B176)</f>
        <v>0</v>
      </c>
      <c r="H66" s="4">
        <f ca="1">$B66*('Updated Population'!H$59/'Updated Population'!$B$59)*('Total Duration Tables Sup #1'!H176/'Total Duration Tables Sup #1'!$B176)</f>
        <v>0</v>
      </c>
      <c r="I66" s="1">
        <f ca="1">$B66*('Updated Population'!I$59/'Updated Population'!$B$59)*('Total Duration Tables Sup #1'!I176/'Total Duration Tables Sup #1'!$B176)</f>
        <v>0</v>
      </c>
      <c r="J66" s="1">
        <f ca="1">$B66*('Updated Population'!J$59/'Updated Population'!$B$59)*('Total Duration Tables Sup #1'!J176/'Total Duration Tables Sup #1'!$B176)</f>
        <v>0</v>
      </c>
      <c r="K66" s="1">
        <f ca="1">$B66*('Updated Population'!K$59/'Updated Population'!$B$59)*('Total Duration Tables Sup #1'!K176/'Total Duration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$B67*('Updated Population'!C$59/'Updated Population'!$B$59)*('Total Duration Tables Sup #1'!C177/'Total Duration Tables Sup #1'!$B177)</f>
        <v>1.2411000151659297</v>
      </c>
      <c r="D67" s="4">
        <f ca="1">$B67*('Updated Population'!D$59/'Updated Population'!$B$59)*('Total Duration Tables Sup #1'!D177/'Total Duration Tables Sup #1'!$B177)</f>
        <v>1.2210725165895184</v>
      </c>
      <c r="E67" s="4">
        <f ca="1">$B67*('Updated Population'!E$59/'Updated Population'!$B$59)*('Total Duration Tables Sup #1'!E177/'Total Duration Tables Sup #1'!$B177)</f>
        <v>1.1850693022790251</v>
      </c>
      <c r="F67" s="4">
        <f ca="1">$B67*('Updated Population'!F$59/'Updated Population'!$B$59)*('Total Duration Tables Sup #1'!F177/'Total Duration Tables Sup #1'!$B177)</f>
        <v>1.143743774370118</v>
      </c>
      <c r="G67" s="4">
        <f ca="1">$B67*('Updated Population'!G$59/'Updated Population'!$B$59)*('Total Duration Tables Sup #1'!G177/'Total Duration Tables Sup #1'!$B177)</f>
        <v>1.111291115993263</v>
      </c>
      <c r="H67" s="4">
        <f ca="1">$B67*('Updated Population'!H$59/'Updated Population'!$B$59)*('Total Duration Tables Sup #1'!H177/'Total Duration Tables Sup #1'!$B177)</f>
        <v>1.0782571939072623</v>
      </c>
      <c r="I67" s="1">
        <f ca="1">$B67*('Updated Population'!I$59/'Updated Population'!$B$59)*('Total Duration Tables Sup #1'!I177/'Total Duration Tables Sup #1'!$B177)</f>
        <v>1.0707972978847302</v>
      </c>
      <c r="J67" s="1">
        <f ca="1">$B67*('Updated Population'!J$59/'Updated Population'!$B$59)*('Total Duration Tables Sup #1'!J177/'Total Duration Tables Sup #1'!$B177)</f>
        <v>1.0600040625155163</v>
      </c>
      <c r="K67" s="1">
        <f ca="1">$B67*('Updated Population'!K$59/'Updated Population'!$B$59)*('Total Duration Tables Sup #1'!K177/'Total Duration Tables Sup #1'!$B177)</f>
        <v>1.0470645632828528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Duration Tables Sup #1'!C178/'Total Duration Tables Sup #1'!$B178)</f>
        <v>0</v>
      </c>
      <c r="D68" s="4">
        <f ca="1">$B68*('Updated Population'!D$59/'Updated Population'!$B$59)*('Total Duration Tables Sup #1'!D178/'Total Duration Tables Sup #1'!$B178)</f>
        <v>0</v>
      </c>
      <c r="E68" s="4">
        <f ca="1">$B68*('Updated Population'!E$59/'Updated Population'!$B$59)*('Total Duration Tables Sup #1'!E178/'Total Duration Tables Sup #1'!$B178)</f>
        <v>0</v>
      </c>
      <c r="F68" s="4">
        <f ca="1">$B68*('Updated Population'!F$59/'Updated Population'!$B$59)*('Total Duration Tables Sup #1'!F178/'Total Duration Tables Sup #1'!$B178)</f>
        <v>0</v>
      </c>
      <c r="G68" s="4">
        <f ca="1">$B68*('Updated Population'!G$59/'Updated Population'!$B$59)*('Total Duration Tables Sup #1'!G178/'Total Duration Tables Sup #1'!$B178)</f>
        <v>0</v>
      </c>
      <c r="H68" s="4">
        <f ca="1">$B68*('Updated Population'!H$59/'Updated Population'!$B$59)*('Total Duration Tables Sup #1'!H178/'Total Duration Tables Sup #1'!$B178)</f>
        <v>0</v>
      </c>
      <c r="I68" s="1">
        <f ca="1">$B68*('Updated Population'!I$59/'Updated Population'!$B$59)*('Total Duration Tables Sup #1'!I178/'Total Duration Tables Sup #1'!$B178)</f>
        <v>0</v>
      </c>
      <c r="J68" s="1">
        <f ca="1">$B68*('Updated Population'!J$59/'Updated Population'!$B$59)*('Total Duration Tables Sup #1'!J178/'Total Duration Tables Sup #1'!$B178)</f>
        <v>0</v>
      </c>
      <c r="K68" s="1">
        <f ca="1">$B68*('Updated Population'!K$59/'Updated Population'!$B$59)*('Total Duration Tables Sup #1'!K178/'Total Duration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$B69*('Updated Population'!C$59/'Updated Population'!$B$59)*('Total Duration Tables Sup #1'!C179/'Total Duration Tables Sup #1'!$B179)</f>
        <v>0.17049321513714494</v>
      </c>
      <c r="D69" s="4">
        <f ca="1">$B69*('Updated Population'!D$59/'Updated Population'!$B$59)*('Total Duration Tables Sup #1'!D179/'Total Duration Tables Sup #1'!$B179)</f>
        <v>0.17161103420376023</v>
      </c>
      <c r="E69" s="4">
        <f ca="1">$B69*('Updated Population'!E$59/'Updated Population'!$B$59)*('Total Duration Tables Sup #1'!E179/'Total Duration Tables Sup #1'!$B179)</f>
        <v>0.17158519713330031</v>
      </c>
      <c r="F69" s="4">
        <f ca="1">$B69*('Updated Population'!F$59/'Updated Population'!$B$59)*('Total Duration Tables Sup #1'!F179/'Total Duration Tables Sup #1'!$B179)</f>
        <v>0.16853450578872917</v>
      </c>
      <c r="G69" s="4">
        <f ca="1">$B69*('Updated Population'!G$59/'Updated Population'!$B$59)*('Total Duration Tables Sup #1'!G179/'Total Duration Tables Sup #1'!$B179)</f>
        <v>0.16515661382904259</v>
      </c>
      <c r="H69" s="4">
        <f ca="1">$B69*('Updated Population'!H$59/'Updated Population'!$B$59)*('Total Duration Tables Sup #1'!H179/'Total Duration Tables Sup #1'!$B179)</f>
        <v>0.1596127317476741</v>
      </c>
      <c r="I69" s="1">
        <f ca="1">$B69*('Updated Population'!I$59/'Updated Population'!$B$59)*('Total Duration Tables Sup #1'!I179/'Total Duration Tables Sup #1'!$B179)</f>
        <v>0.15850845496710822</v>
      </c>
      <c r="J69" s="1">
        <f ca="1">$B69*('Updated Population'!J$59/'Updated Population'!$B$59)*('Total Duration Tables Sup #1'!J179/'Total Duration Tables Sup #1'!$B179)</f>
        <v>0.15691074915868861</v>
      </c>
      <c r="K69" s="1">
        <f ca="1">$B69*('Updated Population'!K$59/'Updated Population'!$B$59)*('Total Duration Tables Sup #1'!K179/'Total Duration Tables Sup #1'!$B179)</f>
        <v>0.15499533525591805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$B71*('Updated Population'!C$70/'Updated Population'!$B$70)*('Total Duration Tables Sup #1'!C170/'Total Duration Tables Sup #1'!$B170)</f>
        <v>4.834649716319821</v>
      </c>
      <c r="D71" s="4">
        <f ca="1">$B71*('Updated Population'!D$70/'Updated Population'!$B$70)*('Total Duration Tables Sup #1'!D170/'Total Duration Tables Sup #1'!$B170)</f>
        <v>4.7860104040335809</v>
      </c>
      <c r="E71" s="4">
        <f ca="1">$B71*('Updated Population'!E$70/'Updated Population'!$B$70)*('Total Duration Tables Sup #1'!E170/'Total Duration Tables Sup #1'!$B170)</f>
        <v>4.6930539301827663</v>
      </c>
      <c r="F71" s="4">
        <f ca="1">$B71*('Updated Population'!F$70/'Updated Population'!$B$70)*('Total Duration Tables Sup #1'!F170/'Total Duration Tables Sup #1'!$B170)</f>
        <v>4.5659955871556051</v>
      </c>
      <c r="G71" s="4">
        <f ca="1">$B71*('Updated Population'!G$70/'Updated Population'!$B$70)*('Total Duration Tables Sup #1'!G170/'Total Duration Tables Sup #1'!$B170)</f>
        <v>4.439555959312135</v>
      </c>
      <c r="H71" s="4">
        <f ca="1">$B71*('Updated Population'!H$70/'Updated Population'!$B$70)*('Total Duration Tables Sup #1'!H170/'Total Duration Tables Sup #1'!$B170)</f>
        <v>4.2957623895803305</v>
      </c>
      <c r="I71" s="1">
        <f ca="1">$B71*('Updated Population'!I$70/'Updated Population'!$B$70)*('Total Duration Tables Sup #1'!I170/'Total Duration Tables Sup #1'!$B170)</f>
        <v>4.3240039337660914</v>
      </c>
      <c r="J71" s="1">
        <f ca="1">$B71*('Updated Population'!J$70/'Updated Population'!$B$70)*('Total Duration Tables Sup #1'!J170/'Total Duration Tables Sup #1'!$B170)</f>
        <v>4.3385766074873251</v>
      </c>
      <c r="K71" s="1">
        <f ca="1">$B71*('Updated Population'!K$70/'Updated Population'!$B$70)*('Total Duration Tables Sup #1'!K170/'Total Duration Tables Sup #1'!$B170)</f>
        <v>4.3438430892551114</v>
      </c>
    </row>
    <row r="72" spans="1:11" x14ac:dyDescent="0.2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$B72*('Updated Population'!C$70/'Updated Population'!$B$70)*('Total Duration Tables Sup #1'!C171/'Total Duration Tables Sup #1'!$B171)</f>
        <v>0.52389011184193413</v>
      </c>
      <c r="D72" s="4">
        <f ca="1">$B72*('Updated Population'!D$70/'Updated Population'!$B$70)*('Total Duration Tables Sup #1'!D171/'Total Duration Tables Sup #1'!$B171)</f>
        <v>0.5372521540721199</v>
      </c>
      <c r="E72" s="4">
        <f ca="1">$B72*('Updated Population'!E$70/'Updated Population'!$B$70)*('Total Duration Tables Sup #1'!E171/'Total Duration Tables Sup #1'!$B171)</f>
        <v>0.53110476961676134</v>
      </c>
      <c r="F72" s="4">
        <f ca="1">$B72*('Updated Population'!F$70/'Updated Population'!$B$70)*('Total Duration Tables Sup #1'!F171/'Total Duration Tables Sup #1'!$B171)</f>
        <v>0.52993418271268122</v>
      </c>
      <c r="G72" s="4">
        <f ca="1">$B72*('Updated Population'!G$70/'Updated Population'!$B$70)*('Total Duration Tables Sup #1'!G171/'Total Duration Tables Sup #1'!$B171)</f>
        <v>0.53529870192161444</v>
      </c>
      <c r="H72" s="4">
        <f ca="1">$B72*('Updated Population'!H$70/'Updated Population'!$B$70)*('Total Duration Tables Sup #1'!H171/'Total Duration Tables Sup #1'!$B171)</f>
        <v>0.53969091968654825</v>
      </c>
      <c r="I72" s="1">
        <f ca="1">$B72*('Updated Population'!I$70/'Updated Population'!$B$70)*('Total Duration Tables Sup #1'!I171/'Total Duration Tables Sup #1'!$B171)</f>
        <v>0.54323899883355864</v>
      </c>
      <c r="J72" s="1">
        <f ca="1">$B72*('Updated Population'!J$70/'Updated Population'!$B$70)*('Total Duration Tables Sup #1'!J171/'Total Duration Tables Sup #1'!$B171)</f>
        <v>0.54506981231197216</v>
      </c>
      <c r="K72" s="1">
        <f ca="1">$B72*('Updated Population'!K$70/'Updated Population'!$B$70)*('Total Duration Tables Sup #1'!K171/'Total Duration Tables Sup #1'!$B171)</f>
        <v>0.54573145793642819</v>
      </c>
    </row>
    <row r="73" spans="1:11" x14ac:dyDescent="0.2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$B73*('Updated Population'!C$70/'Updated Population'!$B$70)*('Total Duration Tables Sup #1'!C172/'Total Duration Tables Sup #1'!$B172)</f>
        <v>22.636970972544372</v>
      </c>
      <c r="D73" s="4">
        <f ca="1">$B73*('Updated Population'!D$70/'Updated Population'!$B$70)*('Total Duration Tables Sup #1'!D172/'Total Duration Tables Sup #1'!$B172)</f>
        <v>22.99577857061664</v>
      </c>
      <c r="E73" s="4">
        <f ca="1">$B73*('Updated Population'!E$70/'Updated Population'!$B$70)*('Total Duration Tables Sup #1'!E172/'Total Duration Tables Sup #1'!$B172)</f>
        <v>23.480727514746423</v>
      </c>
      <c r="F73" s="4">
        <f ca="1">$B73*('Updated Population'!F$70/'Updated Population'!$B$70)*('Total Duration Tables Sup #1'!F172/'Total Duration Tables Sup #1'!$B172)</f>
        <v>23.731684859653985</v>
      </c>
      <c r="G73" s="4">
        <f ca="1">$B73*('Updated Population'!G$70/'Updated Population'!$B$70)*('Total Duration Tables Sup #1'!G172/'Total Duration Tables Sup #1'!$B172)</f>
        <v>23.755660320451</v>
      </c>
      <c r="H73" s="4">
        <f ca="1">$B73*('Updated Population'!H$70/'Updated Population'!$B$70)*('Total Duration Tables Sup #1'!H172/'Total Duration Tables Sup #1'!$B172)</f>
        <v>23.603045428741098</v>
      </c>
      <c r="I73" s="1">
        <f ca="1">$B73*('Updated Population'!I$70/'Updated Population'!$B$70)*('Total Duration Tables Sup #1'!I172/'Total Duration Tables Sup #1'!$B172)</f>
        <v>23.758218455073088</v>
      </c>
      <c r="J73" s="1">
        <f ca="1">$B73*('Updated Population'!J$70/'Updated Population'!$B$70)*('Total Duration Tables Sup #1'!J172/'Total Duration Tables Sup #1'!$B172)</f>
        <v>23.838287939524744</v>
      </c>
      <c r="K73" s="1">
        <f ca="1">$B73*('Updated Population'!K$70/'Updated Population'!$B$70)*('Total Duration Tables Sup #1'!K172/'Total Duration Tables Sup #1'!$B172)</f>
        <v>23.86722459782694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$B74*('Updated Population'!C$70/'Updated Population'!$B$70)*('Total Duration Tables Sup #1'!C173/'Total Duration Tables Sup #1'!$B173)</f>
        <v>13.343848000301168</v>
      </c>
      <c r="D74" s="4">
        <f ca="1">$B74*('Updated Population'!D$70/'Updated Population'!$B$70)*('Total Duration Tables Sup #1'!D173/'Total Duration Tables Sup #1'!$B173)</f>
        <v>13.355855500692385</v>
      </c>
      <c r="E74" s="4">
        <f ca="1">$B74*('Updated Population'!E$70/'Updated Population'!$B$70)*('Total Duration Tables Sup #1'!E173/'Total Duration Tables Sup #1'!$B173)</f>
        <v>13.40565483780707</v>
      </c>
      <c r="F74" s="4">
        <f ca="1">$B74*('Updated Population'!F$70/'Updated Population'!$B$70)*('Total Duration Tables Sup #1'!F173/'Total Duration Tables Sup #1'!$B173)</f>
        <v>13.352548077699735</v>
      </c>
      <c r="G74" s="4">
        <f ca="1">$B74*('Updated Population'!G$70/'Updated Population'!$B$70)*('Total Duration Tables Sup #1'!G173/'Total Duration Tables Sup #1'!$B173)</f>
        <v>13.243911325581825</v>
      </c>
      <c r="H74" s="4">
        <f ca="1">$B74*('Updated Population'!H$70/'Updated Population'!$B$70)*('Total Duration Tables Sup #1'!H173/'Total Duration Tables Sup #1'!$B173)</f>
        <v>13.066288044978513</v>
      </c>
      <c r="I74" s="1">
        <f ca="1">$B74*('Updated Population'!I$70/'Updated Population'!$B$70)*('Total Duration Tables Sup #1'!I173/'Total Duration Tables Sup #1'!$B173)</f>
        <v>13.152189479392396</v>
      </c>
      <c r="J74" s="1">
        <f ca="1">$B74*('Updated Population'!J$70/'Updated Population'!$B$70)*('Total Duration Tables Sup #1'!J173/'Total Duration Tables Sup #1'!$B173)</f>
        <v>13.196514731852583</v>
      </c>
      <c r="K74" s="1">
        <f ca="1">$B74*('Updated Population'!K$70/'Updated Population'!$B$70)*('Total Duration Tables Sup #1'!K173/'Total Duration Tables Sup #1'!$B173)</f>
        <v>13.212533627108158</v>
      </c>
    </row>
    <row r="75" spans="1:11" x14ac:dyDescent="0.2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$B75*('Updated Population'!C$70/'Updated Population'!$B$70)*('Total Duration Tables Sup #1'!C174/'Total Duration Tables Sup #1'!$B174)</f>
        <v>0.11230660458559605</v>
      </c>
      <c r="D75" s="4">
        <f ca="1">$B75*('Updated Population'!D$70/'Updated Population'!$B$70)*('Total Duration Tables Sup #1'!D174/'Total Duration Tables Sup #1'!$B174)</f>
        <v>0.12204892090386403</v>
      </c>
      <c r="E75" s="4">
        <f ca="1">$B75*('Updated Population'!E$70/'Updated Population'!$B$70)*('Total Duration Tables Sup #1'!E174/'Total Duration Tables Sup #1'!$B174)</f>
        <v>0.12991594662832673</v>
      </c>
      <c r="F75" s="4">
        <f ca="1">$B75*('Updated Population'!F$70/'Updated Population'!$B$70)*('Total Duration Tables Sup #1'!F174/'Total Duration Tables Sup #1'!$B174)</f>
        <v>0.13548139945769391</v>
      </c>
      <c r="G75" s="4">
        <f ca="1">$B75*('Updated Population'!G$70/'Updated Population'!$B$70)*('Total Duration Tables Sup #1'!G174/'Total Duration Tables Sup #1'!$B174)</f>
        <v>0.13826116778638528</v>
      </c>
      <c r="H75" s="4">
        <f ca="1">$B75*('Updated Population'!H$70/'Updated Population'!$B$70)*('Total Duration Tables Sup #1'!H174/'Total Duration Tables Sup #1'!$B174)</f>
        <v>0.1396424691521142</v>
      </c>
      <c r="I75" s="1">
        <f ca="1">$B75*('Updated Population'!I$70/'Updated Population'!$B$70)*('Total Duration Tables Sup #1'!I174/'Total Duration Tables Sup #1'!$B174)</f>
        <v>0.14056051782546122</v>
      </c>
      <c r="J75" s="1">
        <f ca="1">$B75*('Updated Population'!J$70/'Updated Population'!$B$70)*('Total Duration Tables Sup #1'!J174/'Total Duration Tables Sup #1'!$B174)</f>
        <v>0.14103423214111266</v>
      </c>
      <c r="K75" s="1">
        <f ca="1">$B75*('Updated Population'!K$70/'Updated Population'!$B$70)*('Total Duration Tables Sup #1'!K174/'Total Duration Tables Sup #1'!$B174)</f>
        <v>0.14120542981246947</v>
      </c>
    </row>
    <row r="76" spans="1:11" x14ac:dyDescent="0.2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$B76*('Updated Population'!C$70/'Updated Population'!$B$70)*('Total Duration Tables Sup #1'!C175/'Total Duration Tables Sup #1'!$B175)</f>
        <v>0.26028022620330016</v>
      </c>
      <c r="D76" s="4">
        <f ca="1">$B76*('Updated Population'!D$70/'Updated Population'!$B$70)*('Total Duration Tables Sup #1'!D175/'Total Duration Tables Sup #1'!$B175)</f>
        <v>0.26264734520122091</v>
      </c>
      <c r="E76" s="4">
        <f ca="1">$B76*('Updated Population'!E$70/'Updated Population'!$B$70)*('Total Duration Tables Sup #1'!E175/'Total Duration Tables Sup #1'!$B175)</f>
        <v>0.26272985713976127</v>
      </c>
      <c r="F76" s="4">
        <f ca="1">$B76*('Updated Population'!F$70/'Updated Population'!$B$70)*('Total Duration Tables Sup #1'!F175/'Total Duration Tables Sup #1'!$B175)</f>
        <v>0.25900765715852819</v>
      </c>
      <c r="G76" s="4">
        <f ca="1">$B76*('Updated Population'!G$70/'Updated Population'!$B$70)*('Total Duration Tables Sup #1'!G175/'Total Duration Tables Sup #1'!$B175)</f>
        <v>0.25072618620998649</v>
      </c>
      <c r="H76" s="4">
        <f ca="1">$B76*('Updated Population'!H$70/'Updated Population'!$B$70)*('Total Duration Tables Sup #1'!H175/'Total Duration Tables Sup #1'!$B175)</f>
        <v>0.24056779932721487</v>
      </c>
      <c r="I76" s="1">
        <f ca="1">$B76*('Updated Population'!I$70/'Updated Population'!$B$70)*('Total Duration Tables Sup #1'!I175/'Total Duration Tables Sup #1'!$B175)</f>
        <v>0.24214935936667384</v>
      </c>
      <c r="J76" s="1">
        <f ca="1">$B76*('Updated Population'!J$70/'Updated Population'!$B$70)*('Total Duration Tables Sup #1'!J175/'Total Duration Tables Sup #1'!$B175)</f>
        <v>0.24296544641467588</v>
      </c>
      <c r="K76" s="1">
        <f ca="1">$B76*('Updated Population'!K$70/'Updated Population'!$B$70)*('Total Duration Tables Sup #1'!K175/'Total Duration Tables Sup #1'!$B175)</f>
        <v>0.24326037565288194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Duration Tables Sup #1'!C176/'Total Duration Tables Sup #1'!$B176)</f>
        <v>0</v>
      </c>
      <c r="D77" s="4">
        <f ca="1">$B77*('Updated Population'!D$70/'Updated Population'!$B$70)*('Total Duration Tables Sup #1'!D176/'Total Duration Tables Sup #1'!$B176)</f>
        <v>0</v>
      </c>
      <c r="E77" s="4">
        <f ca="1">$B77*('Updated Population'!E$70/'Updated Population'!$B$70)*('Total Duration Tables Sup #1'!E176/'Total Duration Tables Sup #1'!$B176)</f>
        <v>0</v>
      </c>
      <c r="F77" s="4">
        <f ca="1">$B77*('Updated Population'!F$70/'Updated Population'!$B$70)*('Total Duration Tables Sup #1'!F176/'Total Duration Tables Sup #1'!$B176)</f>
        <v>0</v>
      </c>
      <c r="G77" s="4">
        <f ca="1">$B77*('Updated Population'!G$70/'Updated Population'!$B$70)*('Total Duration Tables Sup #1'!G176/'Total Duration Tables Sup #1'!$B176)</f>
        <v>0</v>
      </c>
      <c r="H77" s="4">
        <f ca="1">$B77*('Updated Population'!H$70/'Updated Population'!$B$70)*('Total Duration Tables Sup #1'!H176/'Total Duration Tables Sup #1'!$B176)</f>
        <v>0</v>
      </c>
      <c r="I77" s="1">
        <f ca="1">$B77*('Updated Population'!I$70/'Updated Population'!$B$70)*('Total Duration Tables Sup #1'!I176/'Total Duration Tables Sup #1'!$B176)</f>
        <v>0</v>
      </c>
      <c r="J77" s="1">
        <f ca="1">$B77*('Updated Population'!J$70/'Updated Population'!$B$70)*('Total Duration Tables Sup #1'!J176/'Total Duration Tables Sup #1'!$B176)</f>
        <v>0</v>
      </c>
      <c r="K77" s="1">
        <f ca="1">$B77*('Updated Population'!K$70/'Updated Population'!$B$70)*('Total Duration Tables Sup #1'!K176/'Total Duration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OFFSET(Taranaki_Reference,49,7)</f>
        <v>0.4632962336</v>
      </c>
      <c r="C78" s="4">
        <f ca="1">$B78*('Updated Population'!C$70/'Updated Population'!$B$70)*('Total Duration Tables Sup #1'!C177/'Total Duration Tables Sup #1'!$B177)</f>
        <v>0.42490524085965015</v>
      </c>
      <c r="D78" s="4">
        <f ca="1">$B78*('Updated Population'!D$70/'Updated Population'!$B$70)*('Total Duration Tables Sup #1'!D177/'Total Duration Tables Sup #1'!$B177)</f>
        <v>0.42150644341089982</v>
      </c>
      <c r="E78" s="4">
        <f ca="1">$B78*('Updated Population'!E$70/'Updated Population'!$B$70)*('Total Duration Tables Sup #1'!E177/'Total Duration Tables Sup #1'!$B177)</f>
        <v>0.41292979616939746</v>
      </c>
      <c r="F78" s="4">
        <f ca="1">$B78*('Updated Population'!F$70/'Updated Population'!$B$70)*('Total Duration Tables Sup #1'!F177/'Total Duration Tables Sup #1'!$B177)</f>
        <v>0.40275223862801579</v>
      </c>
      <c r="G78" s="4">
        <f ca="1">$B78*('Updated Population'!G$70/'Updated Population'!$B$70)*('Total Duration Tables Sup #1'!G177/'Total Duration Tables Sup #1'!$B177)</f>
        <v>0.39606723795202287</v>
      </c>
      <c r="H78" s="4">
        <f ca="1">$B78*('Updated Population'!H$70/'Updated Population'!$B$70)*('Total Duration Tables Sup #1'!H177/'Total Duration Tables Sup #1'!$B177)</f>
        <v>0.38951516293051447</v>
      </c>
      <c r="I78" s="1">
        <f ca="1">$B78*('Updated Population'!I$70/'Updated Population'!$B$70)*('Total Duration Tables Sup #1'!I177/'Total Duration Tables Sup #1'!$B177)</f>
        <v>0.3920759446235636</v>
      </c>
      <c r="J78" s="1">
        <f ca="1">$B78*('Updated Population'!J$70/'Updated Population'!$B$70)*('Total Duration Tables Sup #1'!J177/'Total Duration Tables Sup #1'!$B177)</f>
        <v>0.39339731132499661</v>
      </c>
      <c r="K78" s="1">
        <f ca="1">$B78*('Updated Population'!K$70/'Updated Population'!$B$70)*('Total Duration Tables Sup #1'!K177/'Total Duration Tables Sup #1'!$B177)</f>
        <v>0.39387484576890008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Duration Tables Sup #1'!C178/'Total Duration Tables Sup #1'!$B178)</f>
        <v>0</v>
      </c>
      <c r="D79" s="4">
        <f ca="1">$B79*('Updated Population'!D$70/'Updated Population'!$B$70)*('Total Duration Tables Sup #1'!D178/'Total Duration Tables Sup #1'!$B178)</f>
        <v>0</v>
      </c>
      <c r="E79" s="4">
        <f ca="1">$B79*('Updated Population'!E$70/'Updated Population'!$B$70)*('Total Duration Tables Sup #1'!E178/'Total Duration Tables Sup #1'!$B178)</f>
        <v>0</v>
      </c>
      <c r="F79" s="4">
        <f ca="1">$B79*('Updated Population'!F$70/'Updated Population'!$B$70)*('Total Duration Tables Sup #1'!F178/'Total Duration Tables Sup #1'!$B178)</f>
        <v>0</v>
      </c>
      <c r="G79" s="4">
        <f ca="1">$B79*('Updated Population'!G$70/'Updated Population'!$B$70)*('Total Duration Tables Sup #1'!G178/'Total Duration Tables Sup #1'!$B178)</f>
        <v>0</v>
      </c>
      <c r="H79" s="4">
        <f ca="1">$B79*('Updated Population'!H$70/'Updated Population'!$B$70)*('Total Duration Tables Sup #1'!H178/'Total Duration Tables Sup #1'!$B178)</f>
        <v>0</v>
      </c>
      <c r="I79" s="1">
        <f ca="1">$B79*('Updated Population'!I$70/'Updated Population'!$B$70)*('Total Duration Tables Sup #1'!I178/'Total Duration Tables Sup #1'!$B178)</f>
        <v>0</v>
      </c>
      <c r="J79" s="1">
        <f ca="1">$B79*('Updated Population'!J$70/'Updated Population'!$B$70)*('Total Duration Tables Sup #1'!J178/'Total Duration Tables Sup #1'!$B178)</f>
        <v>0</v>
      </c>
      <c r="K79" s="1">
        <f ca="1">$B79*('Updated Population'!K$70/'Updated Population'!$B$70)*('Total Duration Tables Sup #1'!K178/'Total Duration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$B80*('Updated Population'!C$70/'Updated Population'!$B$70)*('Total Duration Tables Sup #1'!C179/'Total Duration Tables Sup #1'!$B179)</f>
        <v>6.1469295799096935E-2</v>
      </c>
      <c r="D80" s="4">
        <f ca="1">$B80*('Updated Population'!D$70/'Updated Population'!$B$70)*('Total Duration Tables Sup #1'!D179/'Total Duration Tables Sup #1'!$B179)</f>
        <v>6.238408366488124E-2</v>
      </c>
      <c r="E80" s="4">
        <f ca="1">$B80*('Updated Population'!E$70/'Updated Population'!$B$70)*('Total Duration Tables Sup #1'!E179/'Total Duration Tables Sup #1'!$B179)</f>
        <v>6.2961942968631723E-2</v>
      </c>
      <c r="F80" s="4">
        <f ca="1">$B80*('Updated Population'!F$70/'Updated Population'!$B$70)*('Total Duration Tables Sup #1'!F179/'Total Duration Tables Sup #1'!$B179)</f>
        <v>6.2497677981490266E-2</v>
      </c>
      <c r="G80" s="4">
        <f ca="1">$B80*('Updated Population'!G$70/'Updated Population'!$B$70)*('Total Duration Tables Sup #1'!G179/'Total Duration Tables Sup #1'!$B179)</f>
        <v>6.1987322478288275E-2</v>
      </c>
      <c r="H80" s="4">
        <f ca="1">$B80*('Updated Population'!H$70/'Updated Population'!$B$70)*('Total Duration Tables Sup #1'!H179/'Total Duration Tables Sup #1'!$B179)</f>
        <v>6.0720503603703901E-2</v>
      </c>
      <c r="I80" s="1">
        <f ca="1">$B80*('Updated Population'!I$70/'Updated Population'!$B$70)*('Total Duration Tables Sup #1'!I179/'Total Duration Tables Sup #1'!$B179)</f>
        <v>6.1119697187982484E-2</v>
      </c>
      <c r="J80" s="1">
        <f ca="1">$B80*('Updated Population'!J$70/'Updated Population'!$B$70)*('Total Duration Tables Sup #1'!J179/'Total Duration Tables Sup #1'!$B179)</f>
        <v>6.1325681599353102E-2</v>
      </c>
      <c r="K80" s="1">
        <f ca="1">$B80*('Updated Population'!K$70/'Updated Population'!$B$70)*('Total Duration Tables Sup #1'!K179/'Total Duration Tables Sup #1'!$B179)</f>
        <v>6.1400123199273855E-2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$B82*('Updated Population'!C$81/'Updated Population'!$B$81)*('Total Duration Tables Sup #1'!C170/'Total Duration Tables Sup #1'!$B170)</f>
        <v>8.4147796093248317</v>
      </c>
      <c r="D82" s="4">
        <f ca="1">$B82*('Updated Population'!D$81/'Updated Population'!$B$81)*('Total Duration Tables Sup #1'!D170/'Total Duration Tables Sup #1'!$B170)</f>
        <v>8.2369876590193076</v>
      </c>
      <c r="E82" s="4">
        <f ca="1">$B82*('Updated Population'!E$81/'Updated Population'!$B$81)*('Total Duration Tables Sup #1'!E170/'Total Duration Tables Sup #1'!$B170)</f>
        <v>7.9774012212619638</v>
      </c>
      <c r="F82" s="4">
        <f ca="1">$B82*('Updated Population'!F$81/'Updated Population'!$B$81)*('Total Duration Tables Sup #1'!F170/'Total Duration Tables Sup #1'!$B170)</f>
        <v>7.6648549939609874</v>
      </c>
      <c r="G82" s="4">
        <f ca="1">$B82*('Updated Population'!G$81/'Updated Population'!$B$81)*('Total Duration Tables Sup #1'!G170/'Total Duration Tables Sup #1'!$B170)</f>
        <v>7.3518147471687136</v>
      </c>
      <c r="H82" s="4">
        <f ca="1">$B82*('Updated Population'!H$81/'Updated Population'!$B$81)*('Total Duration Tables Sup #1'!H170/'Total Duration Tables Sup #1'!$B170)</f>
        <v>7.0090242187951182</v>
      </c>
      <c r="I82" s="1">
        <f ca="1">$B82*('Updated Population'!I$81/'Updated Population'!$B$81)*('Total Duration Tables Sup #1'!I170/'Total Duration Tables Sup #1'!$B170)</f>
        <v>6.9512943420191631</v>
      </c>
      <c r="J82" s="1">
        <f ca="1">$B82*('Updated Population'!J$81/'Updated Population'!$B$81)*('Total Duration Tables Sup #1'!J170/'Total Duration Tables Sup #1'!$B170)</f>
        <v>6.8720950407164496</v>
      </c>
      <c r="K82" s="1">
        <f ca="1">$B82*('Updated Population'!K$81/'Updated Population'!$B$81)*('Total Duration Tables Sup #1'!K170/'Total Duration Tables Sup #1'!$B170)</f>
        <v>6.7791977826957028</v>
      </c>
    </row>
    <row r="83" spans="1:11" x14ac:dyDescent="0.2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$B83*('Updated Population'!C$81/'Updated Population'!$B$81)*('Total Duration Tables Sup #1'!C171/'Total Duration Tables Sup #1'!$B171)</f>
        <v>1.7784634062609566</v>
      </c>
      <c r="D83" s="4">
        <f ca="1">$B83*('Updated Population'!D$81/'Updated Population'!$B$81)*('Total Duration Tables Sup #1'!D171/'Total Duration Tables Sup #1'!$B171)</f>
        <v>1.8034327093332012</v>
      </c>
      <c r="E83" s="4">
        <f ca="1">$B83*('Updated Population'!E$81/'Updated Population'!$B$81)*('Total Duration Tables Sup #1'!E171/'Total Duration Tables Sup #1'!$B171)</f>
        <v>1.7608124163601404</v>
      </c>
      <c r="F83" s="4">
        <f ca="1">$B83*('Updated Population'!F$81/'Updated Population'!$B$81)*('Total Duration Tables Sup #1'!F171/'Total Duration Tables Sup #1'!$B171)</f>
        <v>1.7350715539032031</v>
      </c>
      <c r="G83" s="4">
        <f ca="1">$B83*('Updated Population'!G$81/'Updated Population'!$B$81)*('Total Duration Tables Sup #1'!G171/'Total Duration Tables Sup #1'!$B171)</f>
        <v>1.7289331871169216</v>
      </c>
      <c r="H83" s="4">
        <f ca="1">$B83*('Updated Population'!H$81/'Updated Population'!$B$81)*('Total Duration Tables Sup #1'!H171/'Total Duration Tables Sup #1'!$B171)</f>
        <v>1.7174710306582464</v>
      </c>
      <c r="I83" s="1">
        <f ca="1">$B83*('Updated Population'!I$81/'Updated Population'!$B$81)*('Total Duration Tables Sup #1'!I171/'Total Duration Tables Sup #1'!$B171)</f>
        <v>1.7033250685569457</v>
      </c>
      <c r="J83" s="1">
        <f ca="1">$B83*('Updated Population'!J$81/'Updated Population'!$B$81)*('Total Duration Tables Sup #1'!J171/'Total Duration Tables Sup #1'!$B171)</f>
        <v>1.6839183007402456</v>
      </c>
      <c r="K83" s="1">
        <f ca="1">$B83*('Updated Population'!K$81/'Updated Population'!$B$81)*('Total Duration Tables Sup #1'!K171/'Total Duration Tables Sup #1'!$B171)</f>
        <v>1.6611550252117664</v>
      </c>
    </row>
    <row r="84" spans="1:11" x14ac:dyDescent="0.2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$B84*('Updated Population'!C$81/'Updated Population'!$B$81)*('Total Duration Tables Sup #1'!C172/'Total Duration Tables Sup #1'!$B172)</f>
        <v>44.582567399515852</v>
      </c>
      <c r="D84" s="4">
        <f ca="1">$B84*('Updated Population'!D$81/'Updated Population'!$B$81)*('Total Duration Tables Sup #1'!D172/'Total Duration Tables Sup #1'!$B172)</f>
        <v>44.782870100672326</v>
      </c>
      <c r="E84" s="4">
        <f ca="1">$B84*('Updated Population'!E$81/'Updated Population'!$B$81)*('Total Duration Tables Sup #1'!E172/'Total Duration Tables Sup #1'!$B172)</f>
        <v>45.163383225463612</v>
      </c>
      <c r="F84" s="4">
        <f ca="1">$B84*('Updated Population'!F$81/'Updated Population'!$B$81)*('Total Duration Tables Sup #1'!F172/'Total Duration Tables Sup #1'!$B172)</f>
        <v>45.078147158497515</v>
      </c>
      <c r="G84" s="4">
        <f ca="1">$B84*('Updated Population'!G$81/'Updated Population'!$B$81)*('Total Duration Tables Sup #1'!G172/'Total Duration Tables Sup #1'!$B172)</f>
        <v>44.513439803291888</v>
      </c>
      <c r="H84" s="4">
        <f ca="1">$B84*('Updated Population'!H$81/'Updated Population'!$B$81)*('Total Duration Tables Sup #1'!H172/'Total Duration Tables Sup #1'!$B172)</f>
        <v>43.576704173628499</v>
      </c>
      <c r="I84" s="1">
        <f ca="1">$B84*('Updated Population'!I$81/'Updated Population'!$B$81)*('Total Duration Tables Sup #1'!I172/'Total Duration Tables Sup #1'!$B172)</f>
        <v>43.217784346315035</v>
      </c>
      <c r="J84" s="1">
        <f ca="1">$B84*('Updated Population'!J$81/'Updated Population'!$B$81)*('Total Duration Tables Sup #1'!J172/'Total Duration Tables Sup #1'!$B172)</f>
        <v>42.725384203885547</v>
      </c>
      <c r="K84" s="1">
        <f ca="1">$B84*('Updated Population'!K$81/'Updated Population'!$B$81)*('Total Duration Tables Sup #1'!K172/'Total Duration Tables Sup #1'!$B172)</f>
        <v>42.14782073642656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$B85*('Updated Population'!C$81/'Updated Population'!$B$81)*('Total Duration Tables Sup #1'!C173/'Total Duration Tables Sup #1'!$B173)</f>
        <v>20.463397119408089</v>
      </c>
      <c r="D85" s="4">
        <f ca="1">$B85*('Updated Population'!D$81/'Updated Population'!$B$81)*('Total Duration Tables Sup #1'!D173/'Total Duration Tables Sup #1'!$B173)</f>
        <v>20.252815323737153</v>
      </c>
      <c r="E85" s="4">
        <f ca="1">$B85*('Updated Population'!E$81/'Updated Population'!$B$81)*('Total Duration Tables Sup #1'!E173/'Total Duration Tables Sup #1'!$B173)</f>
        <v>20.077648074172018</v>
      </c>
      <c r="F85" s="4">
        <f ca="1">$B85*('Updated Population'!F$81/'Updated Population'!$B$81)*('Total Duration Tables Sup #1'!F173/'Total Duration Tables Sup #1'!$B173)</f>
        <v>19.749291500142728</v>
      </c>
      <c r="G85" s="4">
        <f ca="1">$B85*('Updated Population'!G$81/'Updated Population'!$B$81)*('Total Duration Tables Sup #1'!G173/'Total Duration Tables Sup #1'!$B173)</f>
        <v>19.323696098503596</v>
      </c>
      <c r="H85" s="4">
        <f ca="1">$B85*('Updated Population'!H$81/'Updated Population'!$B$81)*('Total Duration Tables Sup #1'!H173/'Total Duration Tables Sup #1'!$B173)</f>
        <v>18.784016073226834</v>
      </c>
      <c r="I85" s="1">
        <f ca="1">$B85*('Updated Population'!I$81/'Updated Population'!$B$81)*('Total Duration Tables Sup #1'!I173/'Total Duration Tables Sup #1'!$B173)</f>
        <v>18.62930139406264</v>
      </c>
      <c r="J85" s="1">
        <f ca="1">$B85*('Updated Population'!J$81/'Updated Population'!$B$81)*('Total Duration Tables Sup #1'!J173/'Total Duration Tables Sup #1'!$B173)</f>
        <v>18.417049174321527</v>
      </c>
      <c r="K85" s="1">
        <f ca="1">$B85*('Updated Population'!K$81/'Updated Population'!$B$81)*('Total Duration Tables Sup #1'!K173/'Total Duration Tables Sup #1'!$B173)</f>
        <v>18.16808676053201</v>
      </c>
    </row>
    <row r="86" spans="1:11" x14ac:dyDescent="0.2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$B86*('Updated Population'!C$81/'Updated Population'!$B$81)*('Total Duration Tables Sup #1'!C174/'Total Duration Tables Sup #1'!$B174)</f>
        <v>0.2986924559595211</v>
      </c>
      <c r="D86" s="4">
        <f ca="1">$B86*('Updated Population'!D$81/'Updated Population'!$B$81)*('Total Duration Tables Sup #1'!D174/'Total Duration Tables Sup #1'!$B174)</f>
        <v>0.32097406713255205</v>
      </c>
      <c r="E86" s="4">
        <f ca="1">$B86*('Updated Population'!E$81/'Updated Population'!$B$81)*('Total Duration Tables Sup #1'!E174/'Total Duration Tables Sup #1'!$B174)</f>
        <v>0.33745011225907878</v>
      </c>
      <c r="F86" s="4">
        <f ca="1">$B86*('Updated Population'!F$81/'Updated Population'!$B$81)*('Total Duration Tables Sup #1'!F174/'Total Duration Tables Sup #1'!$B174)</f>
        <v>0.34752764243895262</v>
      </c>
      <c r="G86" s="4">
        <f ca="1">$B86*('Updated Population'!G$81/'Updated Population'!$B$81)*('Total Duration Tables Sup #1'!G174/'Total Duration Tables Sup #1'!$B174)</f>
        <v>0.34986175123828639</v>
      </c>
      <c r="H86" s="4">
        <f ca="1">$B86*('Updated Population'!H$81/'Updated Population'!$B$81)*('Total Duration Tables Sup #1'!H174/'Total Duration Tables Sup #1'!$B174)</f>
        <v>0.34815773884248746</v>
      </c>
      <c r="I86" s="1">
        <f ca="1">$B86*('Updated Population'!I$81/'Updated Population'!$B$81)*('Total Duration Tables Sup #1'!I174/'Total Duration Tables Sup #1'!$B174)</f>
        <v>0.34529013520258628</v>
      </c>
      <c r="J86" s="1">
        <f ca="1">$B86*('Updated Population'!J$81/'Updated Population'!$B$81)*('Total Duration Tables Sup #1'!J174/'Total Duration Tables Sup #1'!$B174)</f>
        <v>0.34135608549770491</v>
      </c>
      <c r="K86" s="1">
        <f ca="1">$B86*('Updated Population'!K$81/'Updated Population'!$B$81)*('Total Duration Tables Sup #1'!K174/'Total Duration Tables Sup #1'!$B174)</f>
        <v>0.33674162016165415</v>
      </c>
    </row>
    <row r="87" spans="1:11" x14ac:dyDescent="0.2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$B87*('Updated Population'!C$81/'Updated Population'!$B$81)*('Total Duration Tables Sup #1'!C175/'Total Duration Tables Sup #1'!$B175)</f>
        <v>0.16972296106836279</v>
      </c>
      <c r="D87" s="4">
        <f ca="1">$B87*('Updated Population'!D$81/'Updated Population'!$B$81)*('Total Duration Tables Sup #1'!D175/'Total Duration Tables Sup #1'!$B175)</f>
        <v>0.16935167042403229</v>
      </c>
      <c r="E87" s="4">
        <f ca="1">$B87*('Updated Population'!E$81/'Updated Population'!$B$81)*('Total Duration Tables Sup #1'!E175/'Total Duration Tables Sup #1'!$B175)</f>
        <v>0.16731582241744478</v>
      </c>
      <c r="F87" s="4">
        <f ca="1">$B87*('Updated Population'!F$81/'Updated Population'!$B$81)*('Total Duration Tables Sup #1'!F175/'Total Duration Tables Sup #1'!$B175)</f>
        <v>0.16289312372604078</v>
      </c>
      <c r="G87" s="4">
        <f ca="1">$B87*('Updated Population'!G$81/'Updated Population'!$B$81)*('Total Duration Tables Sup #1'!G175/'Total Duration Tables Sup #1'!$B175)</f>
        <v>0.15555228948634309</v>
      </c>
      <c r="H87" s="4">
        <f ca="1">$B87*('Updated Population'!H$81/'Updated Population'!$B$81)*('Total Duration Tables Sup #1'!H175/'Total Duration Tables Sup #1'!$B175)</f>
        <v>0.14705388313706097</v>
      </c>
      <c r="I87" s="1">
        <f ca="1">$B87*('Updated Population'!I$81/'Updated Population'!$B$81)*('Total Duration Tables Sup #1'!I175/'Total Duration Tables Sup #1'!$B175)</f>
        <v>0.14584267280479193</v>
      </c>
      <c r="J87" s="1">
        <f ca="1">$B87*('Updated Population'!J$81/'Updated Population'!$B$81)*('Total Duration Tables Sup #1'!J175/'Total Duration Tables Sup #1'!$B175)</f>
        <v>0.14418101999339558</v>
      </c>
      <c r="K87" s="1">
        <f ca="1">$B87*('Updated Population'!K$81/'Updated Population'!$B$81)*('Total Duration Tables Sup #1'!K175/'Total Duration Tables Sup #1'!$B175)</f>
        <v>0.14223197514802272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Duration Tables Sup #1'!C176/'Total Duration Tables Sup #1'!$B176)</f>
        <v>0</v>
      </c>
      <c r="D88" s="4">
        <f ca="1">$B88*('Updated Population'!D$81/'Updated Population'!$B$81)*('Total Duration Tables Sup #1'!D176/'Total Duration Tables Sup #1'!$B176)</f>
        <v>0</v>
      </c>
      <c r="E88" s="4">
        <f ca="1">$B88*('Updated Population'!E$81/'Updated Population'!$B$81)*('Total Duration Tables Sup #1'!E176/'Total Duration Tables Sup #1'!$B176)</f>
        <v>0</v>
      </c>
      <c r="F88" s="4">
        <f ca="1">$B88*('Updated Population'!F$81/'Updated Population'!$B$81)*('Total Duration Tables Sup #1'!F176/'Total Duration Tables Sup #1'!$B176)</f>
        <v>0</v>
      </c>
      <c r="G88" s="4">
        <f ca="1">$B88*('Updated Population'!G$81/'Updated Population'!$B$81)*('Total Duration Tables Sup #1'!G176/'Total Duration Tables Sup #1'!$B176)</f>
        <v>0</v>
      </c>
      <c r="H88" s="4">
        <f ca="1">$B88*('Updated Population'!H$81/'Updated Population'!$B$81)*('Total Duration Tables Sup #1'!H176/'Total Duration Tables Sup #1'!$B176)</f>
        <v>0</v>
      </c>
      <c r="I88" s="1">
        <f ca="1">$B88*('Updated Population'!I$81/'Updated Population'!$B$81)*('Total Duration Tables Sup #1'!I176/'Total Duration Tables Sup #1'!$B176)</f>
        <v>0</v>
      </c>
      <c r="J88" s="1">
        <f ca="1">$B88*('Updated Population'!J$81/'Updated Population'!$B$81)*('Total Duration Tables Sup #1'!J176/'Total Duration Tables Sup #1'!$B176)</f>
        <v>0</v>
      </c>
      <c r="K88" s="1">
        <f ca="1">$B88*('Updated Population'!K$81/'Updated Population'!$B$81)*('Total Duration Tables Sup #1'!K176/'Total Duration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$B89*('Updated Population'!C$81/'Updated Population'!$B$81)*('Total Duration Tables Sup #1'!C177/'Total Duration Tables Sup #1'!$B177)</f>
        <v>1.5787633048518921</v>
      </c>
      <c r="D89" s="4">
        <f ca="1">$B89*('Updated Population'!D$81/'Updated Population'!$B$81)*('Total Duration Tables Sup #1'!D177/'Total Duration Tables Sup #1'!$B177)</f>
        <v>1.5486247592491464</v>
      </c>
      <c r="E89" s="4">
        <f ca="1">$B89*('Updated Population'!E$81/'Updated Population'!$B$81)*('Total Duration Tables Sup #1'!E177/'Total Duration Tables Sup #1'!$B177)</f>
        <v>1.4984053527137087</v>
      </c>
      <c r="F89" s="4">
        <f ca="1">$B89*('Updated Population'!F$81/'Updated Population'!$B$81)*('Total Duration Tables Sup #1'!F177/'Total Duration Tables Sup #1'!$B177)</f>
        <v>1.4432900657677612</v>
      </c>
      <c r="G89" s="4">
        <f ca="1">$B89*('Updated Population'!G$81/'Updated Population'!$B$81)*('Total Duration Tables Sup #1'!G177/'Total Duration Tables Sup #1'!$B177)</f>
        <v>1.4001389713092498</v>
      </c>
      <c r="H89" s="4">
        <f ca="1">$B89*('Updated Population'!H$81/'Updated Population'!$B$81)*('Total Duration Tables Sup #1'!H177/'Total Duration Tables Sup #1'!$B177)</f>
        <v>1.3567157955942368</v>
      </c>
      <c r="I89" s="1">
        <f ca="1">$B89*('Updated Population'!I$81/'Updated Population'!$B$81)*('Total Duration Tables Sup #1'!I177/'Total Duration Tables Sup #1'!$B177)</f>
        <v>1.3455411964981714</v>
      </c>
      <c r="J89" s="1">
        <f ca="1">$B89*('Updated Population'!J$81/'Updated Population'!$B$81)*('Total Duration Tables Sup #1'!J177/'Total Duration Tables Sup #1'!$B177)</f>
        <v>1.3302108252905385</v>
      </c>
      <c r="K89" s="1">
        <f ca="1">$B89*('Updated Population'!K$81/'Updated Population'!$B$81)*('Total Duration Tables Sup #1'!K177/'Total Duration Tables Sup #1'!$B177)</f>
        <v>1.3122289816858084</v>
      </c>
    </row>
    <row r="90" spans="1:11" x14ac:dyDescent="0.2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$B90*('Updated Population'!C$81/'Updated Population'!$B$81)*('Total Duration Tables Sup #1'!C178/'Total Duration Tables Sup #1'!$B178)</f>
        <v>1.5857102112361798E-2</v>
      </c>
      <c r="D90" s="4">
        <f ca="1">$B90*('Updated Population'!D$81/'Updated Population'!$B$81)*('Total Duration Tables Sup #1'!D178/'Total Duration Tables Sup #1'!$B178)</f>
        <v>1.5975176494768199E-2</v>
      </c>
      <c r="E90" s="4">
        <f ca="1">$B90*('Updated Population'!E$81/'Updated Population'!$B$81)*('Total Duration Tables Sup #1'!E178/'Total Duration Tables Sup #1'!$B178)</f>
        <v>1.6334431171871635E-2</v>
      </c>
      <c r="F90" s="4">
        <f ca="1">$B90*('Updated Population'!F$81/'Updated Population'!$B$81)*('Total Duration Tables Sup #1'!F178/'Total Duration Tables Sup #1'!$B178)</f>
        <v>1.630988069332167E-2</v>
      </c>
      <c r="G90" s="4">
        <f ca="1">$B90*('Updated Population'!G$81/'Updated Population'!$B$81)*('Total Duration Tables Sup #1'!G178/'Total Duration Tables Sup #1'!$B178)</f>
        <v>1.6438810420099842E-2</v>
      </c>
      <c r="H90" s="4">
        <f ca="1">$B90*('Updated Population'!H$81/'Updated Population'!$B$81)*('Total Duration Tables Sup #1'!H178/'Total Duration Tables Sup #1'!$B178)</f>
        <v>1.6277738708925241E-2</v>
      </c>
      <c r="I90" s="1">
        <f ca="1">$B90*('Updated Population'!I$81/'Updated Population'!$B$81)*('Total Duration Tables Sup #1'!I178/'Total Duration Tables Sup #1'!$B178)</f>
        <v>1.6143667000721184E-2</v>
      </c>
      <c r="J90" s="1">
        <f ca="1">$B90*('Updated Population'!J$81/'Updated Population'!$B$81)*('Total Duration Tables Sup #1'!J178/'Total Duration Tables Sup #1'!$B178)</f>
        <v>1.5959734759614357E-2</v>
      </c>
      <c r="K90" s="1">
        <f ca="1">$B90*('Updated Population'!K$81/'Updated Population'!$B$81)*('Total Duration Tables Sup #1'!K178/'Total Duration Tables Sup #1'!$B178)</f>
        <v>1.5743990421225231E-2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$B91*('Updated Population'!C$81/'Updated Population'!$B$81)*('Total Duration Tables Sup #1'!C179/'Total Duration Tables Sup #1'!$B179)</f>
        <v>4.3003381195951533E-2</v>
      </c>
      <c r="D91" s="4">
        <f ca="1">$B91*('Updated Population'!D$81/'Updated Population'!$B$81)*('Total Duration Tables Sup #1'!D179/'Total Duration Tables Sup #1'!$B179)</f>
        <v>4.3155406435749284E-2</v>
      </c>
      <c r="E91" s="4">
        <f ca="1">$B91*('Updated Population'!E$81/'Updated Population'!$B$81)*('Total Duration Tables Sup #1'!E179/'Total Duration Tables Sup #1'!$B179)</f>
        <v>4.3018042661800489E-2</v>
      </c>
      <c r="F91" s="4">
        <f ca="1">$B91*('Updated Population'!F$81/'Updated Population'!$B$81)*('Total Duration Tables Sup #1'!F179/'Total Duration Tables Sup #1'!$B179)</f>
        <v>4.2169550489825403E-2</v>
      </c>
      <c r="G91" s="4">
        <f ca="1">$B91*('Updated Population'!G$81/'Updated Population'!$B$81)*('Total Duration Tables Sup #1'!G179/'Total Duration Tables Sup #1'!$B179)</f>
        <v>4.1259554274773604E-2</v>
      </c>
      <c r="H91" s="4">
        <f ca="1">$B91*('Updated Population'!H$81/'Updated Population'!$B$81)*('Total Duration Tables Sup #1'!H179/'Total Duration Tables Sup #1'!$B179)</f>
        <v>3.9821655236750436E-2</v>
      </c>
      <c r="I91" s="1">
        <f ca="1">$B91*('Updated Population'!I$81/'Updated Population'!$B$81)*('Total Duration Tables Sup #1'!I179/'Total Duration Tables Sup #1'!$B179)</f>
        <v>3.9493663896148765E-2</v>
      </c>
      <c r="J91" s="1">
        <f ca="1">$B91*('Updated Population'!J$81/'Updated Population'!$B$81)*('Total Duration Tables Sup #1'!J179/'Total Duration Tables Sup #1'!$B179)</f>
        <v>3.9043694374997599E-2</v>
      </c>
      <c r="K91" s="1">
        <f ca="1">$B91*('Updated Population'!K$81/'Updated Population'!$B$81)*('Total Duration Tables Sup #1'!K179/'Total Duration Tables Sup #1'!$B179)</f>
        <v>3.8515900139186335E-2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$B93*('Updated Population'!C$92/'Updated Population'!$B$92)*('Total Duration Tables Sup #1'!C170/'Total Duration Tables Sup #1'!$B170)</f>
        <v>33.864523282638537</v>
      </c>
      <c r="D93" s="4">
        <f ca="1">$B93*('Updated Population'!D$92/'Updated Population'!$B$92)*('Total Duration Tables Sup #1'!D170/'Total Duration Tables Sup #1'!$B170)</f>
        <v>33.68782881281836</v>
      </c>
      <c r="E93" s="4">
        <f ca="1">$B93*('Updated Population'!E$92/'Updated Population'!$B$92)*('Total Duration Tables Sup #1'!E170/'Total Duration Tables Sup #1'!$B170)</f>
        <v>33.073440458043812</v>
      </c>
      <c r="F93" s="4">
        <f ca="1">$B93*('Updated Population'!F$92/'Updated Population'!$B$92)*('Total Duration Tables Sup #1'!F170/'Total Duration Tables Sup #1'!$B170)</f>
        <v>32.246861901359502</v>
      </c>
      <c r="G93" s="4">
        <f ca="1">$B93*('Updated Population'!G$92/'Updated Population'!$B$92)*('Total Duration Tables Sup #1'!G170/'Total Duration Tables Sup #1'!$B170)</f>
        <v>31.397496928712687</v>
      </c>
      <c r="H93" s="4">
        <f ca="1">$B93*('Updated Population'!H$92/'Updated Population'!$B$92)*('Total Duration Tables Sup #1'!H170/'Total Duration Tables Sup #1'!$B170)</f>
        <v>30.381736385027573</v>
      </c>
      <c r="I93" s="1">
        <f ca="1">$B93*('Updated Population'!I$92/'Updated Population'!$B$92)*('Total Duration Tables Sup #1'!I170/'Total Duration Tables Sup #1'!$B170)</f>
        <v>30.582660801068599</v>
      </c>
      <c r="J93" s="1">
        <f ca="1">$B93*('Updated Population'!J$92/'Updated Population'!$B$92)*('Total Duration Tables Sup #1'!J170/'Total Duration Tables Sup #1'!$B170)</f>
        <v>30.686920310736706</v>
      </c>
      <c r="K93" s="1">
        <f ca="1">$B93*('Updated Population'!K$92/'Updated Population'!$B$92)*('Total Duration Tables Sup #1'!K170/'Total Duration Tables Sup #1'!$B170)</f>
        <v>30.72536225415665</v>
      </c>
    </row>
    <row r="94" spans="1:11" x14ac:dyDescent="0.2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$B94*('Updated Population'!C$92/'Updated Population'!$B$92)*('Total Duration Tables Sup #1'!C171/'Total Duration Tables Sup #1'!$B171)</f>
        <v>3.8097752959455513</v>
      </c>
      <c r="D94" s="4">
        <f ca="1">$B94*('Updated Population'!D$92/'Updated Population'!$B$92)*('Total Duration Tables Sup #1'!D171/'Total Duration Tables Sup #1'!$B171)</f>
        <v>3.9260584041008202</v>
      </c>
      <c r="E94" s="4">
        <f ca="1">$B94*('Updated Population'!E$92/'Updated Population'!$B$92)*('Total Duration Tables Sup #1'!E171/'Total Duration Tables Sup #1'!$B171)</f>
        <v>3.8858250055596875</v>
      </c>
      <c r="F94" s="4">
        <f ca="1">$B94*('Updated Population'!F$92/'Updated Population'!$B$92)*('Total Duration Tables Sup #1'!F171/'Total Duration Tables Sup #1'!$B171)</f>
        <v>3.8855554547798987</v>
      </c>
      <c r="G94" s="4">
        <f ca="1">$B94*('Updated Population'!G$92/'Updated Population'!$B$92)*('Total Duration Tables Sup #1'!G171/'Total Duration Tables Sup #1'!$B171)</f>
        <v>3.9303469534660569</v>
      </c>
      <c r="H94" s="4">
        <f ca="1">$B94*('Updated Population'!H$92/'Updated Population'!$B$92)*('Total Duration Tables Sup #1'!H171/'Total Duration Tables Sup #1'!$B171)</f>
        <v>3.9627498501171528</v>
      </c>
      <c r="I94" s="1">
        <f ca="1">$B94*('Updated Population'!I$92/'Updated Population'!$B$92)*('Total Duration Tables Sup #1'!I171/'Total Duration Tables Sup #1'!$B171)</f>
        <v>3.9889568183253239</v>
      </c>
      <c r="J94" s="1">
        <f ca="1">$B94*('Updated Population'!J$92/'Updated Population'!$B$92)*('Total Duration Tables Sup #1'!J171/'Total Duration Tables Sup #1'!$B171)</f>
        <v>4.0025555919791618</v>
      </c>
      <c r="K94" s="1">
        <f ca="1">$B94*('Updated Population'!K$92/'Updated Population'!$B$92)*('Total Duration Tables Sup #1'!K171/'Total Duration Tables Sup #1'!$B171)</f>
        <v>4.0075696505436582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$B95*('Updated Population'!C$92/'Updated Population'!$B$92)*('Total Duration Tables Sup #1'!C172/'Total Duration Tables Sup #1'!$B172)</f>
        <v>99.300621033904662</v>
      </c>
      <c r="D95" s="4">
        <f ca="1">$B95*('Updated Population'!D$92/'Updated Population'!$B$92)*('Total Duration Tables Sup #1'!D172/'Total Duration Tables Sup #1'!$B172)</f>
        <v>101.36807502040664</v>
      </c>
      <c r="E95" s="4">
        <f ca="1">$B95*('Updated Population'!E$92/'Updated Population'!$B$92)*('Total Duration Tables Sup #1'!E172/'Total Duration Tables Sup #1'!$B172)</f>
        <v>103.63085386262472</v>
      </c>
      <c r="F95" s="4">
        <f ca="1">$B95*('Updated Population'!F$92/'Updated Population'!$B$92)*('Total Duration Tables Sup #1'!F172/'Total Duration Tables Sup #1'!$B172)</f>
        <v>104.96251806124636</v>
      </c>
      <c r="G95" s="4">
        <f ca="1">$B95*('Updated Population'!G$92/'Updated Population'!$B$92)*('Total Duration Tables Sup #1'!G172/'Total Duration Tables Sup #1'!$B172)</f>
        <v>105.21466988012281</v>
      </c>
      <c r="H95" s="4">
        <f ca="1">$B95*('Updated Population'!H$92/'Updated Population'!$B$92)*('Total Duration Tables Sup #1'!H172/'Total Duration Tables Sup #1'!$B172)</f>
        <v>104.54278853936249</v>
      </c>
      <c r="I95" s="1">
        <f ca="1">$B95*('Updated Population'!I$92/'Updated Population'!$B$92)*('Total Duration Tables Sup #1'!I172/'Total Duration Tables Sup #1'!$B172)</f>
        <v>105.23416438675888</v>
      </c>
      <c r="J95" s="1">
        <f ca="1">$B95*('Updated Population'!J$92/'Updated Population'!$B$92)*('Total Duration Tables Sup #1'!J172/'Total Duration Tables Sup #1'!$B172)</f>
        <v>105.59291872964171</v>
      </c>
      <c r="K95" s="1">
        <f ca="1">$B95*('Updated Population'!K$92/'Updated Population'!$B$92)*('Total Duration Tables Sup #1'!K172/'Total Duration Tables Sup #1'!$B172)</f>
        <v>105.72519648727423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$B96*('Updated Population'!C$92/'Updated Population'!$B$92)*('Total Duration Tables Sup #1'!C173/'Total Duration Tables Sup #1'!$B173)</f>
        <v>50.263731108068235</v>
      </c>
      <c r="D96" s="4">
        <f ca="1">$B96*('Updated Population'!D$92/'Updated Population'!$B$92)*('Total Duration Tables Sup #1'!D173/'Total Duration Tables Sup #1'!$B173)</f>
        <v>50.555077369456953</v>
      </c>
      <c r="E96" s="4">
        <f ca="1">$B96*('Updated Population'!E$92/'Updated Population'!$B$92)*('Total Duration Tables Sup #1'!E173/'Total Duration Tables Sup #1'!$B173)</f>
        <v>50.804893749985318</v>
      </c>
      <c r="F96" s="4">
        <f ca="1">$B96*('Updated Population'!F$92/'Updated Population'!$B$92)*('Total Duration Tables Sup #1'!F173/'Total Duration Tables Sup #1'!$B173)</f>
        <v>50.711890988449063</v>
      </c>
      <c r="G96" s="4">
        <f ca="1">$B96*('Updated Population'!G$92/'Updated Population'!$B$92)*('Total Duration Tables Sup #1'!G173/'Total Duration Tables Sup #1'!$B173)</f>
        <v>50.369244973706635</v>
      </c>
      <c r="H96" s="4">
        <f ca="1">$B96*('Updated Population'!H$92/'Updated Population'!$B$92)*('Total Duration Tables Sup #1'!H173/'Total Duration Tables Sup #1'!$B173)</f>
        <v>49.695635912425516</v>
      </c>
      <c r="I96" s="1">
        <f ca="1">$B96*('Updated Population'!I$92/'Updated Population'!$B$92)*('Total Duration Tables Sup #1'!I173/'Total Duration Tables Sup #1'!$B173)</f>
        <v>50.024289498874651</v>
      </c>
      <c r="J96" s="1">
        <f ca="1">$B96*('Updated Population'!J$92/'Updated Population'!$B$92)*('Total Duration Tables Sup #1'!J173/'Total Duration Tables Sup #1'!$B173)</f>
        <v>50.194827567114473</v>
      </c>
      <c r="K96" s="1">
        <f ca="1">$B96*('Updated Population'!K$92/'Updated Population'!$B$92)*('Total Duration Tables Sup #1'!K173/'Total Duration Tables Sup #1'!$B173)</f>
        <v>50.257707344614786</v>
      </c>
    </row>
    <row r="97" spans="1:11" x14ac:dyDescent="0.2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$B97*('Updated Population'!C$92/'Updated Population'!$B$92)*('Total Duration Tables Sup #1'!C174/'Total Duration Tables Sup #1'!$B174)</f>
        <v>0.86386991581086947</v>
      </c>
      <c r="D97" s="4">
        <f ca="1">$B97*('Updated Population'!D$92/'Updated Population'!$B$92)*('Total Duration Tables Sup #1'!D174/'Total Duration Tables Sup #1'!$B174)</f>
        <v>0.94340120638322889</v>
      </c>
      <c r="E97" s="4">
        <f ca="1">$B97*('Updated Population'!E$92/'Updated Population'!$B$92)*('Total Duration Tables Sup #1'!E174/'Total Duration Tables Sup #1'!$B174)</f>
        <v>1.0054243337825679</v>
      </c>
      <c r="F97" s="4">
        <f ca="1">$B97*('Updated Population'!F$92/'Updated Population'!$B$92)*('Total Duration Tables Sup #1'!F174/'Total Duration Tables Sup #1'!$B174)</f>
        <v>1.0507387395715218</v>
      </c>
      <c r="G97" s="4">
        <f ca="1">$B97*('Updated Population'!G$92/'Updated Population'!$B$92)*('Total Duration Tables Sup #1'!G174/'Total Duration Tables Sup #1'!$B174)</f>
        <v>1.0737886595304422</v>
      </c>
      <c r="H97" s="4">
        <f ca="1">$B97*('Updated Population'!H$92/'Updated Population'!$B$92)*('Total Duration Tables Sup #1'!H174/'Total Duration Tables Sup #1'!$B174)</f>
        <v>1.0845584424913213</v>
      </c>
      <c r="I97" s="1">
        <f ca="1">$B97*('Updated Population'!I$92/'Updated Population'!$B$92)*('Total Duration Tables Sup #1'!I174/'Total Duration Tables Sup #1'!$B174)</f>
        <v>1.091730984210409</v>
      </c>
      <c r="J97" s="1">
        <f ca="1">$B97*('Updated Population'!J$92/'Updated Population'!$B$92)*('Total Duration Tables Sup #1'!J174/'Total Duration Tables Sup #1'!$B174)</f>
        <v>1.095452810046416</v>
      </c>
      <c r="K97" s="1">
        <f ca="1">$B97*('Updated Population'!K$92/'Updated Population'!$B$92)*('Total Duration Tables Sup #1'!K174/'Total Duration Tables Sup #1'!$B174)</f>
        <v>1.0968250994295343</v>
      </c>
    </row>
    <row r="98" spans="1:11" x14ac:dyDescent="0.2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$B98*('Updated Population'!C$92/'Updated Population'!$B$92)*('Total Duration Tables Sup #1'!C175/'Total Duration Tables Sup #1'!$B175)</f>
        <v>0.74706086182974529</v>
      </c>
      <c r="D98" s="4">
        <f ca="1">$B98*('Updated Population'!D$92/'Updated Population'!$B$92)*('Total Duration Tables Sup #1'!D175/'Total Duration Tables Sup #1'!$B175)</f>
        <v>0.75754293973260944</v>
      </c>
      <c r="E98" s="4">
        <f ca="1">$B98*('Updated Population'!E$92/'Updated Population'!$B$92)*('Total Duration Tables Sup #1'!E175/'Total Duration Tables Sup #1'!$B175)</f>
        <v>0.75869656153068965</v>
      </c>
      <c r="F98" s="4">
        <f ca="1">$B98*('Updated Population'!F$92/'Updated Population'!$B$92)*('Total Duration Tables Sup #1'!F175/'Total Duration Tables Sup #1'!$B175)</f>
        <v>0.74954796641023869</v>
      </c>
      <c r="G98" s="4">
        <f ca="1">$B98*('Updated Population'!G$92/'Updated Population'!$B$92)*('Total Duration Tables Sup #1'!G175/'Total Duration Tables Sup #1'!$B175)</f>
        <v>0.72659104865314295</v>
      </c>
      <c r="H98" s="4">
        <f ca="1">$B98*('Updated Population'!H$92/'Updated Population'!$B$92)*('Total Duration Tables Sup #1'!H175/'Total Duration Tables Sup #1'!$B175)</f>
        <v>0.69717963330819166</v>
      </c>
      <c r="I98" s="1">
        <f ca="1">$B98*('Updated Population'!I$92/'Updated Population'!$B$92)*('Total Duration Tables Sup #1'!I175/'Total Duration Tables Sup #1'!$B175)</f>
        <v>0.70179031154339544</v>
      </c>
      <c r="J98" s="1">
        <f ca="1">$B98*('Updated Population'!J$92/'Updated Population'!$B$92)*('Total Duration Tables Sup #1'!J175/'Total Duration Tables Sup #1'!$B175)</f>
        <v>0.70418278858282901</v>
      </c>
      <c r="K98" s="1">
        <f ca="1">$B98*('Updated Population'!K$92/'Updated Population'!$B$92)*('Total Duration Tables Sup #1'!K175/'Total Duration Tables Sup #1'!$B175)</f>
        <v>0.70506492842097135</v>
      </c>
    </row>
    <row r="99" spans="1:11" x14ac:dyDescent="0.2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5.4457496082999999</v>
      </c>
      <c r="D99" s="4">
        <f ca="1">OFFSET(Wellington_Reference,44,7)</f>
        <v>5.7970040563999996</v>
      </c>
      <c r="E99" s="4">
        <f ca="1">OFFSET(Wellington_Reference,45,7)</f>
        <v>5.7580250529999999</v>
      </c>
      <c r="F99" s="4">
        <f ca="1">OFFSET(Wellington_Reference,46,7)</f>
        <v>5.6142858811999998</v>
      </c>
      <c r="G99" s="4">
        <f ca="1">OFFSET(Wellington_Reference,47,7)</f>
        <v>5.4689339025999999</v>
      </c>
      <c r="H99" s="4">
        <f ca="1">OFFSET(Wellington_Reference,48,7)</f>
        <v>5.2999744542</v>
      </c>
      <c r="I99" s="1">
        <f ca="1">OFFSET(Wellington_Reference,48,7)*('Updated Population'!I92/'Updated Population'!H92)</f>
        <v>5.3350249285621985</v>
      </c>
      <c r="J99" s="1">
        <f ca="1">OFFSET(Wellington_Reference,48,7)*('Updated Population'!J92/'Updated Population'!H92)</f>
        <v>5.353212590085084</v>
      </c>
      <c r="K99" s="1">
        <f ca="1">OFFSET(Wellington_Reference,48,7)*('Updated Population'!K92/'Updated Population'!H92)</f>
        <v>5.3599186359645383</v>
      </c>
    </row>
    <row r="100" spans="1:11" x14ac:dyDescent="0.2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9.0797274296000001</v>
      </c>
      <c r="D100" s="4">
        <f ca="1">OFFSET(Wellington_Reference,51,7)</f>
        <v>9.3040085975999993</v>
      </c>
      <c r="E100" s="4">
        <f ca="1">OFFSET(Wellington_Reference,52,7)</f>
        <v>8.8628852868999992</v>
      </c>
      <c r="F100" s="4">
        <f ca="1">OFFSET(Wellington_Reference,53,7)</f>
        <v>8.3726417217000009</v>
      </c>
      <c r="G100" s="4">
        <f ca="1">OFFSET(Wellington_Reference,54,7)</f>
        <v>7.8966896970000002</v>
      </c>
      <c r="H100" s="4">
        <f ca="1">OFFSET(Wellington_Reference,55,7)</f>
        <v>7.4243218439999996</v>
      </c>
      <c r="I100" s="1">
        <f ca="1">OFFSET(Wellington_Reference,55,7)*('Updated Population'!I92/'Updated Population'!H92)</f>
        <v>7.473421326402903</v>
      </c>
      <c r="J100" s="1">
        <f ca="1">OFFSET(Wellington_Reference,55,7)*('Updated Population'!J92/'Updated Population'!H92)</f>
        <v>7.4988990063242902</v>
      </c>
      <c r="K100" s="1">
        <f ca="1">OFFSET(Wellington_Reference,55,7)*('Updated Population'!K92/'Updated Population'!H92)</f>
        <v>7.5082929842273813</v>
      </c>
    </row>
    <row r="101" spans="1:11" x14ac:dyDescent="0.2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$B101*('Updated Population'!C$92/'Updated Population'!$B$92)*('Total Duration Tables Sup #1'!C178/'Total Duration Tables Sup #1'!$B178)</f>
        <v>6.8299076434075554E-2</v>
      </c>
      <c r="D101" s="4">
        <f ca="1">$B101*('Updated Population'!D$92/'Updated Population'!$B$92)*('Total Duration Tables Sup #1'!D178/'Total Duration Tables Sup #1'!$B178)</f>
        <v>6.9926060065003251E-2</v>
      </c>
      <c r="E101" s="4">
        <f ca="1">$B101*('Updated Population'!E$92/'Updated Population'!$B$92)*('Total Duration Tables Sup #1'!E178/'Total Duration Tables Sup #1'!$B178)</f>
        <v>7.2478757947491132E-2</v>
      </c>
      <c r="F101" s="4">
        <f ca="1">$B101*('Updated Population'!F$92/'Updated Population'!$B$92)*('Total Duration Tables Sup #1'!F178/'Total Duration Tables Sup #1'!$B178)</f>
        <v>7.3438379733970938E-2</v>
      </c>
      <c r="G101" s="4">
        <f ca="1">$B101*('Updated Population'!G$92/'Updated Population'!$B$92)*('Total Duration Tables Sup #1'!G178/'Total Duration Tables Sup #1'!$B178)</f>
        <v>7.5138002654292588E-2</v>
      </c>
      <c r="H101" s="4">
        <f ca="1">$B101*('Updated Population'!H$92/'Updated Population'!$B$92)*('Total Duration Tables Sup #1'!H178/'Total Duration Tables Sup #1'!$B178)</f>
        <v>7.5515811048163711E-2</v>
      </c>
      <c r="I101" s="1">
        <f ca="1">$B101*('Updated Population'!I$92/'Updated Population'!$B$92)*('Total Duration Tables Sup #1'!I178/'Total Duration Tables Sup #1'!$B178)</f>
        <v>7.6015221945698666E-2</v>
      </c>
      <c r="J101" s="1">
        <f ca="1">$B101*('Updated Population'!J$92/'Updated Population'!$B$92)*('Total Duration Tables Sup #1'!J178/'Total Duration Tables Sup #1'!$B178)</f>
        <v>7.6274365838341698E-2</v>
      </c>
      <c r="K101" s="1">
        <f ca="1">$B101*('Updated Population'!K$92/'Updated Population'!$B$92)*('Total Duration Tables Sup #1'!K178/'Total Duration Tables Sup #1'!$B178)</f>
        <v>7.6369915825967027E-2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$B102*('Updated Population'!C$92/'Updated Population'!$B$92)*('Total Duration Tables Sup #1'!C179/'Total Duration Tables Sup #1'!$B179)</f>
        <v>0.40240737560684076</v>
      </c>
      <c r="D102" s="4">
        <f ca="1">$B102*('Updated Population'!D$92/'Updated Population'!$B$92)*('Total Duration Tables Sup #1'!D179/'Total Duration Tables Sup #1'!$B179)</f>
        <v>0.41039392673910574</v>
      </c>
      <c r="E102" s="4">
        <f ca="1">$B102*('Updated Population'!E$92/'Updated Population'!$B$92)*('Total Duration Tables Sup #1'!E179/'Total Duration Tables Sup #1'!$B179)</f>
        <v>0.41469585368504452</v>
      </c>
      <c r="F102" s="4">
        <f ca="1">$B102*('Updated Population'!F$92/'Updated Population'!$B$92)*('Total Duration Tables Sup #1'!F179/'Total Duration Tables Sup #1'!$B179)</f>
        <v>0.41251865592964093</v>
      </c>
      <c r="G102" s="4">
        <f ca="1">$B102*('Updated Population'!G$92/'Updated Population'!$B$92)*('Total Duration Tables Sup #1'!G179/'Total Duration Tables Sup #1'!$B179)</f>
        <v>0.40971900693927488</v>
      </c>
      <c r="H102" s="4">
        <f ca="1">$B102*('Updated Population'!H$92/'Updated Population'!$B$92)*('Total Duration Tables Sup #1'!H179/'Total Duration Tables Sup #1'!$B179)</f>
        <v>0.40136125539208295</v>
      </c>
      <c r="I102" s="1">
        <f ca="1">$B102*('Updated Population'!I$92/'Updated Population'!$B$92)*('Total Duration Tables Sup #1'!I179/'Total Duration Tables Sup #1'!$B179)</f>
        <v>0.40401558939192928</v>
      </c>
      <c r="J102" s="1">
        <f ca="1">$B102*('Updated Population'!J$92/'Updated Population'!$B$92)*('Total Duration Tables Sup #1'!J179/'Total Duration Tables Sup #1'!$B179)</f>
        <v>0.40539292106108221</v>
      </c>
      <c r="K102" s="1">
        <f ca="1">$B102*('Updated Population'!K$92/'Updated Population'!$B$92)*('Total Duration Tables Sup #1'!K179/'Total Duration Tables Sup #1'!$B179)</f>
        <v>0.40590076256412227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OFFSET(Nelson_Reference,0,7)</f>
        <v>7.2640217022</v>
      </c>
      <c r="C104" s="4">
        <f ca="1">$B104*('Updated Population'!C$103/'Updated Population'!$B$103)*('Total Duration Tables Sup #1'!C170/'Total Duration Tables Sup #1'!$B170)</f>
        <v>7.3868728903551091</v>
      </c>
      <c r="D104" s="4">
        <f ca="1">$B104*('Updated Population'!D$103/'Updated Population'!$B$103)*('Total Duration Tables Sup #1'!D170/'Total Duration Tables Sup #1'!$B170)</f>
        <v>7.3241713415041838</v>
      </c>
      <c r="E104" s="4">
        <f ca="1">$B104*('Updated Population'!E$103/'Updated Population'!$B$103)*('Total Duration Tables Sup #1'!E170/'Total Duration Tables Sup #1'!$B170)</f>
        <v>7.1654125788030543</v>
      </c>
      <c r="F104" s="4">
        <f ca="1">$B104*('Updated Population'!F$103/'Updated Population'!$B$103)*('Total Duration Tables Sup #1'!F170/'Total Duration Tables Sup #1'!$B170)</f>
        <v>6.9506061601862692</v>
      </c>
      <c r="G104" s="4">
        <f ca="1">$B104*('Updated Population'!G$103/'Updated Population'!$B$103)*('Total Duration Tables Sup #1'!G170/'Total Duration Tables Sup #1'!$B170)</f>
        <v>6.7238090770201309</v>
      </c>
      <c r="H104" s="4">
        <f ca="1">$B104*('Updated Population'!H$103/'Updated Population'!$B$103)*('Total Duration Tables Sup #1'!H170/'Total Duration Tables Sup #1'!$B170)</f>
        <v>6.4533929996707702</v>
      </c>
      <c r="I104" s="1">
        <f ca="1">$B104*('Updated Population'!I$103/'Updated Population'!$B$103)*('Total Duration Tables Sup #1'!I170/'Total Duration Tables Sup #1'!$B170)</f>
        <v>6.4435684437162841</v>
      </c>
      <c r="J104" s="1">
        <f ca="1">$B104*('Updated Population'!J$103/'Updated Population'!$B$103)*('Total Duration Tables Sup #1'!J170/'Total Duration Tables Sup #1'!$B170)</f>
        <v>6.4135818650131915</v>
      </c>
      <c r="K104" s="1">
        <f ca="1">$B104*('Updated Population'!K$103/'Updated Population'!$B$103)*('Total Duration Tables Sup #1'!K170/'Total Duration Tables Sup #1'!$B170)</f>
        <v>6.3703168454954717</v>
      </c>
    </row>
    <row r="105" spans="1:11" x14ac:dyDescent="0.2">
      <c r="A105" t="str">
        <f ca="1">OFFSET(Nelson_Reference,7,2)</f>
        <v>Cyclist</v>
      </c>
      <c r="B105" s="4">
        <f ca="1">OFFSET(Nelson_Reference,7,7)</f>
        <v>1.0417220854</v>
      </c>
      <c r="C105" s="4">
        <f ca="1">$B105*('Updated Population'!C$103/'Updated Population'!$B$103)*('Total Duration Tables Sup #1'!C171/'Total Duration Tables Sup #1'!$B171)</f>
        <v>1.0630857297467944</v>
      </c>
      <c r="D105" s="4">
        <f ca="1">$B105*('Updated Population'!D$103/'Updated Population'!$B$103)*('Total Duration Tables Sup #1'!D171/'Total Duration Tables Sup #1'!$B171)</f>
        <v>1.0919317584928574</v>
      </c>
      <c r="E105" s="4">
        <f ca="1">$B105*('Updated Population'!E$103/'Updated Population'!$B$103)*('Total Duration Tables Sup #1'!E171/'Total Duration Tables Sup #1'!$B171)</f>
        <v>1.0769569252675957</v>
      </c>
      <c r="F105" s="4">
        <f ca="1">$B105*('Updated Population'!F$103/'Updated Population'!$B$103)*('Total Duration Tables Sup #1'!F171/'Total Duration Tables Sup #1'!$B171)</f>
        <v>1.0713752323947749</v>
      </c>
      <c r="G105" s="4">
        <f ca="1">$B105*('Updated Population'!G$103/'Updated Population'!$B$103)*('Total Duration Tables Sup #1'!G171/'Total Duration Tables Sup #1'!$B171)</f>
        <v>1.0767242730418556</v>
      </c>
      <c r="H105" s="4">
        <f ca="1">$B105*('Updated Population'!H$103/'Updated Population'!$B$103)*('Total Duration Tables Sup #1'!H171/'Total Duration Tables Sup #1'!$B171)</f>
        <v>1.0767762011059299</v>
      </c>
      <c r="I105" s="1">
        <f ca="1">$B105*('Updated Population'!I$103/'Updated Population'!$B$103)*('Total Duration Tables Sup #1'!I171/'Total Duration Tables Sup #1'!$B171)</f>
        <v>1.0751369319588682</v>
      </c>
      <c r="J105" s="1">
        <f ca="1">$B105*('Updated Population'!J$103/'Updated Population'!$B$103)*('Total Duration Tables Sup #1'!J171/'Total Duration Tables Sup #1'!$B171)</f>
        <v>1.0701335431521226</v>
      </c>
      <c r="K105" s="1">
        <f ca="1">$B105*('Updated Population'!K$103/'Updated Population'!$B$103)*('Total Duration Tables Sup #1'!K171/'Total Duration Tables Sup #1'!$B171)</f>
        <v>1.0629145897489378</v>
      </c>
    </row>
    <row r="106" spans="1:11" x14ac:dyDescent="0.2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$B106*('Updated Population'!C$103/'Updated Population'!$B$103)*('Total Duration Tables Sup #1'!C172/'Total Duration Tables Sup #1'!$B172)</f>
        <v>25.233614300466144</v>
      </c>
      <c r="D106" s="4">
        <f ca="1">$B106*('Updated Population'!D$103/'Updated Population'!$B$103)*('Total Duration Tables Sup #1'!D172/'Total Duration Tables Sup #1'!$B172)</f>
        <v>25.674293978933157</v>
      </c>
      <c r="E106" s="4">
        <f ca="1">$B106*('Updated Population'!E$103/'Updated Population'!$B$103)*('Total Duration Tables Sup #1'!E172/'Total Duration Tables Sup #1'!$B172)</f>
        <v>26.155482734833786</v>
      </c>
      <c r="F106" s="4">
        <f ca="1">$B106*('Updated Population'!F$103/'Updated Population'!$B$103)*('Total Duration Tables Sup #1'!F172/'Total Duration Tables Sup #1'!$B172)</f>
        <v>26.356109329760955</v>
      </c>
      <c r="G106" s="4">
        <f ca="1">$B106*('Updated Population'!G$103/'Updated Population'!$B$103)*('Total Duration Tables Sup #1'!G172/'Total Duration Tables Sup #1'!$B172)</f>
        <v>26.248741121637252</v>
      </c>
      <c r="H106" s="4">
        <f ca="1">$B106*('Updated Population'!H$103/'Updated Population'!$B$103)*('Total Duration Tables Sup #1'!H172/'Total Duration Tables Sup #1'!$B172)</f>
        <v>25.869107104759575</v>
      </c>
      <c r="I106" s="1">
        <f ca="1">$B106*('Updated Population'!I$103/'Updated Population'!$B$103)*('Total Duration Tables Sup #1'!I172/'Total Duration Tables Sup #1'!$B172)</f>
        <v>25.82972433506675</v>
      </c>
      <c r="J106" s="1">
        <f ca="1">$B106*('Updated Population'!J$103/'Updated Population'!$B$103)*('Total Duration Tables Sup #1'!J172/'Total Duration Tables Sup #1'!$B172)</f>
        <v>25.70951996874113</v>
      </c>
      <c r="K106" s="1">
        <f ca="1">$B106*('Updated Population'!K$103/'Updated Population'!$B$103)*('Total Duration Tables Sup #1'!K172/'Total Duration Tables Sup #1'!$B172)</f>
        <v>25.536087570644426</v>
      </c>
    </row>
    <row r="107" spans="1:11" x14ac:dyDescent="0.2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$B107*('Updated Population'!C$103/'Updated Population'!$B$103)*('Total Duration Tables Sup #1'!C173/'Total Duration Tables Sup #1'!$B173)</f>
        <v>12.110025858796252</v>
      </c>
      <c r="D107" s="4">
        <f ca="1">$B107*('Updated Population'!D$103/'Updated Population'!$B$103)*('Total Duration Tables Sup #1'!D173/'Total Duration Tables Sup #1'!$B173)</f>
        <v>12.140174827662799</v>
      </c>
      <c r="E107" s="4">
        <f ca="1">$B107*('Updated Population'!E$103/'Updated Population'!$B$103)*('Total Duration Tables Sup #1'!E173/'Total Duration Tables Sup #1'!$B173)</f>
        <v>12.157437960838973</v>
      </c>
      <c r="F107" s="4">
        <f ca="1">$B107*('Updated Population'!F$103/'Updated Population'!$B$103)*('Total Duration Tables Sup #1'!F173/'Total Duration Tables Sup #1'!$B173)</f>
        <v>12.073125520393534</v>
      </c>
      <c r="G107" s="4">
        <f ca="1">$B107*('Updated Population'!G$103/'Updated Population'!$B$103)*('Total Duration Tables Sup #1'!G173/'Total Duration Tables Sup #1'!$B173)</f>
        <v>11.914078983070459</v>
      </c>
      <c r="H107" s="4">
        <f ca="1">$B107*('Updated Population'!H$103/'Updated Population'!$B$103)*('Total Duration Tables Sup #1'!H173/'Total Duration Tables Sup #1'!$B173)</f>
        <v>11.659192216072652</v>
      </c>
      <c r="I107" s="1">
        <f ca="1">$B107*('Updated Population'!I$103/'Updated Population'!$B$103)*('Total Duration Tables Sup #1'!I173/'Total Duration Tables Sup #1'!$B173)</f>
        <v>11.641442423627536</v>
      </c>
      <c r="J107" s="1">
        <f ca="1">$B107*('Updated Population'!J$103/'Updated Population'!$B$103)*('Total Duration Tables Sup #1'!J173/'Total Duration Tables Sup #1'!$B173)</f>
        <v>11.587266382431908</v>
      </c>
      <c r="K107" s="1">
        <f ca="1">$B107*('Updated Population'!K$103/'Updated Population'!$B$103)*('Total Duration Tables Sup #1'!K173/'Total Duration Tables Sup #1'!$B173)</f>
        <v>11.509100496855908</v>
      </c>
    </row>
    <row r="108" spans="1:11" x14ac:dyDescent="0.2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$B108*('Updated Population'!C$103/'Updated Population'!$B$103)*('Total Duration Tables Sup #1'!C174/'Total Duration Tables Sup #1'!$B174)</f>
        <v>9.1513974723422112E-2</v>
      </c>
      <c r="D108" s="4">
        <f ca="1">$B108*('Updated Population'!D$103/'Updated Population'!$B$103)*('Total Duration Tables Sup #1'!D174/'Total Duration Tables Sup #1'!$B174)</f>
        <v>9.9610543610655855E-2</v>
      </c>
      <c r="E108" s="4">
        <f ca="1">$B108*('Updated Population'!E$103/'Updated Population'!$B$103)*('Total Duration Tables Sup #1'!E174/'Total Duration Tables Sup #1'!$B174)</f>
        <v>0.10578756676844583</v>
      </c>
      <c r="F108" s="4">
        <f ca="1">$B108*('Updated Population'!F$103/'Updated Population'!$B$103)*('Total Duration Tables Sup #1'!F174/'Total Duration Tables Sup #1'!$B174)</f>
        <v>0.10999004419357901</v>
      </c>
      <c r="G108" s="4">
        <f ca="1">$B108*('Updated Population'!G$103/'Updated Population'!$B$103)*('Total Duration Tables Sup #1'!G174/'Total Duration Tables Sup #1'!$B174)</f>
        <v>0.11167669898998878</v>
      </c>
      <c r="H108" s="4">
        <f ca="1">$B108*('Updated Population'!H$103/'Updated Population'!$B$103)*('Total Duration Tables Sup #1'!H174/'Total Duration Tables Sup #1'!$B174)</f>
        <v>0.11187985393049261</v>
      </c>
      <c r="I108" s="1">
        <f ca="1">$B108*('Updated Population'!I$103/'Updated Population'!$B$103)*('Total Duration Tables Sup #1'!I174/'Total Duration Tables Sup #1'!$B174)</f>
        <v>0.11170952959332982</v>
      </c>
      <c r="J108" s="1">
        <f ca="1">$B108*('Updated Population'!J$103/'Updated Population'!$B$103)*('Total Duration Tables Sup #1'!J174/'Total Duration Tables Sup #1'!$B174)</f>
        <v>0.11118966445489048</v>
      </c>
      <c r="K108" s="1">
        <f ca="1">$B108*('Updated Population'!K$103/'Updated Population'!$B$103)*('Total Duration Tables Sup #1'!K174/'Total Duration Tables Sup #1'!$B174)</f>
        <v>0.11043959637997403</v>
      </c>
    </row>
    <row r="109" spans="1:11" x14ac:dyDescent="0.2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$B109*('Updated Population'!C$103/'Updated Population'!$B$103)*('Total Duration Tables Sup #1'!C175/'Total Duration Tables Sup #1'!$B175)</f>
        <v>0.63270042963904505</v>
      </c>
      <c r="D109" s="4">
        <f ca="1">$B109*('Updated Population'!D$103/'Updated Population'!$B$103)*('Total Duration Tables Sup #1'!D175/'Total Duration Tables Sup #1'!$B175)</f>
        <v>0.63946858559757136</v>
      </c>
      <c r="E109" s="4">
        <f ca="1">$B109*('Updated Population'!E$103/'Updated Population'!$B$103)*('Total Duration Tables Sup #1'!E175/'Total Duration Tables Sup #1'!$B175)</f>
        <v>0.63819945379848142</v>
      </c>
      <c r="F109" s="4">
        <f ca="1">$B109*('Updated Population'!F$103/'Updated Population'!$B$103)*('Total Duration Tables Sup #1'!F175/'Total Duration Tables Sup #1'!$B175)</f>
        <v>0.62727956351845005</v>
      </c>
      <c r="G109" s="4">
        <f ca="1">$B109*('Updated Population'!G$103/'Updated Population'!$B$103)*('Total Duration Tables Sup #1'!G175/'Total Duration Tables Sup #1'!$B175)</f>
        <v>0.60413900354896255</v>
      </c>
      <c r="H109" s="4">
        <f ca="1">$B109*('Updated Population'!H$103/'Updated Population'!$B$103)*('Total Duration Tables Sup #1'!H175/'Total Duration Tables Sup #1'!$B175)</f>
        <v>0.57497200448450358</v>
      </c>
      <c r="I109" s="1">
        <f ca="1">$B109*('Updated Population'!I$103/'Updated Population'!$B$103)*('Total Duration Tables Sup #1'!I175/'Total Duration Tables Sup #1'!$B175)</f>
        <v>0.57409667508327089</v>
      </c>
      <c r="J109" s="1">
        <f ca="1">$B109*('Updated Population'!J$103/'Updated Population'!$B$103)*('Total Duration Tables Sup #1'!J175/'Total Duration Tables Sup #1'!$B175)</f>
        <v>0.57142498853552315</v>
      </c>
      <c r="K109" s="1">
        <f ca="1">$B109*('Updated Population'!K$103/'Updated Population'!$B$103)*('Total Duration Tables Sup #1'!K175/'Total Duration Tables Sup #1'!$B175)</f>
        <v>0.56757024499248565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Duration Tables Sup #1'!C176/'Total Duration Tables Sup #1'!$B176)</f>
        <v>0</v>
      </c>
      <c r="D110" s="4">
        <f ca="1">$B110*('Updated Population'!D$103/'Updated Population'!$B$103)*('Total Duration Tables Sup #1'!D176/'Total Duration Tables Sup #1'!$B176)</f>
        <v>0</v>
      </c>
      <c r="E110" s="4">
        <f ca="1">$B110*('Updated Population'!E$103/'Updated Population'!$B$103)*('Total Duration Tables Sup #1'!E176/'Total Duration Tables Sup #1'!$B176)</f>
        <v>0</v>
      </c>
      <c r="F110" s="4">
        <f ca="1">$B110*('Updated Population'!F$103/'Updated Population'!$B$103)*('Total Duration Tables Sup #1'!F176/'Total Duration Tables Sup #1'!$B176)</f>
        <v>0</v>
      </c>
      <c r="G110" s="4">
        <f ca="1">$B110*('Updated Population'!G$103/'Updated Population'!$B$103)*('Total Duration Tables Sup #1'!G176/'Total Duration Tables Sup #1'!$B176)</f>
        <v>0</v>
      </c>
      <c r="H110" s="4">
        <f ca="1">$B110*('Updated Population'!H$103/'Updated Population'!$B$103)*('Total Duration Tables Sup #1'!H176/'Total Duration Tables Sup #1'!$B176)</f>
        <v>0</v>
      </c>
      <c r="I110" s="1">
        <f ca="1">$B110*('Updated Population'!I$103/'Updated Population'!$B$103)*('Total Duration Tables Sup #1'!I176/'Total Duration Tables Sup #1'!$B176)</f>
        <v>0</v>
      </c>
      <c r="J110" s="1">
        <f ca="1">$B110*('Updated Population'!J$103/'Updated Population'!$B$103)*('Total Duration Tables Sup #1'!J176/'Total Duration Tables Sup #1'!$B176)</f>
        <v>0</v>
      </c>
      <c r="K110" s="1">
        <f ca="1">$B110*('Updated Population'!K$103/'Updated Population'!$B$103)*('Total Duration Tables Sup #1'!K176/'Total Duration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$B111*('Updated Population'!C$103/'Updated Population'!$B$103)*('Total Duration Tables Sup #1'!C177/'Total Duration Tables Sup #1'!$B177)</f>
        <v>0.86670103311974889</v>
      </c>
      <c r="D111" s="4">
        <f ca="1">$B111*('Updated Population'!D$103/'Updated Population'!$B$103)*('Total Duration Tables Sup #1'!D177/'Total Duration Tables Sup #1'!$B177)</f>
        <v>0.86113390611363738</v>
      </c>
      <c r="E111" s="4">
        <f ca="1">$B111*('Updated Population'!E$103/'Updated Population'!$B$103)*('Total Duration Tables Sup #1'!E177/'Total Duration Tables Sup #1'!$B177)</f>
        <v>0.84167318838755079</v>
      </c>
      <c r="F111" s="4">
        <f ca="1">$B111*('Updated Population'!F$103/'Updated Population'!$B$103)*('Total Duration Tables Sup #1'!F177/'Total Duration Tables Sup #1'!$B177)</f>
        <v>0.81847754833208286</v>
      </c>
      <c r="G111" s="4">
        <f ca="1">$B111*('Updated Population'!G$103/'Updated Population'!$B$103)*('Total Duration Tables Sup #1'!G177/'Total Duration Tables Sup #1'!$B177)</f>
        <v>0.80080425595620386</v>
      </c>
      <c r="H111" s="4">
        <f ca="1">$B111*('Updated Population'!H$103/'Updated Population'!$B$103)*('Total Duration Tables Sup #1'!H177/'Total Duration Tables Sup #1'!$B177)</f>
        <v>0.78118490899788806</v>
      </c>
      <c r="I111" s="1">
        <f ca="1">$B111*('Updated Population'!I$103/'Updated Population'!$B$103)*('Total Duration Tables Sup #1'!I177/'Total Duration Tables Sup #1'!$B177)</f>
        <v>0.77999564393226428</v>
      </c>
      <c r="J111" s="1">
        <f ca="1">$B111*('Updated Population'!J$103/'Updated Population'!$B$103)*('Total Duration Tables Sup #1'!J177/'Total Duration Tables Sup #1'!$B177)</f>
        <v>0.77636576074422214</v>
      </c>
      <c r="K111" s="1">
        <f ca="1">$B111*('Updated Population'!K$103/'Updated Population'!$B$103)*('Total Duration Tables Sup #1'!K177/'Total Duration Tables Sup #1'!$B177)</f>
        <v>0.77112851882567379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Duration Tables Sup #1'!C178/'Total Duration Tables Sup #1'!$B178)</f>
        <v>0</v>
      </c>
      <c r="D112" s="4">
        <f ca="1">$B112*('Updated Population'!D$103/'Updated Population'!$B$103)*('Total Duration Tables Sup #1'!D178/'Total Duration Tables Sup #1'!$B178)</f>
        <v>0</v>
      </c>
      <c r="E112" s="4">
        <f ca="1">$B112*('Updated Population'!E$103/'Updated Population'!$B$103)*('Total Duration Tables Sup #1'!E178/'Total Duration Tables Sup #1'!$B178)</f>
        <v>0</v>
      </c>
      <c r="F112" s="4">
        <f ca="1">$B112*('Updated Population'!F$103/'Updated Population'!$B$103)*('Total Duration Tables Sup #1'!F178/'Total Duration Tables Sup #1'!$B178)</f>
        <v>0</v>
      </c>
      <c r="G112" s="4">
        <f ca="1">$B112*('Updated Population'!G$103/'Updated Population'!$B$103)*('Total Duration Tables Sup #1'!G178/'Total Duration Tables Sup #1'!$B178)</f>
        <v>0</v>
      </c>
      <c r="H112" s="4">
        <f ca="1">$B112*('Updated Population'!H$103/'Updated Population'!$B$103)*('Total Duration Tables Sup #1'!H178/'Total Duration Tables Sup #1'!$B178)</f>
        <v>0</v>
      </c>
      <c r="I112" s="1">
        <f ca="1">$B112*('Updated Population'!I$103/'Updated Population'!$B$103)*('Total Duration Tables Sup #1'!I178/'Total Duration Tables Sup #1'!$B178)</f>
        <v>0</v>
      </c>
      <c r="J112" s="1">
        <f ca="1">$B112*('Updated Population'!J$103/'Updated Population'!$B$103)*('Total Duration Tables Sup #1'!J178/'Total Duration Tables Sup #1'!$B178)</f>
        <v>0</v>
      </c>
      <c r="K112" s="1">
        <f ca="1">$B112*('Updated Population'!K$103/'Updated Population'!$B$103)*('Total Duration Tables Sup #1'!K178/'Total Duration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$B113*('Updated Population'!C$103/'Updated Population'!$B$103)*('Total Duration Tables Sup #1'!C179/'Total Duration Tables Sup #1'!$B179)</f>
        <v>0.56012405790992126</v>
      </c>
      <c r="D113" s="4">
        <f ca="1">$B113*('Updated Population'!D$103/'Updated Population'!$B$103)*('Total Duration Tables Sup #1'!D179/'Total Duration Tables Sup #1'!$B179)</f>
        <v>0.56936272839543378</v>
      </c>
      <c r="E113" s="4">
        <f ca="1">$B113*('Updated Population'!E$103/'Updated Population'!$B$103)*('Total Duration Tables Sup #1'!E179/'Total Duration Tables Sup #1'!$B179)</f>
        <v>0.57331612244562546</v>
      </c>
      <c r="F113" s="4">
        <f ca="1">$B113*('Updated Population'!F$103/'Updated Population'!$B$103)*('Total Duration Tables Sup #1'!F179/'Total Duration Tables Sup #1'!$B179)</f>
        <v>0.56738970559479829</v>
      </c>
      <c r="G113" s="4">
        <f ca="1">$B113*('Updated Population'!G$103/'Updated Population'!$B$103)*('Total Duration Tables Sup #1'!G179/'Total Duration Tables Sup #1'!$B179)</f>
        <v>0.55989822744492435</v>
      </c>
      <c r="H113" s="4">
        <f ca="1">$B113*('Updated Population'!H$103/'Updated Population'!$B$103)*('Total Duration Tables Sup #1'!H179/'Total Duration Tables Sup #1'!$B179)</f>
        <v>0.54401841849281529</v>
      </c>
      <c r="I113" s="1">
        <f ca="1">$B113*('Updated Population'!I$103/'Updated Population'!$B$103)*('Total Duration Tables Sup #1'!I179/'Total Duration Tables Sup #1'!$B179)</f>
        <v>0.54319021240137999</v>
      </c>
      <c r="J113" s="1">
        <f ca="1">$B113*('Updated Population'!J$103/'Updated Population'!$B$103)*('Total Duration Tables Sup #1'!J179/'Total Duration Tables Sup #1'!$B179)</f>
        <v>0.54066235595084311</v>
      </c>
      <c r="K113" s="1">
        <f ca="1">$B113*('Updated Population'!K$103/'Updated Population'!$B$103)*('Total Duration Tables Sup #1'!K179/'Total Duration Tables Sup #1'!$B179)</f>
        <v>0.53701513231278308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$B115*('Updated Population'!C$114/'Updated Population'!$B$114)*('Total Duration Tables Sup #1'!C170/'Total Duration Tables Sup #1'!$B170)</f>
        <v>1.1001711841276876</v>
      </c>
      <c r="D115" s="4">
        <f ca="1">$B115*('Updated Population'!D$114/'Updated Population'!$B$114)*('Total Duration Tables Sup #1'!D170/'Total Duration Tables Sup #1'!$B170)</f>
        <v>1.0588746789403527</v>
      </c>
      <c r="E115" s="4">
        <f ca="1">$B115*('Updated Population'!E$114/'Updated Population'!$B$114)*('Total Duration Tables Sup #1'!E170/'Total Duration Tables Sup #1'!$B170)</f>
        <v>1.0072516647993015</v>
      </c>
      <c r="F115" s="4">
        <f ca="1">$B115*('Updated Population'!F$114/'Updated Population'!$B$114)*('Total Duration Tables Sup #1'!F170/'Total Duration Tables Sup #1'!$B170)</f>
        <v>0.95042744580991922</v>
      </c>
      <c r="G115" s="4">
        <f ca="1">$B115*('Updated Population'!G$114/'Updated Population'!$B$114)*('Total Duration Tables Sup #1'!G170/'Total Duration Tables Sup #1'!$B170)</f>
        <v>0.89482427261207409</v>
      </c>
      <c r="H115" s="4">
        <f ca="1">$B115*('Updated Population'!H$114/'Updated Population'!$B$114)*('Total Duration Tables Sup #1'!H170/'Total Duration Tables Sup #1'!$B170)</f>
        <v>0.83806477345343655</v>
      </c>
      <c r="I115" s="1">
        <f ca="1">$B115*('Updated Population'!I$114/'Updated Population'!$B$114)*('Total Duration Tables Sup #1'!I170/'Total Duration Tables Sup #1'!$B170)</f>
        <v>0.81651191889913788</v>
      </c>
      <c r="J115" s="1">
        <f ca="1">$B115*('Updated Population'!J$114/'Updated Population'!$B$114)*('Total Duration Tables Sup #1'!J170/'Total Duration Tables Sup #1'!$B170)</f>
        <v>0.79298109186385657</v>
      </c>
      <c r="K115" s="1">
        <f ca="1">$B115*('Updated Population'!K$114/'Updated Population'!$B$114)*('Total Duration Tables Sup #1'!K170/'Total Duration Tables Sup #1'!$B170)</f>
        <v>0.76847333745129243</v>
      </c>
    </row>
    <row r="116" spans="1:11" x14ac:dyDescent="0.2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$B116*('Updated Population'!C$114/'Updated Population'!$B$114)*('Total Duration Tables Sup #1'!C171/'Total Duration Tables Sup #1'!$B171)</f>
        <v>0.16802012882274214</v>
      </c>
      <c r="D116" s="4">
        <f ca="1">$B116*('Updated Population'!D$114/'Updated Population'!$B$114)*('Total Duration Tables Sup #1'!D171/'Total Duration Tables Sup #1'!$B171)</f>
        <v>0.16752319610326305</v>
      </c>
      <c r="E116" s="4">
        <f ca="1">$B116*('Updated Population'!E$114/'Updated Population'!$B$114)*('Total Duration Tables Sup #1'!E171/'Total Duration Tables Sup #1'!$B171)</f>
        <v>0.16065287818138888</v>
      </c>
      <c r="F116" s="4">
        <f ca="1">$B116*('Updated Population'!F$114/'Updated Population'!$B$114)*('Total Duration Tables Sup #1'!F171/'Total Duration Tables Sup #1'!$B171)</f>
        <v>0.15546451476205617</v>
      </c>
      <c r="G116" s="4">
        <f ca="1">$B116*('Updated Population'!G$114/'Updated Population'!$B$114)*('Total Duration Tables Sup #1'!G171/'Total Duration Tables Sup #1'!$B171)</f>
        <v>0.15206185067527353</v>
      </c>
      <c r="H116" s="4">
        <f ca="1">$B116*('Updated Population'!H$114/'Updated Population'!$B$114)*('Total Duration Tables Sup #1'!H171/'Total Duration Tables Sup #1'!$B171)</f>
        <v>0.14839125437968162</v>
      </c>
      <c r="I116" s="1">
        <f ca="1">$B116*('Updated Population'!I$114/'Updated Population'!$B$114)*('Total Duration Tables Sup #1'!I171/'Total Duration Tables Sup #1'!$B171)</f>
        <v>0.14457501579755383</v>
      </c>
      <c r="J116" s="1">
        <f ca="1">$B116*('Updated Population'!J$114/'Updated Population'!$B$114)*('Total Duration Tables Sup #1'!J171/'Total Duration Tables Sup #1'!$B171)</f>
        <v>0.14040854913416209</v>
      </c>
      <c r="K116" s="1">
        <f ca="1">$B116*('Updated Population'!K$114/'Updated Population'!$B$114)*('Total Duration Tables Sup #1'!K171/'Total Duration Tables Sup #1'!$B171)</f>
        <v>0.13606910362289976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$B117*('Updated Population'!C$114/'Updated Population'!$B$114)*('Total Duration Tables Sup #1'!C172/'Total Duration Tables Sup #1'!$B172)</f>
        <v>5.0994472065207894</v>
      </c>
      <c r="D117" s="4">
        <f ca="1">$B117*('Updated Population'!D$114/'Updated Population'!$B$114)*('Total Duration Tables Sup #1'!D172/'Total Duration Tables Sup #1'!$B172)</f>
        <v>5.0364969690851709</v>
      </c>
      <c r="E117" s="4">
        <f ca="1">$B117*('Updated Population'!E$114/'Updated Population'!$B$114)*('Total Duration Tables Sup #1'!E172/'Total Duration Tables Sup #1'!$B172)</f>
        <v>4.9888854453232847</v>
      </c>
      <c r="F117" s="4">
        <f ca="1">$B117*('Updated Population'!F$114/'Updated Population'!$B$114)*('Total Duration Tables Sup #1'!F172/'Total Duration Tables Sup #1'!$B172)</f>
        <v>4.8901433285944194</v>
      </c>
      <c r="G117" s="4">
        <f ca="1">$B117*('Updated Population'!G$114/'Updated Population'!$B$114)*('Total Duration Tables Sup #1'!G172/'Total Duration Tables Sup #1'!$B172)</f>
        <v>4.7399620263552356</v>
      </c>
      <c r="H117" s="4">
        <f ca="1">$B117*('Updated Population'!H$114/'Updated Population'!$B$114)*('Total Duration Tables Sup #1'!H172/'Total Duration Tables Sup #1'!$B172)</f>
        <v>4.5584260242289734</v>
      </c>
      <c r="I117" s="1">
        <f ca="1">$B117*('Updated Population'!I$114/'Updated Population'!$B$114)*('Total Duration Tables Sup #1'!I172/'Total Duration Tables Sup #1'!$B172)</f>
        <v>4.4411951177300795</v>
      </c>
      <c r="J117" s="1">
        <f ca="1">$B117*('Updated Population'!J$114/'Updated Population'!$B$114)*('Total Duration Tables Sup #1'!J172/'Total Duration Tables Sup #1'!$B172)</f>
        <v>4.3132055664126403</v>
      </c>
      <c r="K117" s="1">
        <f ca="1">$B117*('Updated Population'!K$114/'Updated Population'!$B$114)*('Total Duration Tables Sup #1'!K172/'Total Duration Tables Sup #1'!$B172)</f>
        <v>4.179902283601586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$B118*('Updated Population'!C$114/'Updated Population'!$B$114)*('Total Duration Tables Sup #1'!C173/'Total Duration Tables Sup #1'!$B173)</f>
        <v>3.260447029297699</v>
      </c>
      <c r="D118" s="4">
        <f ca="1">$B118*('Updated Population'!D$114/'Updated Population'!$B$114)*('Total Duration Tables Sup #1'!D173/'Total Duration Tables Sup #1'!$B173)</f>
        <v>3.1728054807080142</v>
      </c>
      <c r="E118" s="4">
        <f ca="1">$B118*('Updated Population'!E$114/'Updated Population'!$B$114)*('Total Duration Tables Sup #1'!E173/'Total Duration Tables Sup #1'!$B173)</f>
        <v>3.0893797304725532</v>
      </c>
      <c r="F118" s="4">
        <f ca="1">$B118*('Updated Population'!F$114/'Updated Population'!$B$114)*('Total Duration Tables Sup #1'!F173/'Total Duration Tables Sup #1'!$B173)</f>
        <v>2.9843409810204489</v>
      </c>
      <c r="G118" s="4">
        <f ca="1">$B118*('Updated Population'!G$114/'Updated Population'!$B$114)*('Total Duration Tables Sup #1'!G173/'Total Duration Tables Sup #1'!$B173)</f>
        <v>2.8662581095106092</v>
      </c>
      <c r="H118" s="4">
        <f ca="1">$B118*('Updated Population'!H$114/'Updated Population'!$B$114)*('Total Duration Tables Sup #1'!H173/'Total Duration Tables Sup #1'!$B173)</f>
        <v>2.7370981650961914</v>
      </c>
      <c r="I118" s="1">
        <f ca="1">$B118*('Updated Population'!I$114/'Updated Population'!$B$114)*('Total Duration Tables Sup #1'!I173/'Total Duration Tables Sup #1'!$B173)</f>
        <v>2.6667070920887137</v>
      </c>
      <c r="J118" s="1">
        <f ca="1">$B118*('Updated Population'!J$114/'Updated Population'!$B$114)*('Total Duration Tables Sup #1'!J173/'Total Duration Tables Sup #1'!$B173)</f>
        <v>2.5898560114305158</v>
      </c>
      <c r="K118" s="1">
        <f ca="1">$B118*('Updated Population'!K$114/'Updated Population'!$B$114)*('Total Duration Tables Sup #1'!K173/'Total Duration Tables Sup #1'!$B173)</f>
        <v>2.5098143108864894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$B119*('Updated Population'!C$114/'Updated Population'!$B$114)*('Total Duration Tables Sup #1'!C174/'Total Duration Tables Sup #1'!$B174)</f>
        <v>6.9067618990337823E-2</v>
      </c>
      <c r="D119" s="4">
        <f ca="1">$B119*('Updated Population'!D$114/'Updated Population'!$B$114)*('Total Duration Tables Sup #1'!D174/'Total Duration Tables Sup #1'!$B174)</f>
        <v>7.2975789820326695E-2</v>
      </c>
      <c r="E119" s="4">
        <f ca="1">$B119*('Updated Population'!E$114/'Updated Population'!$B$114)*('Total Duration Tables Sup #1'!E174/'Total Duration Tables Sup #1'!$B174)</f>
        <v>7.5356175083803656E-2</v>
      </c>
      <c r="F119" s="4">
        <f ca="1">$B119*('Updated Population'!F$114/'Updated Population'!$B$114)*('Total Duration Tables Sup #1'!F174/'Total Duration Tables Sup #1'!$B174)</f>
        <v>7.6214409852481194E-2</v>
      </c>
      <c r="G119" s="4">
        <f ca="1">$B119*('Updated Population'!G$114/'Updated Population'!$B$114)*('Total Duration Tables Sup #1'!G174/'Total Duration Tables Sup #1'!$B174)</f>
        <v>7.5313421426246821E-2</v>
      </c>
      <c r="H119" s="4">
        <f ca="1">$B119*('Updated Population'!H$114/'Updated Population'!$B$114)*('Total Duration Tables Sup #1'!H174/'Total Duration Tables Sup #1'!$B174)</f>
        <v>7.3625590285956888E-2</v>
      </c>
      <c r="I119" s="1">
        <f ca="1">$B119*('Updated Population'!I$114/'Updated Population'!$B$114)*('Total Duration Tables Sup #1'!I174/'Total Duration Tables Sup #1'!$B174)</f>
        <v>7.1732130867099952E-2</v>
      </c>
      <c r="J119" s="1">
        <f ca="1">$B119*('Updated Population'!J$114/'Updated Population'!$B$114)*('Total Duration Tables Sup #1'!J174/'Total Duration Tables Sup #1'!$B174)</f>
        <v>6.9664902789668304E-2</v>
      </c>
      <c r="K119" s="1">
        <f ca="1">$B119*('Updated Population'!K$114/'Updated Population'!$B$114)*('Total Duration Tables Sup #1'!K174/'Total Duration Tables Sup #1'!$B174)</f>
        <v>6.7511849777103575E-2</v>
      </c>
    </row>
    <row r="120" spans="1:11" x14ac:dyDescent="0.2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$B120*('Updated Population'!C$114/'Updated Population'!$B$114)*('Total Duration Tables Sup #1'!C175/'Total Duration Tables Sup #1'!$B175)</f>
        <v>9.5826698500567388E-3</v>
      </c>
      <c r="D120" s="4">
        <f ca="1">$B120*('Updated Population'!D$114/'Updated Population'!$B$114)*('Total Duration Tables Sup #1'!D175/'Total Duration Tables Sup #1'!$B175)</f>
        <v>9.4014326329137678E-3</v>
      </c>
      <c r="E120" s="4">
        <f ca="1">$B120*('Updated Population'!E$114/'Updated Population'!$B$114)*('Total Duration Tables Sup #1'!E175/'Total Duration Tables Sup #1'!$B175)</f>
        <v>9.123090371796972E-3</v>
      </c>
      <c r="F120" s="4">
        <f ca="1">$B120*('Updated Population'!F$114/'Updated Population'!$B$114)*('Total Duration Tables Sup #1'!F175/'Total Duration Tables Sup #1'!$B175)</f>
        <v>8.722604546881332E-3</v>
      </c>
      <c r="G120" s="4">
        <f ca="1">$B120*('Updated Population'!G$114/'Updated Population'!$B$114)*('Total Duration Tables Sup #1'!G175/'Total Duration Tables Sup #1'!$B175)</f>
        <v>8.1761342632153747E-3</v>
      </c>
      <c r="H120" s="4">
        <f ca="1">$B120*('Updated Population'!H$114/'Updated Population'!$B$114)*('Total Duration Tables Sup #1'!H175/'Total Duration Tables Sup #1'!$B175)</f>
        <v>7.5932015654561489E-3</v>
      </c>
      <c r="I120" s="1">
        <f ca="1">$B120*('Updated Population'!I$114/'Updated Population'!$B$114)*('Total Duration Tables Sup #1'!I175/'Total Duration Tables Sup #1'!$B175)</f>
        <v>7.3979240951153168E-3</v>
      </c>
      <c r="J120" s="1">
        <f ca="1">$B120*('Updated Population'!J$114/'Updated Population'!$B$114)*('Total Duration Tables Sup #1'!J175/'Total Duration Tables Sup #1'!$B175)</f>
        <v>7.1847254041066165E-3</v>
      </c>
      <c r="K120" s="1">
        <f ca="1">$B120*('Updated Population'!K$114/'Updated Population'!$B$114)*('Total Duration Tables Sup #1'!K175/'Total Duration Tables Sup #1'!$B175)</f>
        <v>6.9626753608808874E-3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Duration Tables Sup #1'!C176/'Total Duration Tables Sup #1'!$B176)</f>
        <v>0</v>
      </c>
      <c r="D121" s="4">
        <f ca="1">$B121*('Updated Population'!D$114/'Updated Population'!$B$114)*('Total Duration Tables Sup #1'!D176/'Total Duration Tables Sup #1'!$B176)</f>
        <v>0</v>
      </c>
      <c r="E121" s="4">
        <f ca="1">$B121*('Updated Population'!E$114/'Updated Population'!$B$114)*('Total Duration Tables Sup #1'!E176/'Total Duration Tables Sup #1'!$B176)</f>
        <v>0</v>
      </c>
      <c r="F121" s="4">
        <f ca="1">$B121*('Updated Population'!F$114/'Updated Population'!$B$114)*('Total Duration Tables Sup #1'!F176/'Total Duration Tables Sup #1'!$B176)</f>
        <v>0</v>
      </c>
      <c r="G121" s="4">
        <f ca="1">$B121*('Updated Population'!G$114/'Updated Population'!$B$114)*('Total Duration Tables Sup #1'!G176/'Total Duration Tables Sup #1'!$B176)</f>
        <v>0</v>
      </c>
      <c r="H121" s="4">
        <f ca="1">$B121*('Updated Population'!H$114/'Updated Population'!$B$114)*('Total Duration Tables Sup #1'!H176/'Total Duration Tables Sup #1'!$B176)</f>
        <v>0</v>
      </c>
      <c r="I121" s="1">
        <f ca="1">$B121*('Updated Population'!I$114/'Updated Population'!$B$114)*('Total Duration Tables Sup #1'!I176/'Total Duration Tables Sup #1'!$B176)</f>
        <v>0</v>
      </c>
      <c r="J121" s="1">
        <f ca="1">$B121*('Updated Population'!J$114/'Updated Population'!$B$114)*('Total Duration Tables Sup #1'!J176/'Total Duration Tables Sup #1'!$B176)</f>
        <v>0</v>
      </c>
      <c r="K121" s="1">
        <f ca="1">$B121*('Updated Population'!K$114/'Updated Population'!$B$114)*('Total Duration Tables Sup #1'!K176/'Total Duration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$B122*('Updated Population'!C$114/'Updated Population'!$B$114)*('Total Duration Tables Sup #1'!C177/'Total Duration Tables Sup #1'!$B177)</f>
        <v>0.15722469150196883</v>
      </c>
      <c r="D122" s="4">
        <f ca="1">$B122*('Updated Population'!D$114/'Updated Population'!$B$114)*('Total Duration Tables Sup #1'!D177/'Total Duration Tables Sup #1'!$B177)</f>
        <v>0.15163817681513506</v>
      </c>
      <c r="E122" s="4">
        <f ca="1">$B122*('Updated Population'!E$114/'Updated Population'!$B$114)*('Total Duration Tables Sup #1'!E177/'Total Duration Tables Sup #1'!$B177)</f>
        <v>0.14410932444051483</v>
      </c>
      <c r="F122" s="4">
        <f ca="1">$B122*('Updated Population'!F$114/'Updated Population'!$B$114)*('Total Duration Tables Sup #1'!F177/'Total Duration Tables Sup #1'!$B177)</f>
        <v>0.13631851808595127</v>
      </c>
      <c r="G122" s="4">
        <f ca="1">$B122*('Updated Population'!G$114/'Updated Population'!$B$114)*('Total Duration Tables Sup #1'!G177/'Total Duration Tables Sup #1'!$B177)</f>
        <v>0.12980772926382214</v>
      </c>
      <c r="H122" s="4">
        <f ca="1">$B122*('Updated Population'!H$114/'Updated Population'!$B$114)*('Total Duration Tables Sup #1'!H177/'Total Duration Tables Sup #1'!$B177)</f>
        <v>0.12356489796412658</v>
      </c>
      <c r="I122" s="1">
        <f ca="1">$B122*('Updated Population'!I$114/'Updated Population'!$B$114)*('Total Duration Tables Sup #1'!I177/'Total Duration Tables Sup #1'!$B177)</f>
        <v>0.1203871289441219</v>
      </c>
      <c r="J122" s="1">
        <f ca="1">$B122*('Updated Population'!J$114/'Updated Population'!$B$114)*('Total Duration Tables Sup #1'!J177/'Total Duration Tables Sup #1'!$B177)</f>
        <v>0.11691772617988842</v>
      </c>
      <c r="K122" s="1">
        <f ca="1">$B122*('Updated Population'!K$114/'Updated Population'!$B$114)*('Total Duration Tables Sup #1'!K177/'Total Duration Tables Sup #1'!$B177)</f>
        <v>0.11330428451136491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Duration Tables Sup #1'!C178/'Total Duration Tables Sup #1'!$B178)</f>
        <v>0</v>
      </c>
      <c r="D123" s="4">
        <f ca="1">$B123*('Updated Population'!D$114/'Updated Population'!$B$114)*('Total Duration Tables Sup #1'!D178/'Total Duration Tables Sup #1'!$B178)</f>
        <v>0</v>
      </c>
      <c r="E123" s="4">
        <f ca="1">$B123*('Updated Population'!E$114/'Updated Population'!$B$114)*('Total Duration Tables Sup #1'!E178/'Total Duration Tables Sup #1'!$B178)</f>
        <v>0</v>
      </c>
      <c r="F123" s="4">
        <f ca="1">$B123*('Updated Population'!F$114/'Updated Population'!$B$114)*('Total Duration Tables Sup #1'!F178/'Total Duration Tables Sup #1'!$B178)</f>
        <v>0</v>
      </c>
      <c r="G123" s="4">
        <f ca="1">$B123*('Updated Population'!G$114/'Updated Population'!$B$114)*('Total Duration Tables Sup #1'!G178/'Total Duration Tables Sup #1'!$B178)</f>
        <v>0</v>
      </c>
      <c r="H123" s="4">
        <f ca="1">$B123*('Updated Population'!H$114/'Updated Population'!$B$114)*('Total Duration Tables Sup #1'!H178/'Total Duration Tables Sup #1'!$B178)</f>
        <v>0</v>
      </c>
      <c r="I123" s="1">
        <f ca="1">$B123*('Updated Population'!I$114/'Updated Population'!$B$114)*('Total Duration Tables Sup #1'!I178/'Total Duration Tables Sup #1'!$B178)</f>
        <v>0</v>
      </c>
      <c r="J123" s="1">
        <f ca="1">$B123*('Updated Population'!J$114/'Updated Population'!$B$114)*('Total Duration Tables Sup #1'!J178/'Total Duration Tables Sup #1'!$B178)</f>
        <v>0</v>
      </c>
      <c r="K123" s="1">
        <f ca="1">$B123*('Updated Population'!K$114/'Updated Population'!$B$114)*('Total Duration Tables Sup #1'!K178/'Total Duration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$B124*('Updated Population'!C$114/'Updated Population'!$B$114)*('Total Duration Tables Sup #1'!C179/'Total Duration Tables Sup #1'!$B179)</f>
        <v>3.7671818108563999E-3</v>
      </c>
      <c r="D124" s="4">
        <f ca="1">$B124*('Updated Population'!D$114/'Updated Population'!$B$114)*('Total Duration Tables Sup #1'!D179/'Total Duration Tables Sup #1'!$B179)</f>
        <v>3.7171305627623128E-3</v>
      </c>
      <c r="E124" s="4">
        <f ca="1">$B124*('Updated Population'!E$114/'Updated Population'!$B$114)*('Total Duration Tables Sup #1'!E179/'Total Duration Tables Sup #1'!$B179)</f>
        <v>3.6393486359938541E-3</v>
      </c>
      <c r="F124" s="4">
        <f ca="1">$B124*('Updated Population'!F$114/'Updated Population'!$B$114)*('Total Duration Tables Sup #1'!F179/'Total Duration Tables Sup #1'!$B179)</f>
        <v>3.5035672208970094E-3</v>
      </c>
      <c r="G124" s="4">
        <f ca="1">$B124*('Updated Population'!G$114/'Updated Population'!$B$114)*('Total Duration Tables Sup #1'!G179/'Total Duration Tables Sup #1'!$B179)</f>
        <v>3.3648382319003377E-3</v>
      </c>
      <c r="H124" s="4">
        <f ca="1">$B124*('Updated Population'!H$114/'Updated Population'!$B$114)*('Total Duration Tables Sup #1'!H179/'Total Duration Tables Sup #1'!$B179)</f>
        <v>3.1903313429997634E-3</v>
      </c>
      <c r="I124" s="1">
        <f ca="1">$B124*('Updated Population'!I$114/'Updated Population'!$B$114)*('Total Duration Tables Sup #1'!I179/'Total Duration Tables Sup #1'!$B179)</f>
        <v>3.1082842869800359E-3</v>
      </c>
      <c r="J124" s="1">
        <f ca="1">$B124*('Updated Population'!J$114/'Updated Population'!$B$114)*('Total Duration Tables Sup #1'!J179/'Total Duration Tables Sup #1'!$B179)</f>
        <v>3.0187075175043109E-3</v>
      </c>
      <c r="K124" s="1">
        <f ca="1">$B124*('Updated Population'!K$114/'Updated Population'!$B$114)*('Total Duration Tables Sup #1'!K179/'Total Duration Tables Sup #1'!$B179)</f>
        <v>2.9254117967848327E-3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$B126*('Updated Population'!C$125/'Updated Population'!$B$125)*('Total Duration Tables Sup #1'!C170/'Total Duration Tables Sup #1'!$B170)</f>
        <v>29.073310099974659</v>
      </c>
      <c r="D126" s="4">
        <f ca="1">$B126*('Updated Population'!D$125/'Updated Population'!$B$125)*('Total Duration Tables Sup #1'!D170/'Total Duration Tables Sup #1'!$B170)</f>
        <v>29.822922819225376</v>
      </c>
      <c r="E126" s="4">
        <f ca="1">$B126*('Updated Population'!E$125/'Updated Population'!$B$125)*('Total Duration Tables Sup #1'!E170/'Total Duration Tables Sup #1'!$B170)</f>
        <v>29.838210127078504</v>
      </c>
      <c r="F126" s="4">
        <f ca="1">$B126*('Updated Population'!F$125/'Updated Population'!$B$125)*('Total Duration Tables Sup #1'!F170/'Total Duration Tables Sup #1'!$B170)</f>
        <v>29.632965988276585</v>
      </c>
      <c r="G126" s="4">
        <f ca="1">$B126*('Updated Population'!G$125/'Updated Population'!$B$125)*('Total Duration Tables Sup #1'!G170/'Total Duration Tables Sup #1'!$B170)</f>
        <v>29.383662615170774</v>
      </c>
      <c r="H126" s="4">
        <f ca="1">$B126*('Updated Population'!H$125/'Updated Population'!$B$125)*('Total Duration Tables Sup #1'!H170/'Total Duration Tables Sup #1'!$B170)</f>
        <v>28.960862333796317</v>
      </c>
      <c r="I126" s="1">
        <f ca="1">$B126*('Updated Population'!I$125/'Updated Population'!$B$125)*('Total Duration Tables Sup #1'!I170/'Total Duration Tables Sup #1'!$B170)</f>
        <v>29.693552683764153</v>
      </c>
      <c r="J126" s="1">
        <f ca="1">$B126*('Updated Population'!J$125/'Updated Population'!$B$125)*('Total Duration Tables Sup #1'!J170/'Total Duration Tables Sup #1'!$B170)</f>
        <v>30.347868627824564</v>
      </c>
      <c r="K126" s="1">
        <f ca="1">$B126*('Updated Population'!K$125/'Updated Population'!$B$125)*('Total Duration Tables Sup #1'!K170/'Total Duration Tables Sup #1'!$B170)</f>
        <v>30.949946148951867</v>
      </c>
    </row>
    <row r="127" spans="1:11" x14ac:dyDescent="0.2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$B127*('Updated Population'!C$125/'Updated Population'!$B$125)*('Total Duration Tables Sup #1'!C171/'Total Duration Tables Sup #1'!$B171)</f>
        <v>7.8063561905313996</v>
      </c>
      <c r="D127" s="4">
        <f ca="1">$B127*('Updated Population'!D$125/'Updated Population'!$B$125)*('Total Duration Tables Sup #1'!D171/'Total Duration Tables Sup #1'!$B171)</f>
        <v>8.2953254029912156</v>
      </c>
      <c r="E127" s="4">
        <f ca="1">$B127*('Updated Population'!E$125/'Updated Population'!$B$125)*('Total Duration Tables Sup #1'!E171/'Total Duration Tables Sup #1'!$B171)</f>
        <v>8.3671223571492455</v>
      </c>
      <c r="F127" s="4">
        <f ca="1">$B127*('Updated Population'!F$125/'Updated Population'!$B$125)*('Total Duration Tables Sup #1'!F171/'Total Duration Tables Sup #1'!$B171)</f>
        <v>8.5219751677970983</v>
      </c>
      <c r="G127" s="4">
        <f ca="1">$B127*('Updated Population'!G$125/'Updated Population'!$B$125)*('Total Duration Tables Sup #1'!G171/'Total Duration Tables Sup #1'!$B171)</f>
        <v>8.7789238062801331</v>
      </c>
      <c r="H127" s="4">
        <f ca="1">$B127*('Updated Population'!H$125/'Updated Population'!$B$125)*('Total Duration Tables Sup #1'!H171/'Total Duration Tables Sup #1'!$B171)</f>
        <v>9.0156084971291044</v>
      </c>
      <c r="I127" s="1">
        <f ca="1">$B127*('Updated Population'!I$125/'Updated Population'!$B$125)*('Total Duration Tables Sup #1'!I171/'Total Duration Tables Sup #1'!$B171)</f>
        <v>9.2436973319434586</v>
      </c>
      <c r="J127" s="1">
        <f ca="1">$B127*('Updated Population'!J$125/'Updated Population'!$B$125)*('Total Duration Tables Sup #1'!J171/'Total Duration Tables Sup #1'!$B171)</f>
        <v>9.4473879650843831</v>
      </c>
      <c r="K127" s="1">
        <f ca="1">$B127*('Updated Population'!K$125/'Updated Population'!$B$125)*('Total Duration Tables Sup #1'!K171/'Total Duration Tables Sup #1'!$B171)</f>
        <v>9.6348166111254709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$B128*('Updated Population'!C$125/'Updated Population'!$B$125)*('Total Duration Tables Sup #1'!C172/'Total Duration Tables Sup #1'!$B172)</f>
        <v>125.20553215529524</v>
      </c>
      <c r="D128" s="4">
        <f ca="1">$B128*('Updated Population'!D$125/'Updated Population'!$B$125)*('Total Duration Tables Sup #1'!D172/'Total Duration Tables Sup #1'!$B172)</f>
        <v>131.79545142122382</v>
      </c>
      <c r="E128" s="4">
        <f ca="1">$B128*('Updated Population'!E$125/'Updated Population'!$B$125)*('Total Duration Tables Sup #1'!E172/'Total Duration Tables Sup #1'!$B172)</f>
        <v>137.31074056937533</v>
      </c>
      <c r="F128" s="4">
        <f ca="1">$B128*('Updated Population'!F$125/'Updated Population'!$B$125)*('Total Duration Tables Sup #1'!F172/'Total Duration Tables Sup #1'!$B172)</f>
        <v>141.65892616542087</v>
      </c>
      <c r="G128" s="4">
        <f ca="1">$B128*('Updated Population'!G$125/'Updated Population'!$B$125)*('Total Duration Tables Sup #1'!G172/'Total Duration Tables Sup #1'!$B172)</f>
        <v>144.61363365604601</v>
      </c>
      <c r="H128" s="4">
        <f ca="1">$B128*('Updated Population'!H$125/'Updated Population'!$B$125)*('Total Duration Tables Sup #1'!H172/'Total Duration Tables Sup #1'!$B172)</f>
        <v>146.3575118903166</v>
      </c>
      <c r="I128" s="1">
        <f ca="1">$B128*('Updated Population'!I$125/'Updated Population'!$B$125)*('Total Duration Tables Sup #1'!I172/'Total Duration Tables Sup #1'!$B172)</f>
        <v>150.06025856171661</v>
      </c>
      <c r="J128" s="1">
        <f ca="1">$B128*('Updated Population'!J$125/'Updated Population'!$B$125)*('Total Duration Tables Sup #1'!J172/'Total Duration Tables Sup #1'!$B172)</f>
        <v>153.36692990523846</v>
      </c>
      <c r="K128" s="1">
        <f ca="1">$B128*('Updated Population'!K$125/'Updated Population'!$B$125)*('Total Duration Tables Sup #1'!K172/'Total Duration Tables Sup #1'!$B172)</f>
        <v>156.4096075348493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$B129*('Updated Population'!C$125/'Updated Population'!$B$125)*('Total Duration Tables Sup #1'!C173/'Total Duration Tables Sup #1'!$B173)</f>
        <v>57.484623716652294</v>
      </c>
      <c r="D129" s="4">
        <f ca="1">$B129*('Updated Population'!D$125/'Updated Population'!$B$125)*('Total Duration Tables Sup #1'!D173/'Total Duration Tables Sup #1'!$B173)</f>
        <v>59.619649388422594</v>
      </c>
      <c r="E129" s="4">
        <f ca="1">$B129*('Updated Population'!E$125/'Updated Population'!$B$125)*('Total Duration Tables Sup #1'!E173/'Total Duration Tables Sup #1'!$B173)</f>
        <v>61.058537274979585</v>
      </c>
      <c r="F129" s="4">
        <f ca="1">$B129*('Updated Population'!F$125/'Updated Population'!$B$125)*('Total Duration Tables Sup #1'!F173/'Total Duration Tables Sup #1'!$B173)</f>
        <v>62.079030421835746</v>
      </c>
      <c r="G129" s="4">
        <f ca="1">$B129*('Updated Population'!G$125/'Updated Population'!$B$125)*('Total Duration Tables Sup #1'!G173/'Total Duration Tables Sup #1'!$B173)</f>
        <v>62.79481688334026</v>
      </c>
      <c r="H129" s="4">
        <f ca="1">$B129*('Updated Population'!H$125/'Updated Population'!$B$125)*('Total Duration Tables Sup #1'!H173/'Total Duration Tables Sup #1'!$B173)</f>
        <v>63.105121259226607</v>
      </c>
      <c r="I129" s="1">
        <f ca="1">$B129*('Updated Population'!I$125/'Updated Population'!$B$125)*('Total Duration Tables Sup #1'!I173/'Total Duration Tables Sup #1'!$B173)</f>
        <v>64.7016384087256</v>
      </c>
      <c r="J129" s="1">
        <f ca="1">$B129*('Updated Population'!J$125/'Updated Population'!$B$125)*('Total Duration Tables Sup #1'!J173/'Total Duration Tables Sup #1'!$B173)</f>
        <v>66.127379345437731</v>
      </c>
      <c r="K129" s="1">
        <f ca="1">$B129*('Updated Population'!K$125/'Updated Population'!$B$125)*('Total Duration Tables Sup #1'!K173/'Total Duration Tables Sup #1'!$B173)</f>
        <v>67.439293836804765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$B130*('Updated Population'!C$125/'Updated Population'!$B$125)*('Total Duration Tables Sup #1'!C174/'Total Duration Tables Sup #1'!$B174)</f>
        <v>1.0258864269606063</v>
      </c>
      <c r="D130" s="4">
        <f ca="1">$B130*('Updated Population'!D$125/'Updated Population'!$B$125)*('Total Duration Tables Sup #1'!D174/'Total Duration Tables Sup #1'!$B174)</f>
        <v>1.1552474804273791</v>
      </c>
      <c r="E130" s="4">
        <f ca="1">$B130*('Updated Population'!E$125/'Updated Population'!$B$125)*('Total Duration Tables Sup #1'!E174/'Total Duration Tables Sup #1'!$B174)</f>
        <v>1.2547124434333379</v>
      </c>
      <c r="F130" s="4">
        <f ca="1">$B130*('Updated Population'!F$125/'Updated Population'!$B$125)*('Total Duration Tables Sup #1'!F174/'Total Duration Tables Sup #1'!$B174)</f>
        <v>1.3356228149516856</v>
      </c>
      <c r="G130" s="4">
        <f ca="1">$B130*('Updated Population'!G$125/'Updated Population'!$B$125)*('Total Duration Tables Sup #1'!G174/'Total Duration Tables Sup #1'!$B174)</f>
        <v>1.3900522812595539</v>
      </c>
      <c r="H130" s="4">
        <f ca="1">$B130*('Updated Population'!H$125/'Updated Population'!$B$125)*('Total Duration Tables Sup #1'!H174/'Total Duration Tables Sup #1'!$B174)</f>
        <v>1.430056765974111</v>
      </c>
      <c r="I130" s="1">
        <f ca="1">$B130*('Updated Population'!I$125/'Updated Population'!$B$125)*('Total Duration Tables Sup #1'!I174/'Total Duration Tables Sup #1'!$B174)</f>
        <v>1.4662362408895633</v>
      </c>
      <c r="J130" s="1">
        <f ca="1">$B130*('Updated Population'!J$125/'Updated Population'!$B$125)*('Total Duration Tables Sup #1'!J174/'Total Duration Tables Sup #1'!$B174)</f>
        <v>1.4985456704950622</v>
      </c>
      <c r="K130" s="1">
        <f ca="1">$B130*('Updated Population'!K$125/'Updated Population'!$B$125)*('Total Duration Tables Sup #1'!K174/'Total Duration Tables Sup #1'!$B174)</f>
        <v>1.5282756220001408</v>
      </c>
    </row>
    <row r="131" spans="1:11" x14ac:dyDescent="0.2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$B131*('Updated Population'!C$125/'Updated Population'!$B$125)*('Total Duration Tables Sup #1'!C175/'Total Duration Tables Sup #1'!$B175)</f>
        <v>0.43191183353241941</v>
      </c>
      <c r="D131" s="4">
        <f ca="1">$B131*('Updated Population'!D$125/'Updated Population'!$B$125)*('Total Duration Tables Sup #1'!D175/'Total Duration Tables Sup #1'!$B175)</f>
        <v>0.45162091081019551</v>
      </c>
      <c r="E131" s="4">
        <f ca="1">$B131*('Updated Population'!E$125/'Updated Population'!$B$125)*('Total Duration Tables Sup #1'!E175/'Total Duration Tables Sup #1'!$B175)</f>
        <v>0.46094712807747978</v>
      </c>
      <c r="F131" s="4">
        <f ca="1">$B131*('Updated Population'!F$125/'Updated Population'!$B$125)*('Total Duration Tables Sup #1'!F175/'Total Duration Tables Sup #1'!$B175)</f>
        <v>0.4638490797633335</v>
      </c>
      <c r="G131" s="4">
        <f ca="1">$B131*('Updated Population'!G$125/'Updated Population'!$B$125)*('Total Duration Tables Sup #1'!G175/'Total Duration Tables Sup #1'!$B175)</f>
        <v>0.45792098855470992</v>
      </c>
      <c r="H131" s="4">
        <f ca="1">$B131*('Updated Population'!H$125/'Updated Population'!$B$125)*('Total Duration Tables Sup #1'!H175/'Total Duration Tables Sup #1'!$B175)</f>
        <v>0.44754137714440678</v>
      </c>
      <c r="I131" s="1">
        <f ca="1">$B131*('Updated Population'!I$125/'Updated Population'!$B$125)*('Total Duration Tables Sup #1'!I175/'Total Duration Tables Sup #1'!$B175)</f>
        <v>0.45886387315525118</v>
      </c>
      <c r="J131" s="1">
        <f ca="1">$B131*('Updated Population'!J$125/'Updated Population'!$B$125)*('Total Duration Tables Sup #1'!J175/'Total Duration Tables Sup #1'!$B175)</f>
        <v>0.46897522465152947</v>
      </c>
      <c r="K131" s="1">
        <f ca="1">$B131*('Updated Population'!K$125/'Updated Population'!$B$125)*('Total Duration Tables Sup #1'!K175/'Total Duration Tables Sup #1'!$B175)</f>
        <v>0.47827931925504408</v>
      </c>
    </row>
    <row r="132" spans="1:11" x14ac:dyDescent="0.2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6.6416035999999996E-3</v>
      </c>
      <c r="D132" s="4">
        <f ca="1">OFFSET(Canterbury_Reference,44,7)</f>
        <v>5.4866016E-3</v>
      </c>
      <c r="E132" s="4">
        <f ca="1">OFFSET(Canterbury_Reference,45,7)</f>
        <v>4.6699460999999999E-3</v>
      </c>
      <c r="F132" s="4">
        <f ca="1">OFFSET(Canterbury_Reference,46,7)</f>
        <v>4.0835793E-3</v>
      </c>
      <c r="G132" s="4">
        <f ca="1">OFFSET(Canterbury_Reference,47,7)</f>
        <v>3.2163302E-3</v>
      </c>
      <c r="H132" s="4">
        <f ca="1">OFFSET(Canterbury_Reference,48,7)</f>
        <v>2.4807091999999998E-3</v>
      </c>
      <c r="I132" s="1">
        <f ca="1">OFFSET(Canterbury_Reference,48,7)</f>
        <v>2.4807091999999998E-3</v>
      </c>
      <c r="J132" s="1">
        <f ca="1">OFFSET(Canterbury_Reference,48,7)</f>
        <v>2.4807091999999998E-3</v>
      </c>
      <c r="K132" s="1">
        <f ca="1">OFFSET(Canterbury_Reference,48,7)</f>
        <v>2.4807091999999998E-3</v>
      </c>
    </row>
    <row r="133" spans="1:11" x14ac:dyDescent="0.2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7.3627264895</v>
      </c>
      <c r="D133" s="4">
        <f ca="1">OFFSET(Canterbury_Reference,51,7)</f>
        <v>7.2313939413000003</v>
      </c>
      <c r="E133" s="4">
        <f ca="1">OFFSET(Canterbury_Reference,52,7)</f>
        <v>6.7886232322</v>
      </c>
      <c r="F133" s="4">
        <f ca="1">OFFSET(Canterbury_Reference,53,7)</f>
        <v>6.3254628748000004</v>
      </c>
      <c r="G133" s="4">
        <f ca="1">OFFSET(Canterbury_Reference,54,7)</f>
        <v>5.9750273263000002</v>
      </c>
      <c r="H133" s="4">
        <f ca="1">OFFSET(Canterbury_Reference,55,7)</f>
        <v>5.6727710079999998</v>
      </c>
      <c r="I133" s="1">
        <f ca="1">OFFSET(Canterbury_Reference,55,7)</f>
        <v>5.6727710079999998</v>
      </c>
      <c r="J133" s="1">
        <f ca="1">OFFSET(Canterbury_Reference,55,7)</f>
        <v>5.6727710079999998</v>
      </c>
      <c r="K133" s="1">
        <f ca="1">OFFSET(Canterbury_Reference,55,7)</f>
        <v>5.6727710079999998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Duration Tables Sup #1'!C178/'Total Duration Tables Sup #1'!$B178)</f>
        <v>0</v>
      </c>
      <c r="D134" s="4">
        <f ca="1">$B134*('Updated Population'!D$125/'Updated Population'!$B$125)*('Total Duration Tables Sup #1'!D178/'Total Duration Tables Sup #1'!$B178)</f>
        <v>0</v>
      </c>
      <c r="E134" s="4">
        <f ca="1">$B134*('Updated Population'!E$125/'Updated Population'!$B$125)*('Total Duration Tables Sup #1'!E178/'Total Duration Tables Sup #1'!$B178)</f>
        <v>0</v>
      </c>
      <c r="F134" s="4">
        <f ca="1">$B134*('Updated Population'!F$125/'Updated Population'!$B$125)*('Total Duration Tables Sup #1'!F178/'Total Duration Tables Sup #1'!$B178)</f>
        <v>0</v>
      </c>
      <c r="G134" s="4">
        <f ca="1">$B134*('Updated Population'!G$125/'Updated Population'!$B$125)*('Total Duration Tables Sup #1'!G178/'Total Duration Tables Sup #1'!$B178)</f>
        <v>0</v>
      </c>
      <c r="H134" s="4">
        <f ca="1">$B134*('Updated Population'!H$125/'Updated Population'!$B$125)*('Total Duration Tables Sup #1'!H178/'Total Duration Tables Sup #1'!$B178)</f>
        <v>0</v>
      </c>
      <c r="I134" s="1">
        <f ca="1">$B134*('Updated Population'!I$125/'Updated Population'!$B$125)*('Total Duration Tables Sup #1'!I178/'Total Duration Tables Sup #1'!$B178)</f>
        <v>0</v>
      </c>
      <c r="J134" s="1">
        <f ca="1">$B134*('Updated Population'!J$125/'Updated Population'!$B$125)*('Total Duration Tables Sup #1'!J178/'Total Duration Tables Sup #1'!$B178)</f>
        <v>0</v>
      </c>
      <c r="K134" s="1">
        <f ca="1">$B134*('Updated Population'!K$125/'Updated Population'!$B$125)*('Total Duration Tables Sup #1'!K178/'Total Duration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$B135*('Updated Population'!C$125/'Updated Population'!$B$125)*('Total Duration Tables Sup #1'!C179/'Total Duration Tables Sup #1'!$B179)</f>
        <v>1.0555031619419246</v>
      </c>
      <c r="D135" s="4">
        <f ca="1">$B135*('Updated Population'!D$125/'Updated Population'!$B$125)*('Total Duration Tables Sup #1'!D179/'Total Duration Tables Sup #1'!$B179)</f>
        <v>1.1099980108201184</v>
      </c>
      <c r="E135" s="4">
        <f ca="1">$B135*('Updated Population'!E$125/'Updated Population'!$B$125)*('Total Duration Tables Sup #1'!E179/'Total Duration Tables Sup #1'!$B179)</f>
        <v>1.1430551342978972</v>
      </c>
      <c r="F135" s="4">
        <f ca="1">$B135*('Updated Population'!F$125/'Updated Population'!$B$125)*('Total Duration Tables Sup #1'!F179/'Total Duration Tables Sup #1'!$B179)</f>
        <v>1.1581781067818908</v>
      </c>
      <c r="G135" s="4">
        <f ca="1">$B135*('Updated Population'!G$125/'Updated Population'!$B$125)*('Total Duration Tables Sup #1'!G179/'Total Duration Tables Sup #1'!$B179)</f>
        <v>1.1714967977841229</v>
      </c>
      <c r="H135" s="4">
        <f ca="1">$B135*('Updated Population'!H$125/'Updated Population'!$B$125)*('Total Duration Tables Sup #1'!H179/'Total Duration Tables Sup #1'!$B179)</f>
        <v>1.1689029016748911</v>
      </c>
      <c r="I135" s="1">
        <f ca="1">$B135*('Updated Population'!I$125/'Updated Population'!$B$125)*('Total Duration Tables Sup #1'!I179/'Total Duration Tables Sup #1'!$B179)</f>
        <v>1.1984753593674629</v>
      </c>
      <c r="J135" s="1">
        <f ca="1">$B135*('Updated Population'!J$125/'Updated Population'!$B$125)*('Total Duration Tables Sup #1'!J179/'Total Duration Tables Sup #1'!$B179)</f>
        <v>1.2248845110290774</v>
      </c>
      <c r="K135" s="1">
        <f ca="1">$B135*('Updated Population'!K$125/'Updated Population'!$B$125)*('Total Duration Tables Sup #1'!K179/'Total Duration Tables Sup #1'!$B179)</f>
        <v>1.2491852432851627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$B137*('Updated Population'!C$136/'Updated Population'!$B$136)*('Total Duration Tables Sup #1'!C170/'Total Duration Tables Sup #1'!$B170)</f>
        <v>12.22037696359377</v>
      </c>
      <c r="D137" s="4">
        <f ca="1">$B137*('Updated Population'!D$136/'Updated Population'!$B$136)*('Total Duration Tables Sup #1'!D170/'Total Duration Tables Sup #1'!$B170)</f>
        <v>12.29297407295471</v>
      </c>
      <c r="E137" s="4">
        <f ca="1">$B137*('Updated Population'!E$136/'Updated Population'!$B$136)*('Total Duration Tables Sup #1'!E170/'Total Duration Tables Sup #1'!$B170)</f>
        <v>12.100101363905933</v>
      </c>
      <c r="F137" s="4">
        <f ca="1">$B137*('Updated Population'!F$136/'Updated Population'!$B$136)*('Total Duration Tables Sup #1'!F170/'Total Duration Tables Sup #1'!$B170)</f>
        <v>11.82738587603407</v>
      </c>
      <c r="G137" s="4">
        <f ca="1">$B137*('Updated Population'!G$136/'Updated Population'!$B$136)*('Total Duration Tables Sup #1'!G170/'Total Duration Tables Sup #1'!$B170)</f>
        <v>11.550011616839869</v>
      </c>
      <c r="H137" s="4">
        <f ca="1">$B137*('Updated Population'!H$136/'Updated Population'!$B$136)*('Total Duration Tables Sup #1'!H170/'Total Duration Tables Sup #1'!$B170)</f>
        <v>11.213714603862272</v>
      </c>
      <c r="I137" s="1">
        <f ca="1">$B137*('Updated Population'!I$136/'Updated Population'!$B$136)*('Total Duration Tables Sup #1'!I170/'Total Duration Tables Sup #1'!$B170)</f>
        <v>11.325612251599416</v>
      </c>
      <c r="J137" s="1">
        <f ca="1">$B137*('Updated Population'!J$136/'Updated Population'!$B$136)*('Total Duration Tables Sup #1'!J170/'Total Duration Tables Sup #1'!$B170)</f>
        <v>11.402215366916037</v>
      </c>
      <c r="K137" s="1">
        <f ca="1">$B137*('Updated Population'!K$136/'Updated Population'!$B$136)*('Total Duration Tables Sup #1'!K170/'Total Duration Tables Sup #1'!$B170)</f>
        <v>11.454666767469595</v>
      </c>
    </row>
    <row r="138" spans="1:11" x14ac:dyDescent="0.2">
      <c r="A138" t="str">
        <f ca="1">OFFSET(Otago_Reference,7,2)</f>
        <v>Cyclist</v>
      </c>
      <c r="B138" s="4">
        <f ca="1">OFFSET(Otago_Reference,7,7)</f>
        <v>1.6089304994</v>
      </c>
      <c r="C138" s="4">
        <f ca="1">$B138*('Updated Population'!C$136/'Updated Population'!$B$136)*('Total Duration Tables Sup #1'!C171/'Total Duration Tables Sup #1'!$B171)</f>
        <v>1.6934372063372551</v>
      </c>
      <c r="D138" s="4">
        <f ca="1">$B138*('Updated Population'!D$136/'Updated Population'!$B$136)*('Total Duration Tables Sup #1'!D171/'Total Duration Tables Sup #1'!$B171)</f>
        <v>1.7646996499498235</v>
      </c>
      <c r="E138" s="4">
        <f ca="1">$B138*('Updated Population'!E$136/'Updated Population'!$B$136)*('Total Duration Tables Sup #1'!E171/'Total Duration Tables Sup #1'!$B171)</f>
        <v>1.7511484819745124</v>
      </c>
      <c r="F138" s="4">
        <f ca="1">$B138*('Updated Population'!F$136/'Updated Population'!$B$136)*('Total Duration Tables Sup #1'!F171/'Total Duration Tables Sup #1'!$B171)</f>
        <v>1.7554340561030035</v>
      </c>
      <c r="G138" s="4">
        <f ca="1">$B138*('Updated Population'!G$136/'Updated Population'!$B$136)*('Total Duration Tables Sup #1'!G171/'Total Duration Tables Sup #1'!$B171)</f>
        <v>1.7809362899551027</v>
      </c>
      <c r="H138" s="4">
        <f ca="1">$B138*('Updated Population'!H$136/'Updated Population'!$B$136)*('Total Duration Tables Sup #1'!H171/'Total Duration Tables Sup #1'!$B171)</f>
        <v>1.8016219541938165</v>
      </c>
      <c r="I138" s="1">
        <f ca="1">$B138*('Updated Population'!I$136/'Updated Population'!$B$136)*('Total Duration Tables Sup #1'!I171/'Total Duration Tables Sup #1'!$B171)</f>
        <v>1.8195996953712541</v>
      </c>
      <c r="J138" s="1">
        <f ca="1">$B138*('Updated Population'!J$136/'Updated Population'!$B$136)*('Total Duration Tables Sup #1'!J171/'Total Duration Tables Sup #1'!$B171)</f>
        <v>1.8319069333552254</v>
      </c>
      <c r="K138" s="1">
        <f ca="1">$B138*('Updated Population'!K$136/'Updated Population'!$B$136)*('Total Duration Tables Sup #1'!K171/'Total Duration Tables Sup #1'!$B171)</f>
        <v>1.8403338996285559</v>
      </c>
    </row>
    <row r="139" spans="1:11" x14ac:dyDescent="0.2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$B139*('Updated Population'!C$136/'Updated Population'!$B$136)*('Total Duration Tables Sup #1'!C172/'Total Duration Tables Sup #1'!$B172)</f>
        <v>35.810771134351221</v>
      </c>
      <c r="D139" s="4">
        <f ca="1">$B139*('Updated Population'!D$136/'Updated Population'!$B$136)*('Total Duration Tables Sup #1'!D172/'Total Duration Tables Sup #1'!$B172)</f>
        <v>36.966404835804035</v>
      </c>
      <c r="E139" s="4">
        <f ca="1">$B139*('Updated Population'!E$136/'Updated Population'!$B$136)*('Total Duration Tables Sup #1'!E172/'Total Duration Tables Sup #1'!$B172)</f>
        <v>37.889666459969419</v>
      </c>
      <c r="F139" s="4">
        <f ca="1">$B139*('Updated Population'!F$136/'Updated Population'!$B$136)*('Total Duration Tables Sup #1'!F172/'Total Duration Tables Sup #1'!$B172)</f>
        <v>38.473138973806499</v>
      </c>
      <c r="G139" s="4">
        <f ca="1">$B139*('Updated Population'!G$136/'Updated Population'!$B$136)*('Total Duration Tables Sup #1'!G172/'Total Duration Tables Sup #1'!$B172)</f>
        <v>38.679937458060294</v>
      </c>
      <c r="H139" s="4">
        <f ca="1">$B139*('Updated Population'!H$136/'Updated Population'!$B$136)*('Total Duration Tables Sup #1'!H172/'Total Duration Tables Sup #1'!$B172)</f>
        <v>38.561423692054355</v>
      </c>
      <c r="I139" s="1">
        <f ca="1">$B139*('Updated Population'!I$136/'Updated Population'!$B$136)*('Total Duration Tables Sup #1'!I172/'Total Duration Tables Sup #1'!$B172)</f>
        <v>38.946214348582224</v>
      </c>
      <c r="J139" s="1">
        <f ca="1">$B139*('Updated Population'!J$136/'Updated Population'!$B$136)*('Total Duration Tables Sup #1'!J172/'Total Duration Tables Sup #1'!$B172)</f>
        <v>39.209635105236586</v>
      </c>
      <c r="K139" s="1">
        <f ca="1">$B139*('Updated Population'!K$136/'Updated Population'!$B$136)*('Total Duration Tables Sup #1'!K172/'Total Duration Tables Sup #1'!$B172)</f>
        <v>39.390003587174839</v>
      </c>
    </row>
    <row r="140" spans="1:11" x14ac:dyDescent="0.2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$B140*('Updated Population'!C$136/'Updated Population'!$B$136)*('Total Duration Tables Sup #1'!C173/'Total Duration Tables Sup #1'!$B173)</f>
        <v>20.870243156071702</v>
      </c>
      <c r="D140" s="4">
        <f ca="1">$B140*('Updated Population'!D$136/'Updated Population'!$B$136)*('Total Duration Tables Sup #1'!D173/'Total Duration Tables Sup #1'!$B173)</f>
        <v>21.226670213767324</v>
      </c>
      <c r="E140" s="4">
        <f ca="1">$B140*('Updated Population'!E$136/'Updated Population'!$B$136)*('Total Duration Tables Sup #1'!E173/'Total Duration Tables Sup #1'!$B173)</f>
        <v>21.386924206383569</v>
      </c>
      <c r="F140" s="4">
        <f ca="1">$B140*('Updated Population'!F$136/'Updated Population'!$B$136)*('Total Duration Tables Sup #1'!F173/'Total Duration Tables Sup #1'!$B173)</f>
        <v>21.401502426589118</v>
      </c>
      <c r="G140" s="4">
        <f ca="1">$B140*('Updated Population'!G$136/'Updated Population'!$B$136)*('Total Duration Tables Sup #1'!G173/'Total Duration Tables Sup #1'!$B173)</f>
        <v>21.319940307164821</v>
      </c>
      <c r="H140" s="4">
        <f ca="1">$B140*('Updated Population'!H$136/'Updated Population'!$B$136)*('Total Duration Tables Sup #1'!H173/'Total Duration Tables Sup #1'!$B173)</f>
        <v>21.105143482252988</v>
      </c>
      <c r="I140" s="1">
        <f ca="1">$B140*('Updated Population'!I$136/'Updated Population'!$B$136)*('Total Duration Tables Sup #1'!I173/'Total Duration Tables Sup #1'!$B173)</f>
        <v>21.315744161354065</v>
      </c>
      <c r="J140" s="1">
        <f ca="1">$B140*('Updated Population'!J$136/'Updated Population'!$B$136)*('Total Duration Tables Sup #1'!J173/'Total Duration Tables Sup #1'!$B173)</f>
        <v>21.459917595140944</v>
      </c>
      <c r="K140" s="1">
        <f ca="1">$B140*('Updated Population'!K$136/'Updated Population'!$B$136)*('Total Duration Tables Sup #1'!K173/'Total Duration Tables Sup #1'!$B173)</f>
        <v>21.558635493146539</v>
      </c>
    </row>
    <row r="141" spans="1:11" x14ac:dyDescent="0.2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$B141*('Updated Population'!C$136/'Updated Population'!$B$136)*('Total Duration Tables Sup #1'!C174/'Total Duration Tables Sup #1'!$B174)</f>
        <v>0.27202691954667779</v>
      </c>
      <c r="D141" s="4">
        <f ca="1">$B141*('Updated Population'!D$136/'Updated Population'!$B$136)*('Total Duration Tables Sup #1'!D174/'Total Duration Tables Sup #1'!$B174)</f>
        <v>0.30040300206029047</v>
      </c>
      <c r="E141" s="4">
        <f ca="1">$B141*('Updated Population'!E$136/'Updated Population'!$B$136)*('Total Duration Tables Sup #1'!E174/'Total Duration Tables Sup #1'!$B174)</f>
        <v>0.32098365860927836</v>
      </c>
      <c r="F141" s="4">
        <f ca="1">$B141*('Updated Population'!F$136/'Updated Population'!$B$136)*('Total Duration Tables Sup #1'!F174/'Total Duration Tables Sup #1'!$B174)</f>
        <v>0.33629464356233246</v>
      </c>
      <c r="G141" s="4">
        <f ca="1">$B141*('Updated Population'!G$136/'Updated Population'!$B$136)*('Total Duration Tables Sup #1'!G174/'Total Duration Tables Sup #1'!$B174)</f>
        <v>0.34469112736006569</v>
      </c>
      <c r="H141" s="4">
        <f ca="1">$B141*('Updated Population'!H$136/'Updated Population'!$B$136)*('Total Duration Tables Sup #1'!H174/'Total Duration Tables Sup #1'!$B174)</f>
        <v>0.34931220813956648</v>
      </c>
      <c r="I141" s="1">
        <f ca="1">$B141*('Updated Population'!I$136/'Updated Population'!$B$136)*('Total Duration Tables Sup #1'!I174/'Total Duration Tables Sup #1'!$B174)</f>
        <v>0.35279786974212085</v>
      </c>
      <c r="J141" s="1">
        <f ca="1">$B141*('Updated Population'!J$136/'Updated Population'!$B$136)*('Total Duration Tables Sup #1'!J174/'Total Duration Tables Sup #1'!$B174)</f>
        <v>0.35518409092813197</v>
      </c>
      <c r="K141" s="1">
        <f ca="1">$B141*('Updated Population'!K$136/'Updated Population'!$B$136)*('Total Duration Tables Sup #1'!K174/'Total Duration Tables Sup #1'!$B174)</f>
        <v>0.35681797543425858</v>
      </c>
    </row>
    <row r="142" spans="1:11" x14ac:dyDescent="0.2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$B142*('Updated Population'!C$136/'Updated Population'!$B$136)*('Total Duration Tables Sup #1'!C175/'Total Duration Tables Sup #1'!$B175)</f>
        <v>0.45685826812769775</v>
      </c>
      <c r="D142" s="4">
        <f ca="1">$B142*('Updated Population'!D$136/'Updated Population'!$B$136)*('Total Duration Tables Sup #1'!D175/'Total Duration Tables Sup #1'!$B175)</f>
        <v>0.46846491128003398</v>
      </c>
      <c r="E142" s="4">
        <f ca="1">$B142*('Updated Population'!E$136/'Updated Population'!$B$136)*('Total Duration Tables Sup #1'!E175/'Total Duration Tables Sup #1'!$B175)</f>
        <v>0.47039599740553872</v>
      </c>
      <c r="F142" s="4">
        <f ca="1">$B142*('Updated Population'!F$136/'Updated Population'!$B$136)*('Total Duration Tables Sup #1'!F175/'Total Duration Tables Sup #1'!$B175)</f>
        <v>0.46589345213642963</v>
      </c>
      <c r="G142" s="4">
        <f ca="1">$B142*('Updated Population'!G$136/'Updated Population'!$B$136)*('Total Duration Tables Sup #1'!G175/'Total Duration Tables Sup #1'!$B175)</f>
        <v>0.45296360209745185</v>
      </c>
      <c r="H142" s="4">
        <f ca="1">$B142*('Updated Population'!H$136/'Updated Population'!$B$136)*('Total Duration Tables Sup #1'!H175/'Total Duration Tables Sup #1'!$B175)</f>
        <v>0.43608130365192277</v>
      </c>
      <c r="I142" s="1">
        <f ca="1">$B142*('Updated Population'!I$136/'Updated Population'!$B$136)*('Total Duration Tables Sup #1'!I175/'Total Duration Tables Sup #1'!$B175)</f>
        <v>0.44043280302787363</v>
      </c>
      <c r="J142" s="1">
        <f ca="1">$B142*('Updated Population'!J$136/'Updated Population'!$B$136)*('Total Duration Tables Sup #1'!J175/'Total Duration Tables Sup #1'!$B175)</f>
        <v>0.44341176116718323</v>
      </c>
      <c r="K142" s="1">
        <f ca="1">$B142*('Updated Population'!K$136/'Updated Population'!$B$136)*('Total Duration Tables Sup #1'!K175/'Total Duration Tables Sup #1'!$B175)</f>
        <v>0.44545150231806713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Duration Tables Sup #1'!C176/'Total Duration Tables Sup #1'!$B176)</f>
        <v>0</v>
      </c>
      <c r="D143" s="4">
        <f ca="1">$B143*('Updated Population'!D$136/'Updated Population'!$B$136)*('Total Duration Tables Sup #1'!D176/'Total Duration Tables Sup #1'!$B176)</f>
        <v>0</v>
      </c>
      <c r="E143" s="4">
        <f ca="1">$B143*('Updated Population'!E$136/'Updated Population'!$B$136)*('Total Duration Tables Sup #1'!E176/'Total Duration Tables Sup #1'!$B176)</f>
        <v>0</v>
      </c>
      <c r="F143" s="4">
        <f ca="1">$B143*('Updated Population'!F$136/'Updated Population'!$B$136)*('Total Duration Tables Sup #1'!F176/'Total Duration Tables Sup #1'!$B176)</f>
        <v>0</v>
      </c>
      <c r="G143" s="4">
        <f ca="1">$B143*('Updated Population'!G$136/'Updated Population'!$B$136)*('Total Duration Tables Sup #1'!G176/'Total Duration Tables Sup #1'!$B176)</f>
        <v>0</v>
      </c>
      <c r="H143" s="4">
        <f ca="1">$B143*('Updated Population'!H$136/'Updated Population'!$B$136)*('Total Duration Tables Sup #1'!H176/'Total Duration Tables Sup #1'!$B176)</f>
        <v>0</v>
      </c>
      <c r="I143" s="1">
        <f ca="1">$B143*('Updated Population'!I$136/'Updated Population'!$B$136)*('Total Duration Tables Sup #1'!I176/'Total Duration Tables Sup #1'!$B176)</f>
        <v>0</v>
      </c>
      <c r="J143" s="1">
        <f ca="1">$B143*('Updated Population'!J$136/'Updated Population'!$B$136)*('Total Duration Tables Sup #1'!J176/'Total Duration Tables Sup #1'!$B176)</f>
        <v>0</v>
      </c>
      <c r="K143" s="1">
        <f ca="1">$B143*('Updated Population'!K$136/'Updated Population'!$B$136)*('Total Duration Tables Sup #1'!K176/'Total Duration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OFFSET(Otago_Reference,42,7)</f>
        <v>1.347401772</v>
      </c>
      <c r="C144" s="4">
        <f ca="1">$B144*('Updated Population'!C$136/'Updated Population'!$B$136)*('Total Duration Tables Sup #1'!C177/'Total Duration Tables Sup #1'!$B177)</f>
        <v>1.2746485184466547</v>
      </c>
      <c r="D144" s="4">
        <f ca="1">$B144*('Updated Population'!D$136/'Updated Population'!$B$136)*('Total Duration Tables Sup #1'!D177/'Total Duration Tables Sup #1'!$B177)</f>
        <v>1.2848910789457422</v>
      </c>
      <c r="E144" s="4">
        <f ca="1">$B144*('Updated Population'!E$136/'Updated Population'!$B$136)*('Total Duration Tables Sup #1'!E177/'Total Duration Tables Sup #1'!$B177)</f>
        <v>1.2635384259293072</v>
      </c>
      <c r="F144" s="4">
        <f ca="1">$B144*('Updated Population'!F$136/'Updated Population'!$B$136)*('Total Duration Tables Sup #1'!F177/'Total Duration Tables Sup #1'!$B177)</f>
        <v>1.2381407299353724</v>
      </c>
      <c r="G144" s="4">
        <f ca="1">$B144*('Updated Population'!G$136/'Updated Population'!$B$136)*('Total Duration Tables Sup #1'!G177/'Total Duration Tables Sup #1'!$B177)</f>
        <v>1.222898957789464</v>
      </c>
      <c r="H144" s="4">
        <f ca="1">$B144*('Updated Population'!H$136/'Updated Population'!$B$136)*('Total Duration Tables Sup #1'!H177/'Total Duration Tables Sup #1'!$B177)</f>
        <v>1.2067363209133992</v>
      </c>
      <c r="I144" s="1">
        <f ca="1">$B144*('Updated Population'!I$136/'Updated Population'!$B$136)*('Total Duration Tables Sup #1'!I177/'Total Duration Tables Sup #1'!$B177)</f>
        <v>1.2187779111017814</v>
      </c>
      <c r="J144" s="1">
        <f ca="1">$B144*('Updated Population'!J$136/'Updated Population'!$B$136)*('Total Duration Tables Sup #1'!J177/'Total Duration Tables Sup #1'!$B177)</f>
        <v>1.2270213669781993</v>
      </c>
      <c r="K144" s="1">
        <f ca="1">$B144*('Updated Population'!K$136/'Updated Population'!$B$136)*('Total Duration Tables Sup #1'!K177/'Total Duration Tables Sup #1'!$B177)</f>
        <v>1.232665795463026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Duration Tables Sup #1'!C178/'Total Duration Tables Sup #1'!$B178)</f>
        <v>0</v>
      </c>
      <c r="D145" s="4">
        <f ca="1">$B145*('Updated Population'!D$136/'Updated Population'!$B$136)*('Total Duration Tables Sup #1'!D178/'Total Duration Tables Sup #1'!$B178)</f>
        <v>0</v>
      </c>
      <c r="E145" s="4">
        <f ca="1">$B145*('Updated Population'!E$136/'Updated Population'!$B$136)*('Total Duration Tables Sup #1'!E178/'Total Duration Tables Sup #1'!$B178)</f>
        <v>0</v>
      </c>
      <c r="F145" s="4">
        <f ca="1">$B145*('Updated Population'!F$136/'Updated Population'!$B$136)*('Total Duration Tables Sup #1'!F178/'Total Duration Tables Sup #1'!$B178)</f>
        <v>0</v>
      </c>
      <c r="G145" s="4">
        <f ca="1">$B145*('Updated Population'!G$136/'Updated Population'!$B$136)*('Total Duration Tables Sup #1'!G178/'Total Duration Tables Sup #1'!$B178)</f>
        <v>0</v>
      </c>
      <c r="H145" s="4">
        <f ca="1">$B145*('Updated Population'!H$136/'Updated Population'!$B$136)*('Total Duration Tables Sup #1'!H178/'Total Duration Tables Sup #1'!$B178)</f>
        <v>0</v>
      </c>
      <c r="I145" s="1">
        <f ca="1">$B145*('Updated Population'!I$136/'Updated Population'!$B$136)*('Total Duration Tables Sup #1'!I178/'Total Duration Tables Sup #1'!$B178)</f>
        <v>0</v>
      </c>
      <c r="J145" s="1">
        <f ca="1">$B145*('Updated Population'!J$136/'Updated Population'!$B$136)*('Total Duration Tables Sup #1'!J178/'Total Duration Tables Sup #1'!$B178)</f>
        <v>0</v>
      </c>
      <c r="K145" s="1">
        <f ca="1">$B145*('Updated Population'!K$136/'Updated Population'!$B$136)*('Total Duration Tables Sup #1'!K178/'Total Duration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$B146*('Updated Population'!C$136/'Updated Population'!$B$136)*('Total Duration Tables Sup #1'!C179/'Total Duration Tables Sup #1'!$B179)</f>
        <v>0.28301424572371453</v>
      </c>
      <c r="D146" s="4">
        <f ca="1">$B146*('Updated Population'!D$136/'Updated Population'!$B$136)*('Total Duration Tables Sup #1'!D179/'Total Duration Tables Sup #1'!$B179)</f>
        <v>0.29186874939124119</v>
      </c>
      <c r="E146" s="4">
        <f ca="1">$B146*('Updated Population'!E$136/'Updated Population'!$B$136)*('Total Duration Tables Sup #1'!E179/'Total Duration Tables Sup #1'!$B179)</f>
        <v>0.29569368856541961</v>
      </c>
      <c r="F146" s="4">
        <f ca="1">$B146*('Updated Population'!F$136/'Updated Population'!$B$136)*('Total Duration Tables Sup #1'!F179/'Total Duration Tables Sup #1'!$B179)</f>
        <v>0.29488157018997485</v>
      </c>
      <c r="G146" s="4">
        <f ca="1">$B146*('Updated Population'!G$136/'Updated Population'!$B$136)*('Total Duration Tables Sup #1'!G179/'Total Duration Tables Sup #1'!$B179)</f>
        <v>0.29374888968616308</v>
      </c>
      <c r="H146" s="4">
        <f ca="1">$B146*('Updated Population'!H$136/'Updated Population'!$B$136)*('Total Duration Tables Sup #1'!H179/'Total Duration Tables Sup #1'!$B179)</f>
        <v>0.28871881197565669</v>
      </c>
      <c r="I146" s="1">
        <f ca="1">$B146*('Updated Population'!I$136/'Updated Population'!$B$136)*('Total Duration Tables Sup #1'!I179/'Total Duration Tables Sup #1'!$B179)</f>
        <v>0.29159983374755122</v>
      </c>
      <c r="J146" s="1">
        <f ca="1">$B146*('Updated Population'!J$136/'Updated Population'!$B$136)*('Total Duration Tables Sup #1'!J179/'Total Duration Tables Sup #1'!$B179)</f>
        <v>0.29357212938990968</v>
      </c>
      <c r="K146" s="1">
        <f ca="1">$B146*('Updated Population'!K$136/'Updated Population'!$B$136)*('Total Duration Tables Sup #1'!K179/'Total Duration Tables Sup #1'!$B179)</f>
        <v>0.29492259233544127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$B148*('Updated Population'!C$147/'Updated Population'!$B$147)*('Total Duration Tables Sup #1'!C170/'Total Duration Tables Sup #1'!$B170)</f>
        <v>2.2577738027197096</v>
      </c>
      <c r="D148" s="4">
        <f ca="1">$B148*('Updated Population'!D$147/'Updated Population'!$B$147)*('Total Duration Tables Sup #1'!D170/'Total Duration Tables Sup #1'!$B170)</f>
        <v>2.1927399657305657</v>
      </c>
      <c r="E148" s="4">
        <f ca="1">$B148*('Updated Population'!E$147/'Updated Population'!$B$147)*('Total Duration Tables Sup #1'!E170/'Total Duration Tables Sup #1'!$B170)</f>
        <v>2.1092366304725836</v>
      </c>
      <c r="F148" s="4">
        <f ca="1">$B148*('Updated Population'!F$147/'Updated Population'!$B$147)*('Total Duration Tables Sup #1'!F170/'Total Duration Tables Sup #1'!$B170)</f>
        <v>2.0151998375246185</v>
      </c>
      <c r="G148" s="4">
        <f ca="1">$B148*('Updated Population'!G$147/'Updated Population'!$B$147)*('Total Duration Tables Sup #1'!G170/'Total Duration Tables Sup #1'!$B170)</f>
        <v>1.9221411273366407</v>
      </c>
      <c r="H148" s="4">
        <f ca="1">$B148*('Updated Population'!H$147/'Updated Population'!$B$147)*('Total Duration Tables Sup #1'!H170/'Total Duration Tables Sup #1'!$B170)</f>
        <v>1.8229854697694012</v>
      </c>
      <c r="I148" s="1">
        <f ca="1">$B148*('Updated Population'!I$147/'Updated Population'!$B$147)*('Total Duration Tables Sup #1'!I170/'Total Duration Tables Sup #1'!$B170)</f>
        <v>1.7985654860312581</v>
      </c>
      <c r="J148" s="1">
        <f ca="1">$B148*('Updated Population'!J$147/'Updated Population'!$B$147)*('Total Duration Tables Sup #1'!J170/'Total Duration Tables Sup #1'!$B170)</f>
        <v>1.7688241705144656</v>
      </c>
      <c r="K148" s="1">
        <f ca="1">$B148*('Updated Population'!K$147/'Updated Population'!$B$147)*('Total Duration Tables Sup #1'!K170/'Total Duration Tables Sup #1'!$B170)</f>
        <v>1.7358362030087078</v>
      </c>
    </row>
    <row r="149" spans="1:11" x14ac:dyDescent="0.2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$B149*('Updated Population'!C$147/'Updated Population'!$B$147)*('Total Duration Tables Sup #1'!C171/'Total Duration Tables Sup #1'!$B171)</f>
        <v>0.50582115061564636</v>
      </c>
      <c r="D149" s="4">
        <f ca="1">$B149*('Updated Population'!D$147/'Updated Population'!$B$147)*('Total Duration Tables Sup #1'!D171/'Total Duration Tables Sup #1'!$B171)</f>
        <v>0.50890067540715078</v>
      </c>
      <c r="E149" s="4">
        <f ca="1">$B149*('Updated Population'!E$147/'Updated Population'!$B$147)*('Total Duration Tables Sup #1'!E171/'Total Duration Tables Sup #1'!$B171)</f>
        <v>0.49350474144172296</v>
      </c>
      <c r="F149" s="4">
        <f ca="1">$B149*('Updated Population'!F$147/'Updated Population'!$B$147)*('Total Duration Tables Sup #1'!F171/'Total Duration Tables Sup #1'!$B171)</f>
        <v>0.48355506198522097</v>
      </c>
      <c r="G149" s="4">
        <f ca="1">$B149*('Updated Population'!G$147/'Updated Population'!$B$147)*('Total Duration Tables Sup #1'!G171/'Total Duration Tables Sup #1'!$B171)</f>
        <v>0.47916302155375368</v>
      </c>
      <c r="H149" s="4">
        <f ca="1">$B149*('Updated Population'!H$147/'Updated Population'!$B$147)*('Total Duration Tables Sup #1'!H171/'Total Duration Tables Sup #1'!$B171)</f>
        <v>0.4735103047592964</v>
      </c>
      <c r="I149" s="1">
        <f ca="1">$B149*('Updated Population'!I$147/'Updated Population'!$B$147)*('Total Duration Tables Sup #1'!I171/'Total Duration Tables Sup #1'!$B171)</f>
        <v>0.46716735023013728</v>
      </c>
      <c r="J149" s="1">
        <f ca="1">$B149*('Updated Population'!J$147/'Updated Population'!$B$147)*('Total Duration Tables Sup #1'!J171/'Total Duration Tables Sup #1'!$B171)</f>
        <v>0.45944220946086933</v>
      </c>
      <c r="K149" s="1">
        <f ca="1">$B149*('Updated Population'!K$147/'Updated Population'!$B$147)*('Total Duration Tables Sup #1'!K171/'Total Duration Tables Sup #1'!$B171)</f>
        <v>0.45087376895156722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$B150*('Updated Population'!C$147/'Updated Population'!$B$147)*('Total Duration Tables Sup #1'!C172/'Total Duration Tables Sup #1'!$B172)</f>
        <v>15.365394292466201</v>
      </c>
      <c r="D150" s="4">
        <f ca="1">$B150*('Updated Population'!D$147/'Updated Population'!$B$147)*('Total Duration Tables Sup #1'!D172/'Total Duration Tables Sup #1'!$B172)</f>
        <v>15.313398752843675</v>
      </c>
      <c r="E150" s="4">
        <f ca="1">$B150*('Updated Population'!E$147/'Updated Population'!$B$147)*('Total Duration Tables Sup #1'!E172/'Total Duration Tables Sup #1'!$B172)</f>
        <v>15.33879658911464</v>
      </c>
      <c r="F150" s="4">
        <f ca="1">$B150*('Updated Population'!F$147/'Updated Population'!$B$147)*('Total Duration Tables Sup #1'!F172/'Total Duration Tables Sup #1'!$B172)</f>
        <v>15.223733895011552</v>
      </c>
      <c r="G150" s="4">
        <f ca="1">$B150*('Updated Population'!G$147/'Updated Population'!$B$147)*('Total Duration Tables Sup #1'!G172/'Total Duration Tables Sup #1'!$B172)</f>
        <v>14.949367658460323</v>
      </c>
      <c r="H150" s="4">
        <f ca="1">$B150*('Updated Population'!H$147/'Updated Population'!$B$147)*('Total Duration Tables Sup #1'!H172/'Total Duration Tables Sup #1'!$B172)</f>
        <v>14.558645710332341</v>
      </c>
      <c r="I150" s="1">
        <f ca="1">$B150*('Updated Population'!I$147/'Updated Population'!$B$147)*('Total Duration Tables Sup #1'!I172/'Total Duration Tables Sup #1'!$B172)</f>
        <v>14.363623919214787</v>
      </c>
      <c r="J150" s="1">
        <f ca="1">$B150*('Updated Population'!J$147/'Updated Population'!$B$147)*('Total Duration Tables Sup #1'!J172/'Total Duration Tables Sup #1'!$B172)</f>
        <v>14.126105144244537</v>
      </c>
      <c r="K150" s="1">
        <f ca="1">$B150*('Updated Population'!K$147/'Updated Population'!$B$147)*('Total Duration Tables Sup #1'!K172/'Total Duration Tables Sup #1'!$B172)</f>
        <v>13.862658101147133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$B151*('Updated Population'!C$147/'Updated Population'!$B$147)*('Total Duration Tables Sup #1'!C173/'Total Duration Tables Sup #1'!$B173)</f>
        <v>7.6013459379563146</v>
      </c>
      <c r="D151" s="4">
        <f ca="1">$B151*('Updated Population'!D$147/'Updated Population'!$B$147)*('Total Duration Tables Sup #1'!D173/'Total Duration Tables Sup #1'!$B173)</f>
        <v>7.4641301124934181</v>
      </c>
      <c r="E151" s="4">
        <f ca="1">$B151*('Updated Population'!E$147/'Updated Population'!$B$147)*('Total Duration Tables Sup #1'!E173/'Total Duration Tables Sup #1'!$B173)</f>
        <v>7.3493983736512885</v>
      </c>
      <c r="F151" s="4">
        <f ca="1">$B151*('Updated Population'!F$147/'Updated Population'!$B$147)*('Total Duration Tables Sup #1'!F173/'Total Duration Tables Sup #1'!$B173)</f>
        <v>7.1885413973546264</v>
      </c>
      <c r="G151" s="4">
        <f ca="1">$B151*('Updated Population'!G$147/'Updated Population'!$B$147)*('Total Duration Tables Sup #1'!G173/'Total Duration Tables Sup #1'!$B173)</f>
        <v>6.9944890832133391</v>
      </c>
      <c r="H151" s="4">
        <f ca="1">$B151*('Updated Population'!H$147/'Updated Population'!$B$147)*('Total Duration Tables Sup #1'!H173/'Total Duration Tables Sup #1'!$B173)</f>
        <v>6.7637754235715191</v>
      </c>
      <c r="I151" s="1">
        <f ca="1">$B151*('Updated Population'!I$147/'Updated Population'!$B$147)*('Total Duration Tables Sup #1'!I173/'Total Duration Tables Sup #1'!$B173)</f>
        <v>6.6731705950684361</v>
      </c>
      <c r="J151" s="1">
        <f ca="1">$B151*('Updated Population'!J$147/'Updated Population'!$B$147)*('Total Duration Tables Sup #1'!J173/'Total Duration Tables Sup #1'!$B173)</f>
        <v>6.5628221681099852</v>
      </c>
      <c r="K151" s="1">
        <f ca="1">$B151*('Updated Population'!K$147/'Updated Population'!$B$147)*('Total Duration Tables Sup #1'!K173/'Total Duration Tables Sup #1'!$B173)</f>
        <v>6.4404277729877659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$B152*('Updated Population'!C$147/'Updated Population'!$B$147)*('Total Duration Tables Sup #1'!C174/'Total Duration Tables Sup #1'!$B174)</f>
        <v>7.3774454786950633E-2</v>
      </c>
      <c r="D152" s="4">
        <f ca="1">$B152*('Updated Population'!D$147/'Updated Population'!$B$147)*('Total Duration Tables Sup #1'!D174/'Total Duration Tables Sup #1'!$B174)</f>
        <v>7.8656158761532174E-2</v>
      </c>
      <c r="E152" s="4">
        <f ca="1">$B152*('Updated Population'!E$147/'Updated Population'!$B$147)*('Total Duration Tables Sup #1'!E174/'Total Duration Tables Sup #1'!$B174)</f>
        <v>8.2132968145404148E-2</v>
      </c>
      <c r="F152" s="4">
        <f ca="1">$B152*('Updated Population'!F$147/'Updated Population'!$B$147)*('Total Duration Tables Sup #1'!F174/'Total Duration Tables Sup #1'!$B174)</f>
        <v>8.410999393824127E-2</v>
      </c>
      <c r="G152" s="4">
        <f ca="1">$B152*('Updated Population'!G$147/'Updated Population'!$B$147)*('Total Duration Tables Sup #1'!G174/'Total Duration Tables Sup #1'!$B174)</f>
        <v>8.4203715074306018E-2</v>
      </c>
      <c r="H152" s="4">
        <f ca="1">$B152*('Updated Population'!H$147/'Updated Population'!$B$147)*('Total Duration Tables Sup #1'!H174/'Total Duration Tables Sup #1'!$B174)</f>
        <v>8.3357709141730157E-2</v>
      </c>
      <c r="I152" s="1">
        <f ca="1">$B152*('Updated Population'!I$147/'Updated Population'!$B$147)*('Total Duration Tables Sup #1'!I174/'Total Duration Tables Sup #1'!$B174)</f>
        <v>8.2241082632388079E-2</v>
      </c>
      <c r="J152" s="1">
        <f ca="1">$B152*('Updated Population'!J$147/'Updated Population'!$B$147)*('Total Duration Tables Sup #1'!J174/'Total Duration Tables Sup #1'!$B174)</f>
        <v>8.0881133269404493E-2</v>
      </c>
      <c r="K152" s="1">
        <f ca="1">$B152*('Updated Population'!K$147/'Updated Population'!$B$147)*('Total Duration Tables Sup #1'!K174/'Total Duration Tables Sup #1'!$B174)</f>
        <v>7.9372727719211264E-2</v>
      </c>
    </row>
    <row r="153" spans="1:11" x14ac:dyDescent="0.2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$B153*('Updated Population'!C$147/'Updated Population'!$B$147)*('Total Duration Tables Sup #1'!C175/'Total Duration Tables Sup #1'!$B175)</f>
        <v>0.26772610837605437</v>
      </c>
      <c r="D153" s="4">
        <f ca="1">$B153*('Updated Population'!D$147/'Updated Population'!$B$147)*('Total Duration Tables Sup #1'!D175/'Total Duration Tables Sup #1'!$B175)</f>
        <v>0.2650456270114947</v>
      </c>
      <c r="E153" s="4">
        <f ca="1">$B153*('Updated Population'!E$147/'Updated Population'!$B$147)*('Total Duration Tables Sup #1'!E175/'Total Duration Tables Sup #1'!$B175)</f>
        <v>0.26008381302111827</v>
      </c>
      <c r="F153" s="4">
        <f ca="1">$B153*('Updated Population'!F$147/'Updated Population'!$B$147)*('Total Duration Tables Sup #1'!F175/'Total Duration Tables Sup #1'!$B175)</f>
        <v>0.25178471930545465</v>
      </c>
      <c r="G153" s="4">
        <f ca="1">$B153*('Updated Population'!G$147/'Updated Population'!$B$147)*('Total Duration Tables Sup #1'!G175/'Total Duration Tables Sup #1'!$B175)</f>
        <v>0.2390999940445655</v>
      </c>
      <c r="H153" s="4">
        <f ca="1">$B153*('Updated Population'!H$147/'Updated Population'!$B$147)*('Total Duration Tables Sup #1'!H175/'Total Duration Tables Sup #1'!$B175)</f>
        <v>0.22486123158774954</v>
      </c>
      <c r="I153" s="1">
        <f ca="1">$B153*('Updated Population'!I$147/'Updated Population'!$B$147)*('Total Duration Tables Sup #1'!I175/'Total Duration Tables Sup #1'!$B175)</f>
        <v>0.22184908052578506</v>
      </c>
      <c r="J153" s="1">
        <f ca="1">$B153*('Updated Population'!J$147/'Updated Population'!$B$147)*('Total Duration Tables Sup #1'!J175/'Total Duration Tables Sup #1'!$B175)</f>
        <v>0.21818055494121652</v>
      </c>
      <c r="K153" s="1">
        <f ca="1">$B153*('Updated Population'!K$147/'Updated Population'!$B$147)*('Total Duration Tables Sup #1'!K175/'Total Duration Tables Sup #1'!$B175)</f>
        <v>0.21411156200411993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Duration Tables Sup #1'!C176/'Total Duration Tables Sup #1'!$B176)</f>
        <v>0</v>
      </c>
      <c r="D154" s="4">
        <f ca="1">$B154*('Updated Population'!D$147/'Updated Population'!$B$147)*('Total Duration Tables Sup #1'!D176/'Total Duration Tables Sup #1'!$B176)</f>
        <v>0</v>
      </c>
      <c r="E154" s="4">
        <f ca="1">$B154*('Updated Population'!E$147/'Updated Population'!$B$147)*('Total Duration Tables Sup #1'!E176/'Total Duration Tables Sup #1'!$B176)</f>
        <v>0</v>
      </c>
      <c r="F154" s="4">
        <f ca="1">$B154*('Updated Population'!F$147/'Updated Population'!$B$147)*('Total Duration Tables Sup #1'!F176/'Total Duration Tables Sup #1'!$B176)</f>
        <v>0</v>
      </c>
      <c r="G154" s="4">
        <f ca="1">$B154*('Updated Population'!G$147/'Updated Population'!$B$147)*('Total Duration Tables Sup #1'!G176/'Total Duration Tables Sup #1'!$B176)</f>
        <v>0</v>
      </c>
      <c r="H154" s="4">
        <f ca="1">$B154*('Updated Population'!H$147/'Updated Population'!$B$147)*('Total Duration Tables Sup #1'!H176/'Total Duration Tables Sup #1'!$B176)</f>
        <v>0</v>
      </c>
      <c r="I154" s="1">
        <f ca="1">$B154*('Updated Population'!I$147/'Updated Population'!$B$147)*('Total Duration Tables Sup #1'!I176/'Total Duration Tables Sup #1'!$B176)</f>
        <v>0</v>
      </c>
      <c r="J154" s="1">
        <f ca="1">$B154*('Updated Population'!J$147/'Updated Population'!$B$147)*('Total Duration Tables Sup #1'!J176/'Total Duration Tables Sup #1'!$B176)</f>
        <v>0</v>
      </c>
      <c r="K154" s="1">
        <f ca="1">$B154*('Updated Population'!K$147/'Updated Population'!$B$147)*('Total Duration Tables Sup #1'!K176/'Total Duration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$B155*('Updated Population'!C$147/'Updated Population'!$B$147)*('Total Duration Tables Sup #1'!C177/'Total Duration Tables Sup #1'!$B177)</f>
        <v>1.0985294494458275</v>
      </c>
      <c r="D155" s="4">
        <f ca="1">$B155*('Updated Population'!D$147/'Updated Population'!$B$147)*('Total Duration Tables Sup #1'!D177/'Total Duration Tables Sup #1'!$B177)</f>
        <v>1.069108819508289</v>
      </c>
      <c r="E155" s="4">
        <f ca="1">$B155*('Updated Population'!E$147/'Updated Population'!$B$147)*('Total Duration Tables Sup #1'!E177/'Total Duration Tables Sup #1'!$B177)</f>
        <v>1.0274251258323077</v>
      </c>
      <c r="F155" s="4">
        <f ca="1">$B155*('Updated Population'!F$147/'Updated Population'!$B$147)*('Total Duration Tables Sup #1'!F177/'Total Duration Tables Sup #1'!$B177)</f>
        <v>0.98406728822371836</v>
      </c>
      <c r="G155" s="4">
        <f ca="1">$B155*('Updated Population'!G$147/'Updated Population'!$B$147)*('Total Duration Tables Sup #1'!G177/'Total Duration Tables Sup #1'!$B177)</f>
        <v>0.94933361012999906</v>
      </c>
      <c r="H155" s="4">
        <f ca="1">$B155*('Updated Population'!H$147/'Updated Population'!$B$147)*('Total Duration Tables Sup #1'!H177/'Total Duration Tables Sup #1'!$B177)</f>
        <v>0.91510625646564003</v>
      </c>
      <c r="I155" s="1">
        <f ca="1">$B155*('Updated Population'!I$147/'Updated Population'!$B$147)*('Total Duration Tables Sup #1'!I177/'Total Duration Tables Sup #1'!$B177)</f>
        <v>0.90284785930771283</v>
      </c>
      <c r="J155" s="1">
        <f ca="1">$B155*('Updated Population'!J$147/'Updated Population'!$B$147)*('Total Duration Tables Sup #1'!J177/'Total Duration Tables Sup #1'!$B177)</f>
        <v>0.88791824831724331</v>
      </c>
      <c r="K155" s="1">
        <f ca="1">$B155*('Updated Population'!K$147/'Updated Population'!$B$147)*('Total Duration Tables Sup #1'!K177/'Total Duration Tables Sup #1'!$B177)</f>
        <v>0.87135887581910554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Duration Tables Sup #1'!C178/'Total Duration Tables Sup #1'!$B178)</f>
        <v>0</v>
      </c>
      <c r="D156" s="4">
        <f ca="1">$B156*('Updated Population'!D$147/'Updated Population'!$B$147)*('Total Duration Tables Sup #1'!D178/'Total Duration Tables Sup #1'!$B178)</f>
        <v>0</v>
      </c>
      <c r="E156" s="4">
        <f ca="1">$B156*('Updated Population'!E$147/'Updated Population'!$B$147)*('Total Duration Tables Sup #1'!E178/'Total Duration Tables Sup #1'!$B178)</f>
        <v>0</v>
      </c>
      <c r="F156" s="4">
        <f ca="1">$B156*('Updated Population'!F$147/'Updated Population'!$B$147)*('Total Duration Tables Sup #1'!F178/'Total Duration Tables Sup #1'!$B178)</f>
        <v>0</v>
      </c>
      <c r="G156" s="4">
        <f ca="1">$B156*('Updated Population'!G$147/'Updated Population'!$B$147)*('Total Duration Tables Sup #1'!G178/'Total Duration Tables Sup #1'!$B178)</f>
        <v>0</v>
      </c>
      <c r="H156" s="4">
        <f ca="1">$B156*('Updated Population'!H$147/'Updated Population'!$B$147)*('Total Duration Tables Sup #1'!H178/'Total Duration Tables Sup #1'!$B178)</f>
        <v>0</v>
      </c>
      <c r="I156" s="1">
        <f ca="1">$B156*('Updated Population'!I$147/'Updated Population'!$B$147)*('Total Duration Tables Sup #1'!I178/'Total Duration Tables Sup #1'!$B178)</f>
        <v>0</v>
      </c>
      <c r="J156" s="1">
        <f ca="1">$B156*('Updated Population'!J$147/'Updated Population'!$B$147)*('Total Duration Tables Sup #1'!J178/'Total Duration Tables Sup #1'!$B178)</f>
        <v>0</v>
      </c>
      <c r="K156" s="1">
        <f ca="1">$B156*('Updated Population'!K$147/'Updated Population'!$B$147)*('Total Duration Tables Sup #1'!K178/'Total Duration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$B157*('Updated Population'!C$147/'Updated Population'!$B$147)*('Total Duration Tables Sup #1'!C179/'Total Duration Tables Sup #1'!$B179)</f>
        <v>9.1556514567520175E-2</v>
      </c>
      <c r="D157" s="4">
        <f ca="1">$B157*('Updated Population'!D$147/'Updated Population'!$B$147)*('Total Duration Tables Sup #1'!D179/'Total Duration Tables Sup #1'!$B179)</f>
        <v>9.115970096977706E-2</v>
      </c>
      <c r="E157" s="4">
        <f ca="1">$B157*('Updated Population'!E$147/'Updated Population'!$B$147)*('Total Duration Tables Sup #1'!E179/'Total Duration Tables Sup #1'!$B179)</f>
        <v>9.0253380852677839E-2</v>
      </c>
      <c r="F157" s="4">
        <f ca="1">$B157*('Updated Population'!F$147/'Updated Population'!$B$147)*('Total Duration Tables Sup #1'!F179/'Total Duration Tables Sup #1'!$B179)</f>
        <v>8.7975574536763898E-2</v>
      </c>
      <c r="G157" s="4">
        <f ca="1">$B157*('Updated Population'!G$147/'Updated Population'!$B$147)*('Total Duration Tables Sup #1'!G179/'Total Duration Tables Sup #1'!$B179)</f>
        <v>8.5598117169219848E-2</v>
      </c>
      <c r="H157" s="4">
        <f ca="1">$B157*('Updated Population'!H$147/'Updated Population'!$B$147)*('Total Duration Tables Sup #1'!H179/'Total Duration Tables Sup #1'!$B179)</f>
        <v>8.2185257137943779E-2</v>
      </c>
      <c r="I157" s="1">
        <f ca="1">$B157*('Updated Population'!I$147/'Updated Population'!$B$147)*('Total Duration Tables Sup #1'!I179/'Total Duration Tables Sup #1'!$B179)</f>
        <v>8.1084336326393044E-2</v>
      </c>
      <c r="J157" s="1">
        <f ca="1">$B157*('Updated Population'!J$147/'Updated Population'!$B$147)*('Total Duration Tables Sup #1'!J179/'Total Duration Tables Sup #1'!$B179)</f>
        <v>7.9743515072520144E-2</v>
      </c>
      <c r="K157" s="1">
        <f ca="1">$B157*('Updated Population'!K$147/'Updated Population'!$B$147)*('Total Duration Tables Sup #1'!K179/'Total Duration Tables Sup #1'!$B179)</f>
        <v>7.8256325713703265E-2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205.0143830817</v>
      </c>
      <c r="C159" s="4">
        <f t="shared" ca="1" si="1"/>
        <v>222.22070869464068</v>
      </c>
      <c r="D159" s="4">
        <f t="shared" ca="1" si="1"/>
        <v>231.27669030402953</v>
      </c>
      <c r="E159" s="4">
        <f t="shared" ca="1" si="1"/>
        <v>235.98498673876725</v>
      </c>
      <c r="F159" s="4">
        <f t="shared" ca="1" si="1"/>
        <v>238.76131634471722</v>
      </c>
      <c r="G159" s="4">
        <f t="shared" ca="1" si="1"/>
        <v>241.02673833747701</v>
      </c>
      <c r="H159" s="4">
        <f t="shared" ca="1" si="1"/>
        <v>241.79116561353291</v>
      </c>
      <c r="I159" s="1">
        <f t="shared" ref="I159:K159" ca="1" si="2">I5+I16+I27+I38+I49+I60+I71+I82+I93+I104+I115+I126+I137+I148</f>
        <v>250.13777250716453</v>
      </c>
      <c r="J159" s="1">
        <f t="shared" ca="1" si="2"/>
        <v>260.17317574134591</v>
      </c>
      <c r="K159" s="1">
        <f t="shared" ca="1" si="2"/>
        <v>270.37460255992693</v>
      </c>
    </row>
    <row r="160" spans="1:11" x14ac:dyDescent="0.2">
      <c r="A160" t="str">
        <f t="shared" ca="1" si="0"/>
        <v>Cyclist</v>
      </c>
      <c r="B160" s="4">
        <f t="shared" ca="1" si="1"/>
        <v>24.928098629399997</v>
      </c>
      <c r="C160" s="4">
        <f t="shared" ca="1" si="1"/>
        <v>26.757448430064269</v>
      </c>
      <c r="D160" s="4">
        <f t="shared" ca="1" si="1"/>
        <v>28.502448637552362</v>
      </c>
      <c r="E160" s="4">
        <f t="shared" ca="1" si="1"/>
        <v>28.978660208185691</v>
      </c>
      <c r="F160" s="4">
        <f t="shared" ca="1" si="1"/>
        <v>29.739459476413465</v>
      </c>
      <c r="G160" s="4">
        <f t="shared" ca="1" si="1"/>
        <v>30.863416790683203</v>
      </c>
      <c r="H160" s="4">
        <f t="shared" ca="1" si="1"/>
        <v>31.933708579203508</v>
      </c>
      <c r="I160" s="1">
        <f t="shared" ref="I160:K160" ca="1" si="3">I6+I17+I28+I39+I50+I61+I72+I83+I94+I105+I116+I127+I138+I149</f>
        <v>32.809205424023979</v>
      </c>
      <c r="J160" s="1">
        <f t="shared" ca="1" si="3"/>
        <v>33.796536789657765</v>
      </c>
      <c r="K160" s="1">
        <f t="shared" ca="1" si="3"/>
        <v>34.776583025764779</v>
      </c>
    </row>
    <row r="161" spans="1:20" x14ac:dyDescent="0.2">
      <c r="A161" t="str">
        <f t="shared" ca="1" si="0"/>
        <v>Light Vehicle Driver</v>
      </c>
      <c r="B161" s="4">
        <f t="shared" ca="1" si="1"/>
        <v>820.39837236829999</v>
      </c>
      <c r="C161" s="4">
        <f t="shared" ca="1" si="1"/>
        <v>937.63619915121694</v>
      </c>
      <c r="D161" s="4">
        <f t="shared" ca="1" si="1"/>
        <v>1004.9282040065176</v>
      </c>
      <c r="E161" s="4">
        <f t="shared" ca="1" si="1"/>
        <v>1071.0750606526462</v>
      </c>
      <c r="F161" s="4">
        <f t="shared" ca="1" si="1"/>
        <v>1128.982634966442</v>
      </c>
      <c r="G161" s="4">
        <f t="shared" ca="1" si="1"/>
        <v>1176.5260453249577</v>
      </c>
      <c r="H161" s="4">
        <f t="shared" ca="1" si="1"/>
        <v>1215.1033188384085</v>
      </c>
      <c r="I161" s="1">
        <f t="shared" ref="I161:K161" ca="1" si="4">I7+I18+I29+I40+I51+I62+I73+I84+I95+I106+I117+I128+I139+I150</f>
        <v>1259.3942706417199</v>
      </c>
      <c r="J161" s="1">
        <f t="shared" ca="1" si="4"/>
        <v>1313.1314931320624</v>
      </c>
      <c r="K161" s="1">
        <f t="shared" ca="1" si="4"/>
        <v>1367.9704828703329</v>
      </c>
    </row>
    <row r="162" spans="1:20" x14ac:dyDescent="0.2">
      <c r="A162" t="str">
        <f t="shared" ca="1" si="0"/>
        <v>Light Vehicle Passenger</v>
      </c>
      <c r="B162" s="4">
        <f t="shared" ca="1" si="1"/>
        <v>430.09037615619997</v>
      </c>
      <c r="C162" s="4">
        <f t="shared" ca="1" si="1"/>
        <v>467.28535909679499</v>
      </c>
      <c r="D162" s="4">
        <f t="shared" ca="1" si="1"/>
        <v>492.79108264531334</v>
      </c>
      <c r="E162" s="4">
        <f t="shared" ca="1" si="1"/>
        <v>515.73396415925981</v>
      </c>
      <c r="F162" s="4">
        <f t="shared" ca="1" si="1"/>
        <v>535.18272263455071</v>
      </c>
      <c r="G162" s="4">
        <f t="shared" ca="1" si="1"/>
        <v>552.08368550722025</v>
      </c>
      <c r="H162" s="4">
        <f t="shared" ca="1" si="1"/>
        <v>565.65274287698423</v>
      </c>
      <c r="I162" s="1">
        <f t="shared" ref="I162:K162" ca="1" si="5">I8+I19+I30+I41+I52+I63+I74+I85+I96+I107+I118+I129+I140+I151</f>
        <v>585.8482689283652</v>
      </c>
      <c r="J162" s="1">
        <f t="shared" ca="1" si="5"/>
        <v>610.32971078431115</v>
      </c>
      <c r="K162" s="1">
        <f t="shared" ca="1" si="5"/>
        <v>635.29284576577845</v>
      </c>
    </row>
    <row r="163" spans="1:20" x14ac:dyDescent="0.2">
      <c r="A163" t="str">
        <f t="shared" ca="1" si="0"/>
        <v>Taxi/Vehicle Share</v>
      </c>
      <c r="B163" s="4">
        <f t="shared" ca="1" si="1"/>
        <v>4.6704390591000005</v>
      </c>
      <c r="C163" s="4">
        <f t="shared" ca="1" si="1"/>
        <v>5.5931606313235784</v>
      </c>
      <c r="D163" s="4">
        <f t="shared" ca="1" si="1"/>
        <v>6.3929440390243606</v>
      </c>
      <c r="E163" s="4">
        <f t="shared" ca="1" si="1"/>
        <v>7.0811449181839983</v>
      </c>
      <c r="F163" s="4">
        <f t="shared" ca="1" si="1"/>
        <v>7.6800239894648898</v>
      </c>
      <c r="G163" s="4">
        <f t="shared" ca="1" si="1"/>
        <v>8.1385178817233985</v>
      </c>
      <c r="H163" s="4">
        <f t="shared" ca="1" si="1"/>
        <v>8.5234277284239344</v>
      </c>
      <c r="I163" s="1">
        <f t="shared" ref="I163:K163" ca="1" si="6">I9+I20+I31+I42+I53+I64+I75+I86+I97+I108+I119+I130+I141+I152</f>
        <v>8.8207067051439836</v>
      </c>
      <c r="J163" s="1">
        <f t="shared" ca="1" si="6"/>
        <v>9.1759080428145445</v>
      </c>
      <c r="K163" s="1">
        <f t="shared" ca="1" si="6"/>
        <v>9.5366284486569768</v>
      </c>
    </row>
    <row r="164" spans="1:20" x14ac:dyDescent="0.2">
      <c r="A164" t="str">
        <f t="shared" ca="1" si="0"/>
        <v>Motorcyclist</v>
      </c>
      <c r="B164" s="4">
        <f t="shared" ca="1" si="1"/>
        <v>6.0136150244</v>
      </c>
      <c r="C164" s="4">
        <f t="shared" ca="1" si="1"/>
        <v>6.6435854555162237</v>
      </c>
      <c r="D164" s="4">
        <f t="shared" ca="1" si="1"/>
        <v>7.0259137824741345</v>
      </c>
      <c r="E164" s="4">
        <f t="shared" ca="1" si="1"/>
        <v>7.2968160330905114</v>
      </c>
      <c r="F164" s="4">
        <f t="shared" ca="1" si="1"/>
        <v>7.464138599611795</v>
      </c>
      <c r="G164" s="4">
        <f t="shared" ca="1" si="1"/>
        <v>7.4857689321661081</v>
      </c>
      <c r="H164" s="4">
        <f t="shared" ca="1" si="1"/>
        <v>7.4308493707090406</v>
      </c>
      <c r="I164" s="1">
        <f t="shared" ref="I164:K164" ca="1" si="7">I10+I21+I32+I43+I54+I65+I76+I87+I98+I109+I120+I131+I142+I153</f>
        <v>7.6728335691551433</v>
      </c>
      <c r="J164" s="1">
        <f t="shared" ca="1" si="7"/>
        <v>7.9656457461735783</v>
      </c>
      <c r="K164" s="1">
        <f t="shared" ca="1" si="7"/>
        <v>8.2632132766109994</v>
      </c>
    </row>
    <row r="165" spans="1:20" x14ac:dyDescent="0.2">
      <c r="A165" t="str">
        <f t="shared" ca="1" si="0"/>
        <v>Local Train</v>
      </c>
      <c r="B165" s="4">
        <f t="shared" ref="B165:H165" ca="1" si="8">B22+B99</f>
        <v>9.8112189659999984</v>
      </c>
      <c r="C165" s="4">
        <f t="shared" ca="1" si="8"/>
        <v>10.6228524269</v>
      </c>
      <c r="D165" s="4">
        <f t="shared" ca="1" si="8"/>
        <v>11.0350770046</v>
      </c>
      <c r="E165" s="4">
        <f t="shared" ca="1" si="8"/>
        <v>11.243045536</v>
      </c>
      <c r="F165" s="4">
        <f t="shared" ca="1" si="8"/>
        <v>11.274593544</v>
      </c>
      <c r="G165" s="4">
        <f t="shared" ca="1" si="8"/>
        <v>11.2638578237</v>
      </c>
      <c r="H165" s="4">
        <f t="shared" ca="1" si="8"/>
        <v>11.186951516099999</v>
      </c>
      <c r="I165" s="1">
        <f t="shared" ref="I165:K165" ca="1" si="9">I22+I99</f>
        <v>11.535827978480427</v>
      </c>
      <c r="J165" s="1">
        <f t="shared" ca="1" si="9"/>
        <v>11.952396982815852</v>
      </c>
      <c r="K165" s="1">
        <f t="shared" ca="1" si="9"/>
        <v>12.37325516429728</v>
      </c>
    </row>
    <row r="166" spans="1:20" x14ac:dyDescent="0.2">
      <c r="A166" t="s">
        <v>16</v>
      </c>
      <c r="B166" s="4">
        <f t="shared" ref="B166:H166" ca="1" si="10">B12+B34+B45+B56+B67+B78+B89+B111+B122+B144+B155</f>
        <v>14.151701071899998</v>
      </c>
      <c r="C166" s="4">
        <f t="shared" ca="1" si="10"/>
        <v>13.557466454214341</v>
      </c>
      <c r="D166" s="4">
        <f t="shared" ca="1" si="10"/>
        <v>13.920347610095725</v>
      </c>
      <c r="E166" s="4">
        <f t="shared" ca="1" si="10"/>
        <v>14.013653853981042</v>
      </c>
      <c r="F166" s="4">
        <f t="shared" ca="1" si="10"/>
        <v>14.041627457328476</v>
      </c>
      <c r="G166" s="4">
        <f t="shared" ca="1" si="10"/>
        <v>14.169365603448</v>
      </c>
      <c r="H166" s="4">
        <f t="shared" ca="1" si="10"/>
        <v>14.285356270140797</v>
      </c>
      <c r="I166" s="1">
        <f t="shared" ref="I166:K166" ca="1" si="11">I12+I34+I45+I56+I67+I78+I89+I111+I122+I144+I155</f>
        <v>14.639204335793128</v>
      </c>
      <c r="J166" s="1">
        <f t="shared" ca="1" si="11"/>
        <v>15.069841766419245</v>
      </c>
      <c r="K166" s="1">
        <f t="shared" ca="1" si="11"/>
        <v>15.504190911081343</v>
      </c>
    </row>
    <row r="167" spans="1:20" x14ac:dyDescent="0.2">
      <c r="A167" t="str">
        <f ca="1">A13</f>
        <v>Local Ferry</v>
      </c>
      <c r="B167" s="4">
        <f t="shared" ref="B167:H168" ca="1" si="12">B13+B24+B35+B46+B57+B68+B79+B90+B101+B112+B123+B134+B145+B156</f>
        <v>1.3964695746999998</v>
      </c>
      <c r="C167" s="4">
        <f t="shared" ca="1" si="12"/>
        <v>1.8580441967878332</v>
      </c>
      <c r="D167" s="4">
        <f t="shared" ca="1" si="12"/>
        <v>2.0584982315373876</v>
      </c>
      <c r="E167" s="4">
        <f t="shared" ca="1" si="12"/>
        <v>2.2829916075341714</v>
      </c>
      <c r="F167" s="4">
        <f t="shared" ca="1" si="12"/>
        <v>2.4649164183639352</v>
      </c>
      <c r="G167" s="4">
        <f t="shared" ca="1" si="12"/>
        <v>2.6793704766164437</v>
      </c>
      <c r="H167" s="4">
        <f t="shared" ca="1" si="12"/>
        <v>2.8562795452509948</v>
      </c>
      <c r="I167" s="1">
        <f t="shared" ref="I167:K167" ca="1" si="13">I13+I24+I35+I46+I57+I68+I79+I90+I101+I112+I123+I134+I145+I156</f>
        <v>3.0025774226711377</v>
      </c>
      <c r="J167" s="1">
        <f t="shared" ca="1" si="13"/>
        <v>3.1878134706834675</v>
      </c>
      <c r="K167" s="1">
        <f t="shared" ca="1" si="13"/>
        <v>3.3801295982273891</v>
      </c>
    </row>
    <row r="168" spans="1:20" x14ac:dyDescent="0.2">
      <c r="A168" t="str">
        <f ca="1">A14</f>
        <v>Other Household Travel</v>
      </c>
      <c r="B168" s="4">
        <f t="shared" ca="1" si="12"/>
        <v>5.6740244923000009</v>
      </c>
      <c r="C168" s="4">
        <f t="shared" ca="1" si="12"/>
        <v>6.680929674795272</v>
      </c>
      <c r="D168" s="4">
        <f t="shared" ca="1" si="12"/>
        <v>7.1995358451848457</v>
      </c>
      <c r="E168" s="4">
        <f t="shared" ca="1" si="12"/>
        <v>7.6233055115882902</v>
      </c>
      <c r="F168" s="4">
        <f t="shared" ca="1" si="12"/>
        <v>7.9292328797932399</v>
      </c>
      <c r="G168" s="4">
        <f t="shared" ca="1" si="12"/>
        <v>8.2233068888315461</v>
      </c>
      <c r="H168" s="4">
        <f t="shared" ca="1" si="12"/>
        <v>8.40714641177704</v>
      </c>
      <c r="I168" s="1">
        <f t="shared" ref="I168:K168" ca="1" si="14">I14+I25+I36+I47+I58+I69+I80+I91+I102+I113+I124+I135+I146+I157</f>
        <v>8.7405369866461413</v>
      </c>
      <c r="J168" s="1">
        <f t="shared" ca="1" si="14"/>
        <v>9.1470079067534868</v>
      </c>
      <c r="K168" s="1">
        <f t="shared" ca="1" si="14"/>
        <v>9.5632177167593166</v>
      </c>
    </row>
    <row r="169" spans="1:20" x14ac:dyDescent="0.2">
      <c r="A169" s="59" t="s">
        <v>114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115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15">A16</f>
        <v>Pedestrian</v>
      </c>
      <c r="B170" s="60">
        <f ca="1">B181*1000000/'Original Population'!B$158</f>
        <v>46.157777170771794</v>
      </c>
      <c r="C170" s="60">
        <f ca="1">(C181*1000000/'Original Population'!C$158)</f>
        <v>44.76621045891401</v>
      </c>
      <c r="D170" s="60">
        <f ca="1">(D181*1000000/'Original Population'!D$158)</f>
        <v>43.085846467286949</v>
      </c>
      <c r="E170" s="60">
        <f ca="1">(E181*1000000/'Original Population'!E$158)</f>
        <v>41.239073440393369</v>
      </c>
      <c r="F170" s="60">
        <f ca="1">(F181*1000000/'Original Population'!F$158)</f>
        <v>39.400498216326966</v>
      </c>
      <c r="G170" s="60">
        <f ca="1">(G181*1000000/'Original Population'!G$158)</f>
        <v>37.806532408764248</v>
      </c>
      <c r="H170" s="60">
        <f ca="1">(H181*1000000/'Original Population'!H$158)</f>
        <v>36.218427220947191</v>
      </c>
      <c r="I170" s="60">
        <f ca="1">H170</f>
        <v>36.218427220947191</v>
      </c>
      <c r="J170" s="60">
        <f t="shared" ref="J170:K170" ca="1" si="16">I170</f>
        <v>36.218427220947191</v>
      </c>
      <c r="K170" s="60">
        <f t="shared" ca="1" si="16"/>
        <v>36.218427220947191</v>
      </c>
      <c r="L170" s="60"/>
      <c r="M170" s="60">
        <f ca="1">B159*'Total Duration Tables Sup #2'!B159*1000000/'Updated Population'!B$158</f>
        <v>46.157777170771794</v>
      </c>
      <c r="N170" s="60">
        <f ca="1">C159*'Total Duration Tables Sup #2'!C159*1000000/'Updated Population'!C$158</f>
        <v>44.76621045891401</v>
      </c>
      <c r="O170" s="60">
        <f ca="1">D159*'Total Duration Tables Sup #2'!D159*1000000/'Updated Population'!D$158</f>
        <v>43.085846467286949</v>
      </c>
      <c r="P170" s="60">
        <f ca="1">E159*'Total Duration Tables Sup #2'!E159*1000000/'Updated Population'!E$158</f>
        <v>41.239073440393369</v>
      </c>
      <c r="Q170" s="60">
        <f ca="1">F159*'Total Duration Tables Sup #2'!F159*1000000/'Updated Population'!F$158</f>
        <v>39.400498216326973</v>
      </c>
      <c r="R170" s="60">
        <f ca="1">G159*'Total Duration Tables Sup #2'!G159*1000000/'Updated Population'!G$158</f>
        <v>37.806532408764248</v>
      </c>
      <c r="S170" s="60">
        <f ca="1">H159*'Total Duration Tables Sup #2'!H159*1000000/'Updated Population'!H$158</f>
        <v>36.218427220947191</v>
      </c>
      <c r="T170" s="59"/>
    </row>
    <row r="171" spans="1:20" x14ac:dyDescent="0.2">
      <c r="A171" s="59" t="str">
        <f t="shared" ca="1" si="15"/>
        <v>Cyclist</v>
      </c>
      <c r="B171" s="60">
        <f ca="1">B182*1000000/'Original Population'!B$158</f>
        <v>5.6124141366624629</v>
      </c>
      <c r="C171" s="60">
        <f ca="1">(C182*1000000/'Original Population'!C$158)</f>
        <v>5.4624576080222997</v>
      </c>
      <c r="D171" s="60">
        <f ca="1">(D182*1000000/'Original Population'!D$158)</f>
        <v>5.4463019608792269</v>
      </c>
      <c r="E171" s="60">
        <f ca="1">(E182*1000000/'Original Population'!E$158)</f>
        <v>5.2552830904253316</v>
      </c>
      <c r="F171" s="60">
        <f ca="1">(F182*1000000/'Original Population'!F$158)</f>
        <v>5.1493299398028025</v>
      </c>
      <c r="G171" s="60">
        <f ca="1">(G182*1000000/'Original Population'!G$158)</f>
        <v>5.1331748936723587</v>
      </c>
      <c r="H171" s="60">
        <f ca="1">(H182*1000000/'Original Population'!H$158)</f>
        <v>5.1238570720479997</v>
      </c>
      <c r="I171" s="60">
        <f t="shared" ref="I171:K179" ca="1" si="17">H171</f>
        <v>5.1238570720479997</v>
      </c>
      <c r="J171" s="60">
        <f t="shared" ca="1" si="17"/>
        <v>5.1238570720479997</v>
      </c>
      <c r="K171" s="60">
        <f t="shared" ca="1" si="17"/>
        <v>5.1238570720479997</v>
      </c>
      <c r="L171" s="60"/>
      <c r="M171" s="60">
        <f ca="1">B160*'Total Duration Tables Sup #2'!B160*1000000/'Updated Population'!B$158</f>
        <v>5.6124141366624629</v>
      </c>
      <c r="N171" s="60">
        <f ca="1">C160*'Total Duration Tables Sup #2'!C160*1000000/'Updated Population'!C$158</f>
        <v>5.4624576080223006</v>
      </c>
      <c r="O171" s="60">
        <f ca="1">D160*'Total Duration Tables Sup #2'!D160*1000000/'Updated Population'!D$158</f>
        <v>5.4463019608792269</v>
      </c>
      <c r="P171" s="60">
        <f ca="1">E160*'Total Duration Tables Sup #2'!E160*1000000/'Updated Population'!E$158</f>
        <v>5.2552830904253316</v>
      </c>
      <c r="Q171" s="60">
        <f ca="1">F160*'Total Duration Tables Sup #2'!F160*1000000/'Updated Population'!F$158</f>
        <v>5.1493299398028016</v>
      </c>
      <c r="R171" s="60">
        <f ca="1">G160*'Total Duration Tables Sup #2'!G160*1000000/'Updated Population'!G$158</f>
        <v>5.1331748936723587</v>
      </c>
      <c r="S171" s="60">
        <f ca="1">H160*'Total Duration Tables Sup #2'!H160*1000000/'Updated Population'!H$158</f>
        <v>5.1238570720479988</v>
      </c>
      <c r="T171" s="59"/>
    </row>
    <row r="172" spans="1:20" x14ac:dyDescent="0.2">
      <c r="A172" s="59" t="str">
        <f t="shared" ca="1" si="15"/>
        <v>Light Vehicle Driver</v>
      </c>
      <c r="B172" s="60">
        <f ca="1">B183*1000000/'Original Population'!B$158</f>
        <v>184.70784680482257</v>
      </c>
      <c r="C172" s="60">
        <f ca="1">C183*1000000/'Original Population'!C$158</f>
        <v>188.07157359540625</v>
      </c>
      <c r="D172" s="60">
        <f ca="1">D183*1000000/'Original Population'!D$158</f>
        <v>185.74991994683387</v>
      </c>
      <c r="E172" s="60">
        <f ca="1">E183*1000000/'Original Population'!E$158</f>
        <v>185.13325151957429</v>
      </c>
      <c r="F172" s="60">
        <f ca="1">F183*1000000/'Original Population'!F$158</f>
        <v>183.74448998511181</v>
      </c>
      <c r="G172" s="60">
        <f ca="1">G183*1000000/'Original Population'!G$158</f>
        <v>181.51559523286338</v>
      </c>
      <c r="H172" s="60">
        <f ca="1">H183*1000000/'Original Population'!H$158</f>
        <v>178.5570096834314</v>
      </c>
      <c r="I172" s="60">
        <f t="shared" ca="1" si="17"/>
        <v>178.5570096834314</v>
      </c>
      <c r="J172" s="60">
        <f t="shared" ca="1" si="17"/>
        <v>178.5570096834314</v>
      </c>
      <c r="K172" s="60">
        <f t="shared" ca="1" si="17"/>
        <v>178.5570096834314</v>
      </c>
      <c r="L172" s="60"/>
      <c r="M172" s="60">
        <f ca="1">B161*'Total Duration Tables Sup #2'!B161*1000000/'Updated Population'!B$158</f>
        <v>184.70784680482257</v>
      </c>
      <c r="N172" s="60">
        <f ca="1">C161*'Total Duration Tables Sup #2'!C161*1000000/'Updated Population'!C$158</f>
        <v>188.07157359540622</v>
      </c>
      <c r="O172" s="60">
        <f ca="1">D161*'Total Duration Tables Sup #2'!D161*1000000/'Updated Population'!D$158</f>
        <v>185.74991994683387</v>
      </c>
      <c r="P172" s="60">
        <f ca="1">E161*'Total Duration Tables Sup #2'!E161*1000000/'Updated Population'!E$158</f>
        <v>185.13325151957432</v>
      </c>
      <c r="Q172" s="60">
        <f ca="1">F161*'Total Duration Tables Sup #2'!F161*1000000/'Updated Population'!F$158</f>
        <v>183.74448998511176</v>
      </c>
      <c r="R172" s="60">
        <f ca="1">G161*'Total Duration Tables Sup #2'!G161*1000000/'Updated Population'!G$158</f>
        <v>181.51559523286335</v>
      </c>
      <c r="S172" s="60">
        <f ca="1">H161*'Total Duration Tables Sup #2'!H161*1000000/'Updated Population'!H$158</f>
        <v>178.5570096834314</v>
      </c>
      <c r="T172" s="59"/>
    </row>
    <row r="173" spans="1:20" x14ac:dyDescent="0.2">
      <c r="A173" s="59" t="str">
        <f t="shared" ca="1" si="15"/>
        <v>Light Vehicle Passenger</v>
      </c>
      <c r="B173" s="60">
        <f ca="1">B184*1000000/'Original Population'!B$158</f>
        <v>96.832307311824565</v>
      </c>
      <c r="C173" s="60">
        <f ca="1">C184*1000000/'Original Population'!C$158</f>
        <v>93.899379615063808</v>
      </c>
      <c r="D173" s="60">
        <f ca="1">D184*1000000/'Original Population'!D$158</f>
        <v>91.375343197012413</v>
      </c>
      <c r="E173" s="60">
        <f ca="1">E184*1000000/'Original Population'!E$158</f>
        <v>89.523634512654667</v>
      </c>
      <c r="F173" s="60">
        <f ca="1">F184*1000000/'Original Population'!F$158</f>
        <v>87.564222269276883</v>
      </c>
      <c r="G173" s="60">
        <f ca="1">G184*1000000/'Original Population'!G$158</f>
        <v>85.711657576280771</v>
      </c>
      <c r="H173" s="60">
        <f ca="1">H184*1000000/'Original Population'!H$158</f>
        <v>83.721669892132923</v>
      </c>
      <c r="I173" s="60">
        <f t="shared" ca="1" si="17"/>
        <v>83.721669892132923</v>
      </c>
      <c r="J173" s="60">
        <f t="shared" ca="1" si="17"/>
        <v>83.721669892132923</v>
      </c>
      <c r="K173" s="60">
        <f t="shared" ca="1" si="17"/>
        <v>83.721669892132923</v>
      </c>
      <c r="L173" s="60"/>
      <c r="M173" s="60">
        <f ca="1">B162*'Total Duration Tables Sup #2'!B162*1000000/'Updated Population'!B$158</f>
        <v>96.832307311824565</v>
      </c>
      <c r="N173" s="60">
        <f ca="1">C162*'Total Duration Tables Sup #2'!C162*1000000/'Updated Population'!C$158</f>
        <v>93.899379615063822</v>
      </c>
      <c r="O173" s="60">
        <f ca="1">D162*'Total Duration Tables Sup #2'!D162*1000000/'Updated Population'!D$158</f>
        <v>91.375343197012427</v>
      </c>
      <c r="P173" s="60">
        <f ca="1">E162*'Total Duration Tables Sup #2'!E162*1000000/'Updated Population'!E$158</f>
        <v>89.523634512654681</v>
      </c>
      <c r="Q173" s="60">
        <f ca="1">F162*'Total Duration Tables Sup #2'!F162*1000000/'Updated Population'!F$158</f>
        <v>87.564222269276883</v>
      </c>
      <c r="R173" s="60">
        <f ca="1">G162*'Total Duration Tables Sup #2'!G162*1000000/'Updated Population'!G$158</f>
        <v>85.711657576280771</v>
      </c>
      <c r="S173" s="60">
        <f ca="1">H162*'Total Duration Tables Sup #2'!H162*1000000/'Updated Population'!H$158</f>
        <v>83.721669892132923</v>
      </c>
      <c r="T173" s="59"/>
    </row>
    <row r="174" spans="1:20" x14ac:dyDescent="0.2">
      <c r="A174" s="59" t="str">
        <f t="shared" ca="1" si="15"/>
        <v>Taxi/Vehicle Share</v>
      </c>
      <c r="B174" s="60">
        <f ca="1">B185*1000000/'Original Population'!B$158</f>
        <v>1.0515217622253243</v>
      </c>
      <c r="C174" s="60">
        <f ca="1">C185*1000000/'Original Population'!C$158</f>
        <v>1.1257196818324708</v>
      </c>
      <c r="D174" s="60">
        <f ca="1">D185*1000000/'Original Population'!D$158</f>
        <v>1.1894181976868756</v>
      </c>
      <c r="E174" s="60">
        <f ca="1">E185*1000000/'Original Population'!E$158</f>
        <v>1.2358206842540709</v>
      </c>
      <c r="F174" s="60">
        <f ca="1">F185*1000000/'Original Population'!F$158</f>
        <v>1.2655681708390742</v>
      </c>
      <c r="G174" s="60">
        <f ca="1">G185*1000000/'Original Population'!G$158</f>
        <v>1.2745802239998634</v>
      </c>
      <c r="H174" s="60">
        <f ca="1">H185*1000000/'Original Population'!H$158</f>
        <v>1.274519542269799</v>
      </c>
      <c r="I174" s="60">
        <f t="shared" ca="1" si="17"/>
        <v>1.274519542269799</v>
      </c>
      <c r="J174" s="60">
        <f t="shared" ca="1" si="17"/>
        <v>1.274519542269799</v>
      </c>
      <c r="K174" s="60">
        <f t="shared" ca="1" si="17"/>
        <v>1.274519542269799</v>
      </c>
      <c r="L174" s="60"/>
      <c r="M174" s="60">
        <f ca="1">B163*'Total Duration Tables Sup #2'!B163*1000000/'Updated Population'!B$158</f>
        <v>1.0515217622253243</v>
      </c>
      <c r="N174" s="60">
        <f ca="1">C163*'Total Duration Tables Sup #2'!C163*1000000/'Updated Population'!C$158</f>
        <v>1.1257196818324708</v>
      </c>
      <c r="O174" s="60">
        <f ca="1">D163*'Total Duration Tables Sup #2'!D163*1000000/'Updated Population'!D$158</f>
        <v>1.1894181976868756</v>
      </c>
      <c r="P174" s="60">
        <f ca="1">E163*'Total Duration Tables Sup #2'!E163*1000000/'Updated Population'!E$158</f>
        <v>1.2358206842540709</v>
      </c>
      <c r="Q174" s="60">
        <f ca="1">F163*'Total Duration Tables Sup #2'!F163*1000000/'Updated Population'!F$158</f>
        <v>1.265568170839074</v>
      </c>
      <c r="R174" s="60">
        <f ca="1">G163*'Total Duration Tables Sup #2'!G163*1000000/'Updated Population'!G$158</f>
        <v>1.2745802239998634</v>
      </c>
      <c r="S174" s="60">
        <f ca="1">H163*'Total Duration Tables Sup #2'!H163*1000000/'Updated Population'!H$158</f>
        <v>1.274519542269799</v>
      </c>
      <c r="T174" s="59"/>
    </row>
    <row r="175" spans="1:20" x14ac:dyDescent="0.2">
      <c r="A175" s="59" t="str">
        <f t="shared" ca="1" si="15"/>
        <v>Motorcyclist</v>
      </c>
      <c r="B175" s="60">
        <f ca="1">B186*1000000/'Original Population'!B$158</f>
        <v>1.3539298956231987</v>
      </c>
      <c r="C175" s="60">
        <f ca="1">C186*1000000/'Original Population'!C$158</f>
        <v>1.3444124525640757</v>
      </c>
      <c r="D175" s="60">
        <f ca="1">D186*1000000/'Original Population'!D$158</f>
        <v>1.3189855542770992</v>
      </c>
      <c r="E175" s="60">
        <f ca="1">E186*1000000/'Original Population'!E$158</f>
        <v>1.287860479673574</v>
      </c>
      <c r="F175" s="60">
        <f ca="1">F186*1000000/'Original Population'!F$158</f>
        <v>1.2467657468281945</v>
      </c>
      <c r="G175" s="60">
        <f ca="1">G186*1000000/'Original Population'!G$158</f>
        <v>1.1910583516135655</v>
      </c>
      <c r="H175" s="60">
        <f ca="1">H186*1000000/'Original Population'!H$158</f>
        <v>1.1314434791560792</v>
      </c>
      <c r="I175" s="60">
        <f t="shared" ca="1" si="17"/>
        <v>1.1314434791560792</v>
      </c>
      <c r="J175" s="60">
        <f t="shared" ca="1" si="17"/>
        <v>1.1314434791560792</v>
      </c>
      <c r="K175" s="60">
        <f t="shared" ca="1" si="17"/>
        <v>1.1314434791560792</v>
      </c>
      <c r="L175" s="60"/>
      <c r="M175" s="60">
        <f ca="1">B164*'Total Duration Tables Sup #2'!B164*1000000/'Updated Population'!B$158</f>
        <v>1.3539298956231987</v>
      </c>
      <c r="N175" s="60">
        <f ca="1">C164*'Total Duration Tables Sup #2'!C164*1000000/'Updated Population'!C$158</f>
        <v>1.3444124525640757</v>
      </c>
      <c r="O175" s="60">
        <f ca="1">D164*'Total Duration Tables Sup #2'!D164*1000000/'Updated Population'!D$158</f>
        <v>1.3189855542770992</v>
      </c>
      <c r="P175" s="60">
        <f ca="1">E164*'Total Duration Tables Sup #2'!E164*1000000/'Updated Population'!E$158</f>
        <v>1.287860479673574</v>
      </c>
      <c r="Q175" s="60">
        <f ca="1">F164*'Total Duration Tables Sup #2'!F164*1000000/'Updated Population'!F$158</f>
        <v>1.2467657468281945</v>
      </c>
      <c r="R175" s="60">
        <f ca="1">G164*'Total Duration Tables Sup #2'!G164*1000000/'Updated Population'!G$158</f>
        <v>1.1910583516135655</v>
      </c>
      <c r="S175" s="60">
        <f ca="1">H164*'Total Duration Tables Sup #2'!H164*1000000/'Updated Population'!H$158</f>
        <v>1.1314434791560795</v>
      </c>
      <c r="T175" s="59"/>
    </row>
    <row r="176" spans="1:20" x14ac:dyDescent="0.2">
      <c r="A176" s="59" t="str">
        <f t="shared" ca="1" si="15"/>
        <v>Local Train</v>
      </c>
      <c r="B176" s="60">
        <f ca="1">B187*1000000/'Original Population'!B$158</f>
        <v>2.2089379876621034</v>
      </c>
      <c r="C176" s="60">
        <f ca="1">C187*1000000/'Original Population'!C$158</f>
        <v>2.2262196757759289</v>
      </c>
      <c r="D176" s="60">
        <f ca="1">D187*1000000/'Original Population'!D$158</f>
        <v>2.1891519212426602</v>
      </c>
      <c r="E176" s="60">
        <f ca="1">E187*1000000/'Original Population'!E$158</f>
        <v>2.1140697108044075</v>
      </c>
      <c r="F176" s="60">
        <f ca="1">F187*1000000/'Original Population'!F$158</f>
        <v>2.0175354837786088</v>
      </c>
      <c r="G176" s="60">
        <f ca="1">G187*1000000/'Original Population'!G$158</f>
        <v>1.9273566653605283</v>
      </c>
      <c r="H176" s="60">
        <f ca="1">H187*1000000/'Original Population'!H$158</f>
        <v>1.8338964141735379</v>
      </c>
      <c r="I176" s="60">
        <f t="shared" ca="1" si="17"/>
        <v>1.8338964141735379</v>
      </c>
      <c r="J176" s="60">
        <f t="shared" ca="1" si="17"/>
        <v>1.8338964141735379</v>
      </c>
      <c r="K176" s="60">
        <f t="shared" ca="1" si="17"/>
        <v>1.8338964141735379</v>
      </c>
      <c r="L176" s="60"/>
      <c r="M176" s="60">
        <f ca="1">B165*'Total Duration Tables Sup #2'!B165*1000000/'Updated Population'!B$158</f>
        <v>2.2089379876621034</v>
      </c>
      <c r="N176" s="60">
        <f ca="1">C165*'Total Duration Tables Sup #2'!C165*1000000/'Updated Population'!C$158</f>
        <v>2.2262196757759289</v>
      </c>
      <c r="O176" s="60">
        <f ca="1">D165*'Total Duration Tables Sup #2'!D165*1000000/'Updated Population'!D$158</f>
        <v>2.1891519212426602</v>
      </c>
      <c r="P176" s="60">
        <f ca="1">E165*'Total Duration Tables Sup #2'!E165*1000000/'Updated Population'!E$158</f>
        <v>2.1140697108044075</v>
      </c>
      <c r="Q176" s="60">
        <f ca="1">F165*'Total Duration Tables Sup #2'!F165*1000000/'Updated Population'!F$158</f>
        <v>2.0175354837786093</v>
      </c>
      <c r="R176" s="60">
        <f ca="1">G165*'Total Duration Tables Sup #2'!G165*1000000/'Updated Population'!G$158</f>
        <v>1.9273566653605285</v>
      </c>
      <c r="S176" s="60">
        <f ca="1">H165*'Total Duration Tables Sup #2'!H165*1000000/'Updated Population'!H$158</f>
        <v>1.8338964141735379</v>
      </c>
      <c r="T176" s="59"/>
    </row>
    <row r="177" spans="1:20" x14ac:dyDescent="0.2">
      <c r="A177" s="59" t="s">
        <v>16</v>
      </c>
      <c r="B177" s="60">
        <f ca="1">B188*1000000/'Original Population'!B$169</f>
        <v>7.4529708615441326</v>
      </c>
      <c r="C177" s="60">
        <f ca="1">C188*1000000/'Original Population'!C$169</f>
        <v>6.5197255056211088</v>
      </c>
      <c r="D177" s="60">
        <f ca="1">D188*1000000/'Original Population'!D$169</f>
        <v>6.2880663308227209</v>
      </c>
      <c r="E177" s="60">
        <f ca="1">E188*1000000/'Original Population'!E$169</f>
        <v>6.0128653853972933</v>
      </c>
      <c r="F177" s="60">
        <f ca="1">F188*1000000/'Original Population'!F$169</f>
        <v>5.7591195557620987</v>
      </c>
      <c r="G177" s="60">
        <f ca="1">G188*1000000/'Original Population'!G$169</f>
        <v>5.5891805158203338</v>
      </c>
      <c r="H177" s="60">
        <f ca="1">H188*1000000/'Original Population'!H$169</f>
        <v>5.4420886185463244</v>
      </c>
      <c r="I177" s="60">
        <f t="shared" ca="1" si="17"/>
        <v>5.4420886185463244</v>
      </c>
      <c r="J177" s="60">
        <f t="shared" ca="1" si="17"/>
        <v>5.4420886185463244</v>
      </c>
      <c r="K177" s="60">
        <f t="shared" ca="1" si="17"/>
        <v>5.4420886185463244</v>
      </c>
      <c r="L177" s="60"/>
      <c r="M177" s="60">
        <f ca="1">B166*'Total Duration Tables Sup #2'!B166*1000000/'Updated Population'!B$169</f>
        <v>7.4529708615441326</v>
      </c>
      <c r="N177" s="60">
        <f ca="1">C166*'Total Duration Tables Sup #2'!C166*1000000/'Updated Population'!C$169</f>
        <v>6.5197255056211096</v>
      </c>
      <c r="O177" s="60">
        <f ca="1">D166*'Total Duration Tables Sup #2'!D166*1000000/'Updated Population'!D$169</f>
        <v>6.2880663308227209</v>
      </c>
      <c r="P177" s="60">
        <f ca="1">E166*'Total Duration Tables Sup #2'!E166*1000000/'Updated Population'!E$169</f>
        <v>6.0128653853972924</v>
      </c>
      <c r="Q177" s="60">
        <f ca="1">F166*'Total Duration Tables Sup #2'!F166*1000000/'Updated Population'!F$169</f>
        <v>5.7591195557620996</v>
      </c>
      <c r="R177" s="60">
        <f ca="1">G166*'Total Duration Tables Sup #2'!G166*1000000/'Updated Population'!G$169</f>
        <v>5.5891805158203338</v>
      </c>
      <c r="S177" s="60">
        <f ca="1">H166*'Total Duration Tables Sup #2'!H166*1000000/'Updated Population'!H$169</f>
        <v>5.4420886185463235</v>
      </c>
      <c r="T177" s="59"/>
    </row>
    <row r="178" spans="1:20" x14ac:dyDescent="0.2">
      <c r="A178" s="59" t="str">
        <f t="shared" ca="1" si="15"/>
        <v>Local Ferry</v>
      </c>
      <c r="B178" s="60">
        <f ca="1">IF(B189=0,1,B189*1000000/'Original Population'!B$158)</f>
        <v>0.3144068747073126</v>
      </c>
      <c r="C178" s="60">
        <f ca="1">C189*1000000/'Original Population'!C$158</f>
        <v>0.35880265836075192</v>
      </c>
      <c r="D178" s="60">
        <f ca="1">D189*1000000/'Original Population'!D$158</f>
        <v>0.35541530221393436</v>
      </c>
      <c r="E178" s="60">
        <f ca="1">E189*1000000/'Original Population'!E$158</f>
        <v>0.35914987689443795</v>
      </c>
      <c r="F178" s="60">
        <f ca="1">F189*1000000/'Original Population'!F$158</f>
        <v>0.35659298675804807</v>
      </c>
      <c r="G178" s="60">
        <f ca="1">G189*1000000/'Original Population'!G$158</f>
        <v>0.35955631508161939</v>
      </c>
      <c r="H178" s="60">
        <f ca="1">H189*1000000/'Original Population'!H$158</f>
        <v>0.35775881424894679</v>
      </c>
      <c r="I178" s="60">
        <f t="shared" ca="1" si="17"/>
        <v>0.35775881424894679</v>
      </c>
      <c r="J178" s="60">
        <f t="shared" ca="1" si="17"/>
        <v>0.35775881424894679</v>
      </c>
      <c r="K178" s="60">
        <f t="shared" ca="1" si="17"/>
        <v>0.35775881424894679</v>
      </c>
      <c r="L178" s="60"/>
      <c r="M178" s="60">
        <f ca="1">B167*'Total Duration Tables Sup #2'!B167*1000000/'Updated Population'!B$158</f>
        <v>0.3144068747073126</v>
      </c>
      <c r="N178" s="60">
        <f ca="1">C167*'Total Duration Tables Sup #2'!C167*1000000/'Updated Population'!C$158</f>
        <v>0.35880265836075187</v>
      </c>
      <c r="O178" s="60">
        <f ca="1">D167*'Total Duration Tables Sup #2'!D167*1000000/'Updated Population'!D$158</f>
        <v>0.35541530221393436</v>
      </c>
      <c r="P178" s="60">
        <f ca="1">E167*'Total Duration Tables Sup #2'!E167*1000000/'Updated Population'!E$158</f>
        <v>0.35914987689443795</v>
      </c>
      <c r="Q178" s="60">
        <f ca="1">F167*'Total Duration Tables Sup #2'!F167*1000000/'Updated Population'!F$158</f>
        <v>0.35659298675804807</v>
      </c>
      <c r="R178" s="60">
        <f ca="1">G167*'Total Duration Tables Sup #2'!G167*1000000/'Updated Population'!G$158</f>
        <v>0.3595563150816195</v>
      </c>
      <c r="S178" s="60">
        <f ca="1">H167*'Total Duration Tables Sup #2'!H167*1000000/'Updated Population'!H$158</f>
        <v>0.35775881424894679</v>
      </c>
      <c r="T178" s="59"/>
    </row>
    <row r="179" spans="1:20" x14ac:dyDescent="0.2">
      <c r="A179" s="59" t="str">
        <f t="shared" ca="1" si="15"/>
        <v>Other Household Travel</v>
      </c>
      <c r="B179" s="60">
        <f ca="1">B190*1000000/'Original Population'!B$158</f>
        <v>1.2774730935473706</v>
      </c>
      <c r="C179" s="60">
        <f ca="1">C190*1000000/'Original Population'!C$158</f>
        <v>1.329080499905694</v>
      </c>
      <c r="D179" s="60">
        <f ca="1">D190*1000000/'Original Population'!D$158</f>
        <v>1.3114221703697828</v>
      </c>
      <c r="E179" s="60">
        <f ca="1">E190*1000000/'Original Population'!E$158</f>
        <v>1.2919306618592759</v>
      </c>
      <c r="F179" s="60">
        <f ca="1">F190*1000000/'Original Population'!F$158</f>
        <v>1.2593250376321961</v>
      </c>
      <c r="G179" s="60">
        <f ca="1">G190*1000000/'Original Population'!G$158</f>
        <v>1.2326447176859108</v>
      </c>
      <c r="H179" s="60">
        <f ca="1">H190*1000000/'Original Population'!H$158</f>
        <v>1.1954527920525895</v>
      </c>
      <c r="I179" s="60">
        <f t="shared" ca="1" si="17"/>
        <v>1.1954527920525895</v>
      </c>
      <c r="J179" s="60">
        <f t="shared" ca="1" si="17"/>
        <v>1.1954527920525895</v>
      </c>
      <c r="K179" s="60">
        <f t="shared" ca="1" si="17"/>
        <v>1.1954527920525895</v>
      </c>
      <c r="L179" s="60"/>
      <c r="M179" s="60">
        <f ca="1">B168*'Total Duration Tables Sup #2'!B168*1000000/'Updated Population'!B$158</f>
        <v>1.2774730935473706</v>
      </c>
      <c r="N179" s="60">
        <f ca="1">C168*'Total Duration Tables Sup #2'!C168*1000000/'Updated Population'!C$158</f>
        <v>1.329080499905694</v>
      </c>
      <c r="O179" s="60">
        <f ca="1">D168*'Total Duration Tables Sup #2'!D168*1000000/'Updated Population'!D$158</f>
        <v>1.3114221703697828</v>
      </c>
      <c r="P179" s="60">
        <f ca="1">E168*'Total Duration Tables Sup #2'!E168*1000000/'Updated Population'!E$158</f>
        <v>1.2919306618592759</v>
      </c>
      <c r="Q179" s="60">
        <f ca="1">F168*'Total Duration Tables Sup #2'!F168*1000000/'Updated Population'!F$158</f>
        <v>1.2593250376321961</v>
      </c>
      <c r="R179" s="60">
        <f ca="1">G168*'Total Duration Tables Sup #2'!G168*1000000/'Updated Population'!G$158</f>
        <v>1.2326447176859108</v>
      </c>
      <c r="S179" s="60">
        <f ca="1">H168*'Total Duration Tables Sup #2'!H168*1000000/'Updated Population'!H$158</f>
        <v>1.1954527920525895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18">A27</f>
        <v>Pedestrian</v>
      </c>
      <c r="B181" s="4">
        <f ca="1">'Total Duration Tables Original'!B159</f>
        <v>205.0143830817</v>
      </c>
      <c r="C181" s="4">
        <f ca="1">'Total Duration Tables Original'!C159</f>
        <v>213.61092644679999</v>
      </c>
      <c r="D181" s="4">
        <f ca="1">'Total Duration Tables Original'!D159</f>
        <v>217.18713487230002</v>
      </c>
      <c r="E181" s="4">
        <f ca="1">'Total Duration Tables Original'!E159</f>
        <v>219.31764037070002</v>
      </c>
      <c r="F181" s="4">
        <f ca="1">'Total Duration Tables Original'!F159</f>
        <v>220.1818041823</v>
      </c>
      <c r="G181" s="4">
        <f ca="1">'Total Duration Tables Original'!G159</f>
        <v>220.94893670330001</v>
      </c>
      <c r="H181" s="4">
        <f ca="1">'Total Duration Tables Original'!H159</f>
        <v>220.93602789049999</v>
      </c>
      <c r="I181" s="1">
        <f ca="1">'Total Duration Tables Original'!I159</f>
        <v>228.46708107403666</v>
      </c>
      <c r="J181" s="1">
        <f ca="1">'Total Duration Tables Original'!J159</f>
        <v>237.52133525236849</v>
      </c>
      <c r="K181" s="1">
        <f ca="1">'Total Duration Tables Original'!K159</f>
        <v>246.72079727578139</v>
      </c>
    </row>
    <row r="182" spans="1:20" x14ac:dyDescent="0.2">
      <c r="A182" t="str">
        <f t="shared" ca="1" si="18"/>
        <v>Cyclist</v>
      </c>
      <c r="B182" s="4">
        <f ca="1">'Total Duration Tables Original'!B160</f>
        <v>24.928098629399997</v>
      </c>
      <c r="C182" s="4">
        <f ca="1">'Total Duration Tables Original'!C160</f>
        <v>26.065208968200004</v>
      </c>
      <c r="D182" s="4">
        <f ca="1">'Total Duration Tables Original'!D160</f>
        <v>27.4537189244</v>
      </c>
      <c r="E182" s="4">
        <f ca="1">'Total Duration Tables Original'!E160</f>
        <v>27.9486465315</v>
      </c>
      <c r="F182" s="4">
        <f ca="1">'Total Duration Tables Original'!F160</f>
        <v>28.776000502600002</v>
      </c>
      <c r="G182" s="4">
        <f ca="1">'Total Duration Tables Original'!G160</f>
        <v>29.9993007136</v>
      </c>
      <c r="H182" s="4">
        <f ca="1">'Total Duration Tables Original'!H160</f>
        <v>31.256040525200003</v>
      </c>
      <c r="I182" s="1">
        <f ca="1">'Total Duration Tables Original'!I160</f>
        <v>32.117818890820445</v>
      </c>
      <c r="J182" s="1">
        <f ca="1">'Total Duration Tables Original'!J160</f>
        <v>33.10159406398769</v>
      </c>
      <c r="K182" s="1">
        <f ca="1">'Total Duration Tables Original'!K160</f>
        <v>34.081350010739243</v>
      </c>
    </row>
    <row r="183" spans="1:20" x14ac:dyDescent="0.2">
      <c r="A183" t="str">
        <f t="shared" ca="1" si="18"/>
        <v>Light Vehicle Driver</v>
      </c>
      <c r="B183" s="4">
        <f ca="1">'Total Duration Tables Original'!B161</f>
        <v>820.39837236829999</v>
      </c>
      <c r="C183" s="4">
        <f ca="1">'Total Duration Tables Original'!C161</f>
        <v>897.42112772520011</v>
      </c>
      <c r="D183" s="4">
        <f ca="1">'Total Duration Tables Original'!D161</f>
        <v>936.32819646799999</v>
      </c>
      <c r="E183" s="4">
        <f ca="1">'Total Duration Tables Original'!E161</f>
        <v>984.57565823139998</v>
      </c>
      <c r="F183" s="4">
        <f ca="1">'Total Duration Tables Original'!F161</f>
        <v>1026.8193333838003</v>
      </c>
      <c r="G183" s="4">
        <f ca="1">'Total Duration Tables Original'!G161</f>
        <v>1060.8134416599</v>
      </c>
      <c r="H183" s="4">
        <f ca="1">'Total Duration Tables Original'!H161</f>
        <v>1089.2156147698997</v>
      </c>
      <c r="I183" s="1">
        <f ca="1">'Total Duration Tables Original'!I161</f>
        <v>1128.4173600101374</v>
      </c>
      <c r="J183" s="1">
        <f ca="1">'Total Duration Tables Original'!J161</f>
        <v>1175.9275696478426</v>
      </c>
      <c r="K183" s="1">
        <f ca="1">'Total Duration Tables Original'!K161</f>
        <v>1224.3823444126888</v>
      </c>
    </row>
    <row r="184" spans="1:20" x14ac:dyDescent="0.2">
      <c r="A184" t="str">
        <f t="shared" ca="1" si="18"/>
        <v>Light Vehicle Passenger</v>
      </c>
      <c r="B184" s="4">
        <f ca="1">'Total Duration Tables Original'!B162</f>
        <v>430.09037615619997</v>
      </c>
      <c r="C184" s="4">
        <f ca="1">'Total Duration Tables Original'!C162</f>
        <v>448.05966970919997</v>
      </c>
      <c r="D184" s="4">
        <f ca="1">'Total Duration Tables Original'!D162</f>
        <v>460.60482998750007</v>
      </c>
      <c r="E184" s="4">
        <f ca="1">'Total Duration Tables Original'!E162</f>
        <v>476.10459306520005</v>
      </c>
      <c r="F184" s="4">
        <f ca="1">'Total Duration Tables Original'!F162</f>
        <v>489.33514330739996</v>
      </c>
      <c r="G184" s="4">
        <f ca="1">'Total Duration Tables Original'!G162</f>
        <v>500.91606920730004</v>
      </c>
      <c r="H184" s="4">
        <f ca="1">'Total Duration Tables Original'!H162</f>
        <v>510.71055850900007</v>
      </c>
      <c r="I184" s="1">
        <f ca="1">'Total Duration Tables Original'!I162</f>
        <v>529.07559934738686</v>
      </c>
      <c r="J184" s="1">
        <f ca="1">'Total Duration Tables Original'!J162</f>
        <v>551.37858832123914</v>
      </c>
      <c r="K184" s="1">
        <f ca="1">'Total Duration Tables Original'!K162</f>
        <v>574.13518501443389</v>
      </c>
    </row>
    <row r="185" spans="1:20" x14ac:dyDescent="0.2">
      <c r="A185" t="str">
        <f t="shared" ca="1" si="18"/>
        <v>Taxi/Vehicle Share</v>
      </c>
      <c r="B185" s="4">
        <f ca="1">'Total Duration Tables Original'!B163</f>
        <v>4.6704390591000005</v>
      </c>
      <c r="C185" s="4">
        <f ca="1">'Total Duration Tables Original'!C163</f>
        <v>5.3715966058000006</v>
      </c>
      <c r="D185" s="4">
        <f ca="1">'Total Duration Tables Original'!D163</f>
        <v>5.9956192509000008</v>
      </c>
      <c r="E185" s="4">
        <f ca="1">'Total Duration Tables Original'!E163</f>
        <v>6.5723415630000002</v>
      </c>
      <c r="F185" s="4">
        <f ca="1">'Total Duration Tables Original'!F163</f>
        <v>7.0723746090999988</v>
      </c>
      <c r="G185" s="4">
        <f ca="1">'Total Duration Tables Original'!G163</f>
        <v>7.4489017451000006</v>
      </c>
      <c r="H185" s="4">
        <f ca="1">'Total Duration Tables Original'!H163</f>
        <v>7.7746966598000018</v>
      </c>
      <c r="I185" s="1">
        <f ca="1">'Total Duration Tables Original'!I163</f>
        <v>8.0575962991018386</v>
      </c>
      <c r="J185" s="1">
        <f ca="1">'Total Duration Tables Original'!J163</f>
        <v>8.4009214701813288</v>
      </c>
      <c r="K185" s="1">
        <f ca="1">'Total Duration Tables Original'!K163</f>
        <v>8.7513196109889471</v>
      </c>
    </row>
    <row r="186" spans="1:20" x14ac:dyDescent="0.2">
      <c r="A186" t="str">
        <f t="shared" ca="1" si="18"/>
        <v>Motorcyclist</v>
      </c>
      <c r="B186" s="4">
        <f ca="1">'Total Duration Tables Original'!B164</f>
        <v>6.0136150244</v>
      </c>
      <c r="C186" s="4">
        <f ca="1">'Total Duration Tables Original'!C164</f>
        <v>6.4151328998999997</v>
      </c>
      <c r="D186" s="4">
        <f ca="1">'Total Duration Tables Original'!D164</f>
        <v>6.648742382</v>
      </c>
      <c r="E186" s="4">
        <f ca="1">'Total Duration Tables Original'!E164</f>
        <v>6.8490996030000009</v>
      </c>
      <c r="F186" s="4">
        <f ca="1">'Total Duration Tables Original'!F164</f>
        <v>6.9673010230000001</v>
      </c>
      <c r="G186" s="4">
        <f ca="1">'Total Duration Tables Original'!G164</f>
        <v>6.9607832184999996</v>
      </c>
      <c r="H186" s="4">
        <f ca="1">'Total Duration Tables Original'!H164</f>
        <v>6.9019183671999995</v>
      </c>
      <c r="I186" s="1">
        <f ca="1">'Total Duration Tables Original'!I164</f>
        <v>7.1293825812528873</v>
      </c>
      <c r="J186" s="1">
        <f ca="1">'Total Duration Tables Original'!J164</f>
        <v>7.4056654851867432</v>
      </c>
      <c r="K186" s="1">
        <f ca="1">'Total Duration Tables Original'!K164</f>
        <v>7.6868535497549351</v>
      </c>
    </row>
    <row r="187" spans="1:20" x14ac:dyDescent="0.2">
      <c r="A187" t="str">
        <f t="shared" ca="1" si="18"/>
        <v>Local Train</v>
      </c>
      <c r="B187" s="4">
        <f ca="1">'Total Duration Tables Original'!B22+'Total Duration Tables Original'!B99</f>
        <v>9.8112189659999984</v>
      </c>
      <c r="C187" s="4">
        <f ca="1">'Total Duration Tables Original'!C22+'Total Duration Tables Original'!C99</f>
        <v>10.6228524269</v>
      </c>
      <c r="D187" s="4">
        <f ca="1">'Total Duration Tables Original'!D22+'Total Duration Tables Original'!D99</f>
        <v>11.0350770046</v>
      </c>
      <c r="E187" s="4">
        <f ca="1">'Total Duration Tables Original'!E22+'Total Duration Tables Original'!E99</f>
        <v>11.243045536</v>
      </c>
      <c r="F187" s="4">
        <f ca="1">'Total Duration Tables Original'!F22+'Total Duration Tables Original'!F99</f>
        <v>11.274593544</v>
      </c>
      <c r="G187" s="4">
        <f ca="1">'Total Duration Tables Original'!G22+'Total Duration Tables Original'!G99</f>
        <v>11.2638578237</v>
      </c>
      <c r="H187" s="4">
        <f ca="1">'Total Duration Tables Original'!H22+'Total Duration Tables Original'!H99</f>
        <v>11.186951516099999</v>
      </c>
      <c r="I187" s="1">
        <f ca="1">'Total Duration Tables Original'!I22+'Total Duration Tables Original'!I99</f>
        <v>11.535827978480427</v>
      </c>
      <c r="J187" s="1">
        <f ca="1">'Total Duration Tables Original'!J22+'Total Duration Tables Original'!J99</f>
        <v>11.952396982815852</v>
      </c>
      <c r="K187" s="1">
        <f ca="1">'Total Duration Tables Original'!K22+'Total Duration Tables Original'!K99</f>
        <v>12.37325516429728</v>
      </c>
    </row>
    <row r="188" spans="1:20" x14ac:dyDescent="0.2">
      <c r="A188" t="s">
        <v>16</v>
      </c>
      <c r="B188" s="4">
        <f ca="1">'Total Duration Tables Original'!B12+'Total Duration Tables Original'!B34+'Total Duration Tables Original'!B45+'Total Duration Tables Original'!B56+'Total Duration Tables Original'!B67+'Total Duration Tables Original'!B78+'Total Duration Tables Original'!B89+'Total Duration Tables Original'!B111+'Total Duration Tables Original'!B122+'Total Duration Tables Original'!B144+'Total Duration Tables Original'!B155</f>
        <v>14.151701071899998</v>
      </c>
      <c r="C188" s="4">
        <f ca="1">'Total Duration Tables Original'!C12+'Total Duration Tables Original'!C34+'Total Duration Tables Original'!C45+'Total Duration Tables Original'!C56+'Total Duration Tables Original'!C67+'Total Duration Tables Original'!C78+'Total Duration Tables Original'!C89+'Total Duration Tables Original'!C111+'Total Duration Tables Original'!C122+'Total Duration Tables Original'!C144+'Total Duration Tables Original'!C155</f>
        <v>13.097684398400002</v>
      </c>
      <c r="D188" s="4">
        <f ca="1">'Total Duration Tables Original'!D12+'Total Duration Tables Original'!D34+'Total Duration Tables Original'!D45+'Total Duration Tables Original'!D56+'Total Duration Tables Original'!D67+'Total Duration Tables Original'!D78+'Total Duration Tables Original'!D89+'Total Duration Tables Original'!D111+'Total Duration Tables Original'!D122+'Total Duration Tables Original'!D144+'Total Duration Tables Original'!D155</f>
        <v>13.191781798499999</v>
      </c>
      <c r="E188" s="4">
        <f ca="1">'Total Duration Tables Original'!E12+'Total Duration Tables Original'!E34+'Total Duration Tables Original'!E45+'Total Duration Tables Original'!E56+'Total Duration Tables Original'!E67+'Total Duration Tables Original'!E78+'Total Duration Tables Original'!E89+'Total Duration Tables Original'!E111+'Total Duration Tables Original'!E122+'Total Duration Tables Original'!E144+'Total Duration Tables Original'!E155</f>
        <v>13.152532249300002</v>
      </c>
      <c r="F188" s="4">
        <f ca="1">'Total Duration Tables Original'!F12+'Total Duration Tables Original'!F34+'Total Duration Tables Original'!F45+'Total Duration Tables Original'!F56+'Total Duration Tables Original'!F67+'Total Duration Tables Original'!F78+'Total Duration Tables Original'!F89+'Total Duration Tables Original'!F111+'Total Duration Tables Original'!F122+'Total Duration Tables Original'!F144+'Total Duration Tables Original'!F155</f>
        <v>13.0789576283</v>
      </c>
      <c r="G188" s="4">
        <f ca="1">'Total Duration Tables Original'!G12+'Total Duration Tables Original'!G34+'Total Duration Tables Original'!G45+'Total Duration Tables Original'!G56+'Total Duration Tables Original'!G67+'Total Duration Tables Original'!G78+'Total Duration Tables Original'!G89+'Total Duration Tables Original'!G111+'Total Duration Tables Original'!G122+'Total Duration Tables Original'!G144+'Total Duration Tables Original'!G155</f>
        <v>13.114700078200002</v>
      </c>
      <c r="H188" s="4">
        <f ca="1">'Total Duration Tables Original'!H12+'Total Duration Tables Original'!H34+'Total Duration Tables Original'!H45+'Total Duration Tables Original'!H56+'Total Duration Tables Original'!H67+'Total Duration Tables Original'!H78+'Total Duration Tables Original'!H89+'Total Duration Tables Original'!H111+'Total Duration Tables Original'!H122+'Total Duration Tables Original'!H144+'Total Duration Tables Original'!H155</f>
        <v>13.166123152899999</v>
      </c>
      <c r="I188" s="1">
        <f ca="1">'Total Duration Tables Original'!I12+'Total Duration Tables Original'!I34+'Total Duration Tables Original'!I45+'Total Duration Tables Original'!I56+'Total Duration Tables Original'!I67+'Total Duration Tables Original'!I78+'Total Duration Tables Original'!I89+'Total Duration Tables Original'!I111+'Total Duration Tables Original'!I122+'Total Duration Tables Original'!I144+'Total Duration Tables Original'!I155</f>
        <v>13.522107498667555</v>
      </c>
      <c r="J188" s="1">
        <f ca="1">'Total Duration Tables Original'!J12+'Total Duration Tables Original'!J34+'Total Duration Tables Original'!J45+'Total Duration Tables Original'!J56+'Total Duration Tables Original'!J67+'Total Duration Tables Original'!J78+'Total Duration Tables Original'!J89+'Total Duration Tables Original'!J111+'Total Duration Tables Original'!J122+'Total Duration Tables Original'!J144+'Total Duration Tables Original'!J155</f>
        <v>13.960491184579784</v>
      </c>
      <c r="K188" s="1">
        <f ca="1">'Total Duration Tables Original'!K12+'Total Duration Tables Original'!K34+'Total Duration Tables Original'!K45+'Total Duration Tables Original'!K56+'Total Duration Tables Original'!K67+'Total Duration Tables Original'!K78+'Total Duration Tables Original'!K89+'Total Duration Tables Original'!K111+'Total Duration Tables Original'!K122+'Total Duration Tables Original'!K144+'Total Duration Tables Original'!K155</f>
        <v>14.405525432579845</v>
      </c>
    </row>
    <row r="189" spans="1:20" x14ac:dyDescent="0.2">
      <c r="A189" t="str">
        <f ca="1">A35</f>
        <v>Local Ferry</v>
      </c>
      <c r="B189" s="4">
        <f ca="1">'Total Duration Tables Original'!B167</f>
        <v>1.3964695746999998</v>
      </c>
      <c r="C189" s="4">
        <f ca="1">'Total Duration Tables Original'!C167</f>
        <v>1.7120986449</v>
      </c>
      <c r="D189" s="4">
        <f ca="1">'Total Duration Tables Original'!D167</f>
        <v>1.7915774554000001</v>
      </c>
      <c r="E189" s="4">
        <f ca="1">'Total Duration Tables Original'!E167</f>
        <v>1.9100308752999999</v>
      </c>
      <c r="F189" s="4">
        <f ca="1">'Total Duration Tables Original'!F167</f>
        <v>1.9927485879000002</v>
      </c>
      <c r="G189" s="4">
        <f ca="1">'Total Duration Tables Original'!G167</f>
        <v>2.1013190166000002</v>
      </c>
      <c r="H189" s="4">
        <f ca="1">'Total Duration Tables Original'!H167</f>
        <v>2.1823645428000003</v>
      </c>
      <c r="I189" s="1">
        <f ca="1">'Total Duration Tables Original'!I167</f>
        <v>2.2916787491612713</v>
      </c>
      <c r="J189" s="1">
        <f ca="1">'Total Duration Tables Original'!J167</f>
        <v>2.4298206723474975</v>
      </c>
      <c r="K189" s="1">
        <f ca="1">'Total Duration Tables Original'!K167</f>
        <v>2.573117453382209</v>
      </c>
    </row>
    <row r="190" spans="1:20" x14ac:dyDescent="0.2">
      <c r="A190" t="str">
        <f ca="1">A36</f>
        <v>Other Household Travel</v>
      </c>
      <c r="B190" s="4">
        <f ca="1">'Total Duration Tables Original'!B168</f>
        <v>5.6740244923000009</v>
      </c>
      <c r="C190" s="4">
        <f ca="1">'Total Duration Tables Original'!C168</f>
        <v>6.3419734214000005</v>
      </c>
      <c r="D190" s="4">
        <f ca="1">'Total Duration Tables Original'!D168</f>
        <v>6.6106168764000008</v>
      </c>
      <c r="E190" s="4">
        <f ca="1">'Total Duration Tables Original'!E168</f>
        <v>6.8707456459000005</v>
      </c>
      <c r="F190" s="4">
        <f ca="1">'Total Duration Tables Original'!F168</f>
        <v>7.0374861078000013</v>
      </c>
      <c r="G190" s="4">
        <f ca="1">'Total Duration Tables Original'!G168</f>
        <v>7.2038222591000007</v>
      </c>
      <c r="H190" s="4">
        <f ca="1">'Total Duration Tables Original'!H168</f>
        <v>7.2923815768000004</v>
      </c>
      <c r="I190" s="1">
        <f ca="1">'Total Duration Tables Original'!I168</f>
        <v>7.5706668830380046</v>
      </c>
      <c r="J190" s="1">
        <f ca="1">'Total Duration Tables Original'!J168</f>
        <v>7.9094100859377754</v>
      </c>
      <c r="K190" s="1">
        <f ca="1">'Total Duration Tables Original'!K168</f>
        <v>8.2558181954625685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77:H17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K190"/>
  <sheetViews>
    <sheetView workbookViewId="0">
      <selection activeCell="B22" sqref="B2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14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OFFSET(Northland_Reference,1,7)</f>
        <v>4.6406849414</v>
      </c>
      <c r="D5" s="4">
        <f ca="1">OFFSET(Northland_Reference,2,7)</f>
        <v>4.5734702428</v>
      </c>
      <c r="E5" s="4">
        <f ca="1">OFFSET(Northland_Reference,3,7)</f>
        <v>4.2682686530999998</v>
      </c>
      <c r="F5" s="4">
        <f ca="1">OFFSET(Northland_Reference,4,7)</f>
        <v>3.9386565709000001</v>
      </c>
      <c r="G5" s="4">
        <f ca="1">OFFSET(Northland_Reference,5,7)</f>
        <v>3.5826017528</v>
      </c>
      <c r="H5" s="4">
        <f ca="1">OFFSET(Northland_Reference,6,7)</f>
        <v>3.2486232056</v>
      </c>
      <c r="I5" s="1">
        <f ca="1">H5*('Updated Population'!I$4/'Updated Population'!H$4)</f>
        <v>3.2640310860244779</v>
      </c>
      <c r="J5" s="1">
        <f ca="1">I5*('Updated Population'!J$4/'Updated Population'!I$4)</f>
        <v>3.2690727925042791</v>
      </c>
      <c r="K5" s="1">
        <f ca="1">J5*('Updated Population'!K$4/'Updated Population'!J$4)</f>
        <v>3.2670859862847883</v>
      </c>
    </row>
    <row r="6" spans="1:11" x14ac:dyDescent="0.2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OFFSET(Northland_Reference,8,7)</f>
        <v>0.14327489290000001</v>
      </c>
      <c r="D6" s="4">
        <f ca="1">OFFSET(Northland_Reference,9,7)</f>
        <v>0.14432525830000001</v>
      </c>
      <c r="E6" s="4">
        <f ca="1">OFFSET(Northland_Reference,10,7)</f>
        <v>0.13111751420000001</v>
      </c>
      <c r="F6" s="4">
        <f ca="1">OFFSET(Northland_Reference,11,7)</f>
        <v>0.11178205400000001</v>
      </c>
      <c r="G6" s="4">
        <f ca="1">OFFSET(Northland_Reference,12,7)</f>
        <v>8.1804211799999998E-2</v>
      </c>
      <c r="H6" s="4">
        <f ca="1">OFFSET(Northland_Reference,13,7)</f>
        <v>5.5584665300000002E-2</v>
      </c>
      <c r="I6" s="1">
        <f ca="1">H6*('Updated Population'!I$4/'Updated Population'!H$4)</f>
        <v>5.5848297559629466E-2</v>
      </c>
      <c r="J6" s="1">
        <f ca="1">I6*('Updated Population'!J$4/'Updated Population'!I$4)</f>
        <v>5.5934562278399408E-2</v>
      </c>
      <c r="K6" s="1">
        <f ca="1">J6*('Updated Population'!K$4/'Updated Population'!J$4)</f>
        <v>5.5900567582265984E-2</v>
      </c>
    </row>
    <row r="7" spans="1:11" x14ac:dyDescent="0.2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OFFSET(Northland_Reference,15,7)</f>
        <v>22.626610604</v>
      </c>
      <c r="D7" s="4">
        <f ca="1">OFFSET(Northland_Reference,16,7)</f>
        <v>23.449053301999999</v>
      </c>
      <c r="E7" s="4">
        <f ca="1">OFFSET(Northland_Reference,17,7)</f>
        <v>23.336826415000001</v>
      </c>
      <c r="F7" s="4">
        <f ca="1">OFFSET(Northland_Reference,18,7)</f>
        <v>23.181106792000001</v>
      </c>
      <c r="G7" s="4">
        <f ca="1">OFFSET(Northland_Reference,19,7)</f>
        <v>22.699583088000001</v>
      </c>
      <c r="H7" s="4">
        <f ca="1">OFFSET(Northland_Reference,20,7)</f>
        <v>22.145916459999999</v>
      </c>
      <c r="I7" s="1">
        <f ca="1">H7*('Updated Population'!I$4/'Updated Population'!H$4)</f>
        <v>22.250952227804021</v>
      </c>
      <c r="J7" s="1">
        <f ca="1">I7*('Updated Population'!J$4/'Updated Population'!I$4)</f>
        <v>22.285321621682957</v>
      </c>
      <c r="K7" s="1">
        <f ca="1">J7*('Updated Population'!K$4/'Updated Population'!J$4)</f>
        <v>22.271777531841082</v>
      </c>
    </row>
    <row r="8" spans="1:11" x14ac:dyDescent="0.2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OFFSET(Northland_Reference,22,7)</f>
        <v>13.951675757</v>
      </c>
      <c r="D8" s="4">
        <f ca="1">OFFSET(Northland_Reference,23,7)</f>
        <v>14.053951968</v>
      </c>
      <c r="E8" s="4">
        <f ca="1">OFFSET(Northland_Reference,24,7)</f>
        <v>13.770842062</v>
      </c>
      <c r="F8" s="4">
        <f ca="1">OFFSET(Northland_Reference,25,7)</f>
        <v>13.507451356000001</v>
      </c>
      <c r="G8" s="4">
        <f ca="1">OFFSET(Northland_Reference,26,7)</f>
        <v>13.192181435</v>
      </c>
      <c r="H8" s="4">
        <f ca="1">OFFSET(Northland_Reference,27,7)</f>
        <v>12.875185608000001</v>
      </c>
      <c r="I8" s="1">
        <f ca="1">H8*('Updated Population'!I$4/'Updated Population'!H$4)</f>
        <v>12.936251268046096</v>
      </c>
      <c r="J8" s="1">
        <f ca="1">I8*('Updated Population'!J$4/'Updated Population'!I$4)</f>
        <v>12.95623293492473</v>
      </c>
      <c r="K8" s="1">
        <f ca="1">J8*('Updated Population'!K$4/'Updated Population'!J$4)</f>
        <v>12.948358676439172</v>
      </c>
    </row>
    <row r="9" spans="1:11" x14ac:dyDescent="0.2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OFFSET(Northland_Reference,29,7)</f>
        <v>2.3381072199999998E-2</v>
      </c>
      <c r="D9" s="4">
        <f ca="1">OFFSET(Northland_Reference,30,7)</f>
        <v>2.4233445100000001E-2</v>
      </c>
      <c r="E9" s="4">
        <f ca="1">OFFSET(Northland_Reference,31,7)</f>
        <v>2.5646444300000001E-2</v>
      </c>
      <c r="F9" s="4">
        <f ca="1">OFFSET(Northland_Reference,32,7)</f>
        <v>2.5531852800000001E-2</v>
      </c>
      <c r="G9" s="4">
        <f ca="1">OFFSET(Northland_Reference,33,7)</f>
        <v>2.38078901E-2</v>
      </c>
      <c r="H9" s="4">
        <f ca="1">OFFSET(Northland_Reference,34,7)</f>
        <v>2.2074832199999998E-2</v>
      </c>
      <c r="I9" s="1">
        <f ca="1">H9*('Updated Population'!I$4/'Updated Population'!H$4)</f>
        <v>2.2179530822586238E-2</v>
      </c>
      <c r="J9" s="1">
        <f ca="1">I9*('Updated Population'!J$4/'Updated Population'!I$4)</f>
        <v>2.2213789897123234E-2</v>
      </c>
      <c r="K9" s="1">
        <f ca="1">J9*('Updated Population'!K$4/'Updated Population'!J$4)</f>
        <v>2.2200289281282783E-2</v>
      </c>
    </row>
    <row r="10" spans="1:11" x14ac:dyDescent="0.2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OFFSET(Northland_Reference,36,7)</f>
        <v>0.26366302209999998</v>
      </c>
      <c r="D10" s="4">
        <f ca="1">OFFSET(Northland_Reference,37,7)</f>
        <v>0.25701676400000001</v>
      </c>
      <c r="E10" s="4">
        <f ca="1">OFFSET(Northland_Reference,38,7)</f>
        <v>0.24043139229999999</v>
      </c>
      <c r="F10" s="4">
        <f ca="1">OFFSET(Northland_Reference,39,7)</f>
        <v>0.22814738439999999</v>
      </c>
      <c r="G10" s="4">
        <f ca="1">OFFSET(Northland_Reference,40,7)</f>
        <v>0.22051541929999999</v>
      </c>
      <c r="H10" s="4">
        <f ca="1">OFFSET(Northland_Reference,41,7)</f>
        <v>0.2100709056</v>
      </c>
      <c r="I10" s="1">
        <f ca="1">H10*('Updated Population'!I$4/'Updated Population'!H$4)</f>
        <v>0.211067249955531</v>
      </c>
      <c r="J10" s="1">
        <f ca="1">I10*('Updated Population'!J$4/'Updated Population'!I$4)</f>
        <v>0.21139326986579807</v>
      </c>
      <c r="K10" s="1">
        <f ca="1">J10*('Updated Population'!K$4/'Updated Population'!J$4)</f>
        <v>0.21126479384523014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OFFSET(Northland_Reference,43,7)</f>
        <v>1.2698739738</v>
      </c>
      <c r="D12" s="4">
        <f ca="1">OFFSET(Northland_Reference,44,7)</f>
        <v>1.1498275158</v>
      </c>
      <c r="E12" s="4">
        <f ca="1">OFFSET(Northland_Reference,45,7)</f>
        <v>1.0126729881000001</v>
      </c>
      <c r="F12" s="4">
        <f ca="1">OFFSET(Northland_Reference,46,7)</f>
        <v>0.89759378339999996</v>
      </c>
      <c r="G12" s="4">
        <f ca="1">OFFSET(Northland_Reference,47,7)</f>
        <v>0.79962345089999998</v>
      </c>
      <c r="H12" s="4">
        <f ca="1">OFFSET(Northland_Reference,48,7)</f>
        <v>0.7128539519</v>
      </c>
      <c r="I12" s="1">
        <f ca="1">H12*('Updated Population'!I$4/'Updated Population'!H$4)</f>
        <v>0.71623494370971752</v>
      </c>
      <c r="J12" s="1">
        <f ca="1">I12*('Updated Population'!J$4/'Updated Population'!I$4)</f>
        <v>0.71734125865022857</v>
      </c>
      <c r="K12" s="1">
        <f ca="1">J12*('Updated Population'!K$4/'Updated Population'!J$4)</f>
        <v>0.71690528852516699</v>
      </c>
    </row>
    <row r="13" spans="1:11" x14ac:dyDescent="0.2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OFFSET(Northland_Reference,50,7)</f>
        <v>1.35304052E-2</v>
      </c>
      <c r="D13" s="4">
        <f ca="1">OFFSET(Northland_Reference,51,7)</f>
        <v>1.24993151E-2</v>
      </c>
      <c r="E13" s="4">
        <f ca="1">OFFSET(Northland_Reference,52,7)</f>
        <v>1.15638372E-2</v>
      </c>
      <c r="F13" s="4">
        <f ca="1">OFFSET(Northland_Reference,53,7)</f>
        <v>1.0238669800000001E-2</v>
      </c>
      <c r="G13" s="4">
        <f ca="1">OFFSET(Northland_Reference,54,7)</f>
        <v>8.6433477999999994E-3</v>
      </c>
      <c r="H13" s="4">
        <f ca="1">OFFSET(Northland_Reference,55,7)</f>
        <v>7.1877215E-3</v>
      </c>
      <c r="I13" s="1">
        <f ca="1">H13*('Updated Population'!I$4/'Updated Population'!H$4)</f>
        <v>7.2218121120492963E-3</v>
      </c>
      <c r="J13" s="1">
        <f ca="1">I13*('Updated Population'!J$4/'Updated Population'!I$4)</f>
        <v>7.2329671090335841E-3</v>
      </c>
      <c r="K13" s="1">
        <f ca="1">J13*('Updated Population'!K$4/'Updated Population'!J$4)</f>
        <v>7.2285712130258379E-3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OFFSET(Northland_Reference,57,7)</f>
        <v>0</v>
      </c>
      <c r="D14" s="4">
        <f ca="1">OFFSET(Northland_Reference,58,7)</f>
        <v>0</v>
      </c>
      <c r="E14" s="4">
        <f ca="1">OFFSET(Northland_Reference,59,7)</f>
        <v>0</v>
      </c>
      <c r="F14" s="4">
        <f ca="1">OFFSET(Northland_Reference,60,7)</f>
        <v>0</v>
      </c>
      <c r="G14" s="4">
        <f ca="1">OFFSET(Northland_Reference,61,7)</f>
        <v>0</v>
      </c>
      <c r="H14" s="4">
        <f ca="1">OFFSET(Northland_Reference,62,7)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OFFSET(Auckland_Reference,0,7)</f>
        <v>73.381071999</v>
      </c>
      <c r="C16" s="4">
        <f ca="1">OFFSET(Auckland_Reference,1,7)</f>
        <v>85.066334768000004</v>
      </c>
      <c r="D16" s="4">
        <f ca="1">OFFSET(Auckland_Reference,2,7)</f>
        <v>84.651509806000007</v>
      </c>
      <c r="E16" s="4">
        <f ca="1">OFFSET(Auckland_Reference,3,7)</f>
        <v>87.950722189000004</v>
      </c>
      <c r="F16" s="4">
        <f ca="1">OFFSET(Auckland_Reference,4,7)</f>
        <v>90.451915920000005</v>
      </c>
      <c r="G16" s="4">
        <f ca="1">OFFSET(Auckland_Reference,5,7)</f>
        <v>92.994817022000007</v>
      </c>
      <c r="H16" s="4">
        <f ca="1">OFFSET(Auckland_Reference,6,7)</f>
        <v>94.762005275999996</v>
      </c>
      <c r="I16" s="1">
        <f ca="1">H16*('Updated Population'!I$15/'Updated Population'!H$15)</f>
        <v>99.813626782187967</v>
      </c>
      <c r="J16" s="1">
        <f ca="1">I16*('Updated Population'!J$15/'Updated Population'!I$15)</f>
        <v>106.22632629035925</v>
      </c>
      <c r="K16" s="1">
        <f ca="1">J16*('Updated Population'!K$15/'Updated Population'!J$15)</f>
        <v>112.89288646994223</v>
      </c>
    </row>
    <row r="17" spans="1:11" x14ac:dyDescent="0.2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OFFSET(Auckland_Reference,8,7)</f>
        <v>5.3852527687</v>
      </c>
      <c r="D17" s="4">
        <f ca="1">OFFSET(Auckland_Reference,9,7)</f>
        <v>5.5588972455999999</v>
      </c>
      <c r="E17" s="4">
        <f ca="1">OFFSET(Auckland_Reference,10,7)</f>
        <v>6.0601217518999997</v>
      </c>
      <c r="F17" s="4">
        <f ca="1">OFFSET(Auckland_Reference,11,7)</f>
        <v>6.6281924452999998</v>
      </c>
      <c r="G17" s="4">
        <f ca="1">OFFSET(Auckland_Reference,12,7)</f>
        <v>7.3930133093999997</v>
      </c>
      <c r="H17" s="4">
        <f ca="1">OFFSET(Auckland_Reference,13,7)</f>
        <v>8.1609261405000009</v>
      </c>
      <c r="I17" s="1">
        <f ca="1">H17*('Updated Population'!I$15/'Updated Population'!H$15)</f>
        <v>8.5959729705210464</v>
      </c>
      <c r="J17" s="1">
        <f ca="1">I17*('Updated Population'!J$15/'Updated Population'!I$15)</f>
        <v>9.148236157596731</v>
      </c>
      <c r="K17" s="1">
        <f ca="1">J17*('Updated Population'!K$15/'Updated Population'!J$15)</f>
        <v>9.7223618852901907</v>
      </c>
    </row>
    <row r="18" spans="1:11" x14ac:dyDescent="0.2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OFFSET(Auckland_Reference,15,7)</f>
        <v>356.64929530000001</v>
      </c>
      <c r="D18" s="4">
        <f ca="1">OFFSET(Auckland_Reference,16,7)</f>
        <v>358.80491393</v>
      </c>
      <c r="E18" s="4">
        <f ca="1">OFFSET(Auckland_Reference,17,7)</f>
        <v>384.02838402999998</v>
      </c>
      <c r="F18" s="4">
        <f ca="1">OFFSET(Auckland_Reference,18,7)</f>
        <v>407.99497768999998</v>
      </c>
      <c r="G18" s="4">
        <f ca="1">OFFSET(Auckland_Reference,19,7)</f>
        <v>431.21460239999999</v>
      </c>
      <c r="H18" s="4">
        <f ca="1">OFFSET(Auckland_Reference,20,7)</f>
        <v>451.90883186999997</v>
      </c>
      <c r="I18" s="1">
        <f ca="1">H18*('Updated Population'!I$15/'Updated Population'!H$15)</f>
        <v>475.99941930809581</v>
      </c>
      <c r="J18" s="1">
        <f ca="1">I18*('Updated Population'!J$15/'Updated Population'!I$15)</f>
        <v>506.58082728305942</v>
      </c>
      <c r="K18" s="1">
        <f ca="1">J18*('Updated Population'!K$15/'Updated Population'!J$15)</f>
        <v>538.37286687289077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OFFSET(Auckland_Reference,22,7)</f>
        <v>168.25076633</v>
      </c>
      <c r="D19" s="4">
        <f ca="1">OFFSET(Auckland_Reference,23,7)</f>
        <v>167.71438401</v>
      </c>
      <c r="E19" s="4">
        <f ca="1">OFFSET(Auckland_Reference,24,7)</f>
        <v>177.52069161</v>
      </c>
      <c r="F19" s="4">
        <f ca="1">OFFSET(Auckland_Reference,25,7)</f>
        <v>186.41211493</v>
      </c>
      <c r="G19" s="4">
        <f ca="1">OFFSET(Auckland_Reference,26,7)</f>
        <v>195.21828092999999</v>
      </c>
      <c r="H19" s="4">
        <f ca="1">OFFSET(Auckland_Reference,27,7)</f>
        <v>203.12944512000001</v>
      </c>
      <c r="I19" s="1">
        <f ca="1">H19*('Updated Population'!I$15/'Updated Population'!H$15)</f>
        <v>213.95797360585834</v>
      </c>
      <c r="J19" s="1">
        <f ca="1">I19*('Updated Population'!J$15/'Updated Population'!I$15)</f>
        <v>227.70407457767934</v>
      </c>
      <c r="K19" s="1">
        <f ca="1">J19*('Updated Population'!K$15/'Updated Population'!J$15)</f>
        <v>241.99434488373356</v>
      </c>
    </row>
    <row r="20" spans="1:11" x14ac:dyDescent="0.2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OFFSET(Auckland_Reference,29,7)</f>
        <v>2.4740584694000001</v>
      </c>
      <c r="D20" s="4">
        <f ca="1">OFFSET(Auckland_Reference,30,7)</f>
        <v>2.8060037959000002</v>
      </c>
      <c r="E20" s="4">
        <f ca="1">OFFSET(Auckland_Reference,31,7)</f>
        <v>3.2630976306999999</v>
      </c>
      <c r="F20" s="4">
        <f ca="1">OFFSET(Auckland_Reference,32,7)</f>
        <v>3.6894239995000002</v>
      </c>
      <c r="G20" s="4">
        <f ca="1">OFFSET(Auckland_Reference,33,7)</f>
        <v>4.0597558075000002</v>
      </c>
      <c r="H20" s="4">
        <f ca="1">OFFSET(Auckland_Reference,34,7)</f>
        <v>4.4053079104000004</v>
      </c>
      <c r="I20" s="1">
        <f ca="1">H20*('Updated Population'!I$15/'Updated Population'!H$15)</f>
        <v>4.6401483205067802</v>
      </c>
      <c r="J20" s="1">
        <f ca="1">I20*('Updated Population'!J$15/'Updated Population'!I$15)</f>
        <v>4.9382626943856947</v>
      </c>
      <c r="K20" s="1">
        <f ca="1">J20*('Updated Population'!K$15/'Updated Population'!J$15)</f>
        <v>5.2481785747930134</v>
      </c>
    </row>
    <row r="21" spans="1:11" x14ac:dyDescent="0.2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OFFSET(Auckland_Reference,36,7)</f>
        <v>1.9080436639</v>
      </c>
      <c r="D21" s="4">
        <f ca="1">OFFSET(Auckland_Reference,37,7)</f>
        <v>1.9848851192999999</v>
      </c>
      <c r="E21" s="4">
        <f ca="1">OFFSET(Auckland_Reference,38,7)</f>
        <v>2.2011520576999999</v>
      </c>
      <c r="F21" s="4">
        <f ca="1">OFFSET(Auckland_Reference,39,7)</f>
        <v>2.3864636246000002</v>
      </c>
      <c r="G21" s="4">
        <f ca="1">OFFSET(Auckland_Reference,40,7)</f>
        <v>2.5031758833</v>
      </c>
      <c r="H21" s="4">
        <f ca="1">OFFSET(Auckland_Reference,41,7)</f>
        <v>2.6029803616999998</v>
      </c>
      <c r="I21" s="1">
        <f ca="1">H21*('Updated Population'!I$15/'Updated Population'!H$15)</f>
        <v>2.7417413718437871</v>
      </c>
      <c r="J21" s="1">
        <f ca="1">I21*('Updated Population'!J$15/'Updated Population'!I$15)</f>
        <v>2.9178892998729196</v>
      </c>
      <c r="K21" s="1">
        <f ca="1">J21*('Updated Population'!K$15/'Updated Population'!J$15)</f>
        <v>3.1010104271327772</v>
      </c>
    </row>
    <row r="22" spans="1:11" x14ac:dyDescent="0.2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5.1771028185999999</v>
      </c>
      <c r="D22" s="4">
        <f ca="1">OFFSET(Auckland_Reference,44,7)</f>
        <v>5.2380729482000001</v>
      </c>
      <c r="E22" s="4">
        <f ca="1">OFFSET(Auckland_Reference,45,7)</f>
        <v>5.4850204829999996</v>
      </c>
      <c r="F22" s="4">
        <f ca="1">OFFSET(Auckland_Reference,46,7)</f>
        <v>5.6603076628000002</v>
      </c>
      <c r="G22" s="4">
        <f ca="1">OFFSET(Auckland_Reference,47,7)</f>
        <v>5.7949239210999997</v>
      </c>
      <c r="H22" s="4">
        <f ca="1">OFFSET(Auckland_Reference,48,7)</f>
        <v>5.8869770618999997</v>
      </c>
      <c r="I22" s="1">
        <f ca="1">H22*('Updated Population'!I$15/'Updated Population'!H$15)</f>
        <v>6.2008030499182292</v>
      </c>
      <c r="J22" s="1">
        <f ca="1">I22*('Updated Population'!J$15/'Updated Population'!I$15)</f>
        <v>6.5991843927307681</v>
      </c>
      <c r="K22" s="1">
        <f ca="1">J22*('Updated Population'!K$15/'Updated Population'!J$15)</f>
        <v>7.0133365283327418</v>
      </c>
    </row>
    <row r="23" spans="1:11" x14ac:dyDescent="0.2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26.321559500999999</v>
      </c>
      <c r="D23" s="4">
        <f ca="1">OFFSET(Auckland_Reference,51,7)</f>
        <v>25.629782864999999</v>
      </c>
      <c r="E23" s="4">
        <f ca="1">OFFSET(Auckland_Reference,52,7)</f>
        <v>25.669623771000001</v>
      </c>
      <c r="F23" s="4">
        <f ca="1">OFFSET(Auckland_Reference,53,7)</f>
        <v>25.223522669000001</v>
      </c>
      <c r="G23" s="4">
        <f ca="1">OFFSET(Auckland_Reference,54,7)</f>
        <v>24.896163360999999</v>
      </c>
      <c r="H23" s="4">
        <f ca="1">OFFSET(Auckland_Reference,55,7)</f>
        <v>24.334945995999998</v>
      </c>
      <c r="I23" s="1">
        <f ca="1">H23*('Updated Population'!I$15/'Updated Population'!H$15)</f>
        <v>25.632205759417552</v>
      </c>
      <c r="J23" s="1">
        <f ca="1">I23*('Updated Population'!J$15/'Updated Population'!I$15)</f>
        <v>27.278991259211601</v>
      </c>
      <c r="K23" s="1">
        <f ca="1">J23*('Updated Population'!K$15/'Updated Population'!J$15)</f>
        <v>28.990968348306854</v>
      </c>
    </row>
    <row r="24" spans="1:11" x14ac:dyDescent="0.2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OFFSET(Auckland_Reference,57,7)</f>
        <v>1.5033953939</v>
      </c>
      <c r="D24" s="4">
        <f ca="1">OFFSET(Auckland_Reference,58,7)</f>
        <v>1.5669984149</v>
      </c>
      <c r="E24" s="4">
        <f ca="1">OFFSET(Auckland_Reference,59,7)</f>
        <v>1.6625321825999999</v>
      </c>
      <c r="F24" s="4">
        <f ca="1">OFFSET(Auckland_Reference,60,7)</f>
        <v>1.7331643551</v>
      </c>
      <c r="G24" s="4">
        <f ca="1">OFFSET(Auckland_Reference,61,7)</f>
        <v>1.8372937092999999</v>
      </c>
      <c r="H24" s="4">
        <f ca="1">OFFSET(Auckland_Reference,62,7)</f>
        <v>1.9175411344</v>
      </c>
      <c r="I24" s="1">
        <f ca="1">H24*('Updated Population'!I$15/'Updated Population'!H$15)</f>
        <v>2.01976239919196</v>
      </c>
      <c r="J24" s="1">
        <f ca="1">I24*('Updated Population'!J$15/'Updated Population'!I$15)</f>
        <v>2.1495255363654553</v>
      </c>
      <c r="K24" s="1">
        <f ca="1">J24*('Updated Population'!K$15/'Updated Population'!J$15)</f>
        <v>2.284425629837211</v>
      </c>
    </row>
    <row r="25" spans="1:11" x14ac:dyDescent="0.2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OFFSET(Auckland_Reference,64,7)</f>
        <v>3.1116808010999999</v>
      </c>
      <c r="D25" s="4">
        <f ca="1">OFFSET(Auckland_Reference,65,7)</f>
        <v>3.1571566775000002</v>
      </c>
      <c r="E25" s="4">
        <f ca="1">OFFSET(Auckland_Reference,66,7)</f>
        <v>3.3012372354999999</v>
      </c>
      <c r="F25" s="4">
        <f ca="1">OFFSET(Auckland_Reference,67,7)</f>
        <v>3.4495114131000002</v>
      </c>
      <c r="G25" s="4">
        <f ca="1">OFFSET(Auckland_Reference,68,7)</f>
        <v>3.6693695749000002</v>
      </c>
      <c r="H25" s="4">
        <f ca="1">OFFSET(Auckland_Reference,69,7)</f>
        <v>3.8737816331000001</v>
      </c>
      <c r="I25" s="1">
        <f ca="1">H25*('Updated Population'!I$15/'Updated Population'!H$15)</f>
        <v>4.0802871682145057</v>
      </c>
      <c r="J25" s="1">
        <f ca="1">I25*('Updated Population'!J$15/'Updated Population'!I$15)</f>
        <v>4.3424322916845215</v>
      </c>
      <c r="K25" s="1">
        <f ca="1">J25*('Updated Population'!K$15/'Updated Population'!J$15)</f>
        <v>4.6149550005952085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OFFSET(Waikato_Reference,0,7)</f>
        <v>13.69170819</v>
      </c>
      <c r="C27" s="4">
        <f ca="1">OFFSET(Waikato_Reference,1,7)</f>
        <v>15.269363514</v>
      </c>
      <c r="D27" s="4">
        <f ca="1">OFFSET(Waikato_Reference,2,7)</f>
        <v>16.189625360000001</v>
      </c>
      <c r="E27" s="4">
        <f ca="1">OFFSET(Waikato_Reference,3,7)</f>
        <v>17.120858340000002</v>
      </c>
      <c r="F27" s="4">
        <f ca="1">OFFSET(Waikato_Reference,4,7)</f>
        <v>17.844610328000002</v>
      </c>
      <c r="G27" s="4">
        <f ca="1">OFFSET(Waikato_Reference,5,7)</f>
        <v>18.498591344000001</v>
      </c>
      <c r="H27" s="4">
        <f ca="1">OFFSET(Waikato_Reference,6,7)</f>
        <v>19.008473043999999</v>
      </c>
      <c r="I27" s="1">
        <f ca="1">H27*('Updated Population'!I$26/'Updated Population'!H$26)</f>
        <v>20.021786459531786</v>
      </c>
      <c r="J27" s="1">
        <f ca="1">I27*('Updated Population'!J$26/'Updated Population'!I$26)</f>
        <v>21.30812084413369</v>
      </c>
      <c r="K27" s="1">
        <f ca="1">J27*('Updated Population'!K$26/'Updated Population'!J$26)</f>
        <v>22.645377575887348</v>
      </c>
    </row>
    <row r="28" spans="1:11" x14ac:dyDescent="0.2">
      <c r="A28" t="str">
        <f ca="1">OFFSET(Waikato_Reference,7,2)</f>
        <v>Cyclist</v>
      </c>
      <c r="B28" s="4">
        <f ca="1">OFFSET(Waikato_Reference,7,7)</f>
        <v>1.7805943500000001</v>
      </c>
      <c r="C28" s="4">
        <f ca="1">OFFSET(Waikato_Reference,8,7)</f>
        <v>2.034019486</v>
      </c>
      <c r="D28" s="4">
        <f ca="1">OFFSET(Waikato_Reference,9,7)</f>
        <v>2.2164086065999999</v>
      </c>
      <c r="E28" s="4">
        <f ca="1">OFFSET(Waikato_Reference,10,7)</f>
        <v>2.3641233980999998</v>
      </c>
      <c r="F28" s="4">
        <f ca="1">OFFSET(Waikato_Reference,11,7)</f>
        <v>2.5238708483000001</v>
      </c>
      <c r="G28" s="4">
        <f ca="1">OFFSET(Waikato_Reference,12,7)</f>
        <v>2.7419804357999999</v>
      </c>
      <c r="H28" s="4">
        <f ca="1">OFFSET(Waikato_Reference,13,7)</f>
        <v>2.9710620366999998</v>
      </c>
      <c r="I28" s="1">
        <f ca="1">H28*('Updated Population'!I$26/'Updated Population'!H$26)</f>
        <v>3.1294449332744096</v>
      </c>
      <c r="J28" s="1">
        <f ca="1">I28*('Updated Population'!J$26/'Updated Population'!I$26)</f>
        <v>3.3305015488029732</v>
      </c>
      <c r="K28" s="1">
        <f ca="1">J28*('Updated Population'!K$26/'Updated Population'!J$26)</f>
        <v>3.5395174281867674</v>
      </c>
    </row>
    <row r="29" spans="1:11" x14ac:dyDescent="0.2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OFFSET(Waikato_Reference,15,7)</f>
        <v>96.329362552000006</v>
      </c>
      <c r="D29" s="4">
        <f ca="1">OFFSET(Waikato_Reference,16,7)</f>
        <v>103.82647897</v>
      </c>
      <c r="E29" s="4">
        <f ca="1">OFFSET(Waikato_Reference,17,7)</f>
        <v>113.57895027000001</v>
      </c>
      <c r="F29" s="4">
        <f ca="1">OFFSET(Waikato_Reference,18,7)</f>
        <v>122.39502364000001</v>
      </c>
      <c r="G29" s="4">
        <f ca="1">OFFSET(Waikato_Reference,19,7)</f>
        <v>130.25871015999999</v>
      </c>
      <c r="H29" s="4">
        <f ca="1">OFFSET(Waikato_Reference,20,7)</f>
        <v>137.07093180999999</v>
      </c>
      <c r="I29" s="1">
        <f ca="1">H29*('Updated Population'!I$26/'Updated Population'!H$26)</f>
        <v>144.37797923884952</v>
      </c>
      <c r="J29" s="1">
        <f ca="1">I29*('Updated Population'!J$26/'Updated Population'!I$26)</f>
        <v>153.65379283568552</v>
      </c>
      <c r="K29" s="1">
        <f ca="1">J29*('Updated Population'!K$26/'Updated Population'!J$26)</f>
        <v>163.29680970854935</v>
      </c>
    </row>
    <row r="30" spans="1:11" x14ac:dyDescent="0.2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OFFSET(Waikato_Reference,22,7)</f>
        <v>46.909844634000002</v>
      </c>
      <c r="D30" s="4">
        <f ca="1">OFFSET(Waikato_Reference,23,7)</f>
        <v>50.663472050999999</v>
      </c>
      <c r="E30" s="4">
        <f ca="1">OFFSET(Waikato_Reference,24,7)</f>
        <v>54.768188852000002</v>
      </c>
      <c r="F30" s="4">
        <f ca="1">OFFSET(Waikato_Reference,25,7)</f>
        <v>58.464072839000004</v>
      </c>
      <c r="G30" s="4">
        <f ca="1">OFFSET(Waikato_Reference,26,7)</f>
        <v>61.721851053999998</v>
      </c>
      <c r="H30" s="4">
        <f ca="1">OFFSET(Waikato_Reference,27,7)</f>
        <v>64.450670747999993</v>
      </c>
      <c r="I30" s="1">
        <f ca="1">H30*('Updated Population'!I$26/'Updated Population'!H$26)</f>
        <v>67.886440110315249</v>
      </c>
      <c r="J30" s="1">
        <f ca="1">I30*('Updated Population'!J$26/'Updated Population'!I$26)</f>
        <v>72.247922155816923</v>
      </c>
      <c r="K30" s="1">
        <f ca="1">J30*('Updated Population'!K$26/'Updated Population'!J$26)</f>
        <v>76.782062963671365</v>
      </c>
    </row>
    <row r="31" spans="1:11" x14ac:dyDescent="0.2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OFFSET(Waikato_Reference,29,7)</f>
        <v>0.22047853789999999</v>
      </c>
      <c r="D31" s="4">
        <f ca="1">OFFSET(Waikato_Reference,30,7)</f>
        <v>0.25424422569999999</v>
      </c>
      <c r="E31" s="4">
        <f ca="1">OFFSET(Waikato_Reference,31,7)</f>
        <v>0.28614889669999999</v>
      </c>
      <c r="F31" s="4">
        <f ca="1">OFFSET(Waikato_Reference,32,7)</f>
        <v>0.31059747300000001</v>
      </c>
      <c r="G31" s="4">
        <f ca="1">OFFSET(Waikato_Reference,33,7)</f>
        <v>0.32520575839999999</v>
      </c>
      <c r="H31" s="4">
        <f ca="1">OFFSET(Waikato_Reference,34,7)</f>
        <v>0.3362769041</v>
      </c>
      <c r="I31" s="1">
        <f ca="1">H31*('Updated Population'!I$26/'Updated Population'!H$26)</f>
        <v>0.35420332551582145</v>
      </c>
      <c r="J31" s="1">
        <f ca="1">I31*('Updated Population'!J$26/'Updated Population'!I$26)</f>
        <v>0.37695973227663943</v>
      </c>
      <c r="K31" s="1">
        <f ca="1">J31*('Updated Population'!K$26/'Updated Population'!J$26)</f>
        <v>0.40061700094309594</v>
      </c>
    </row>
    <row r="32" spans="1:11" x14ac:dyDescent="0.2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OFFSET(Waikato_Reference,36,7)</f>
        <v>0.62626120689999998</v>
      </c>
      <c r="D32" s="4">
        <f ca="1">OFFSET(Waikato_Reference,37,7)</f>
        <v>0.62946729629999998</v>
      </c>
      <c r="E32" s="4">
        <f ca="1">OFFSET(Waikato_Reference,38,7)</f>
        <v>0.61176103959999995</v>
      </c>
      <c r="F32" s="4">
        <f ca="1">OFFSET(Waikato_Reference,39,7)</f>
        <v>0.5710424315</v>
      </c>
      <c r="G32" s="4">
        <f ca="1">OFFSET(Waikato_Reference,40,7)</f>
        <v>0.5094895921</v>
      </c>
      <c r="H32" s="4">
        <f ca="1">OFFSET(Waikato_Reference,41,7)</f>
        <v>0.4477126521</v>
      </c>
      <c r="I32" s="1">
        <f ca="1">H32*('Updated Population'!I$26/'Updated Population'!H$26)</f>
        <v>0.47157954743799491</v>
      </c>
      <c r="J32" s="1">
        <f ca="1">I32*('Updated Population'!J$26/'Updated Population'!I$26)</f>
        <v>0.50187699308154832</v>
      </c>
      <c r="K32" s="1">
        <f ca="1">J32*('Updated Population'!K$26/'Updated Population'!J$26)</f>
        <v>0.53337382907285324</v>
      </c>
    </row>
    <row r="33" spans="1:11" x14ac:dyDescent="0.2">
      <c r="A33" t="str">
        <f ca="1">OFFSET(Waikato_Reference,42,2)</f>
        <v>Local Train</v>
      </c>
      <c r="B33" s="4">
        <f ca="1">OFFSET(Waikato_Reference,42,7)</f>
        <v>7.0969514100000006E-2</v>
      </c>
      <c r="C33" s="4">
        <f ca="1">OFFSET(Waikato_Reference,43,7)</f>
        <v>7.8854521299999994E-2</v>
      </c>
      <c r="D33" s="4">
        <f ca="1">OFFSET(Waikato_Reference,44,7)</f>
        <v>9.3207679299999999E-2</v>
      </c>
      <c r="E33" s="4">
        <f ca="1">OFFSET(Waikato_Reference,45,7)</f>
        <v>0.1066512677</v>
      </c>
      <c r="F33" s="4">
        <f ca="1">OFFSET(Waikato_Reference,46,7)</f>
        <v>0.11550030090000001</v>
      </c>
      <c r="G33" s="4">
        <f ca="1">OFFSET(Waikato_Reference,47,7)</f>
        <v>0.1239307441</v>
      </c>
      <c r="H33" s="4">
        <f ca="1">OFFSET(Waikato_Reference,48,7)</f>
        <v>0.12990452199999999</v>
      </c>
      <c r="I33" s="1">
        <f ca="1">H33*('Updated Population'!I$26/'Updated Population'!H$26)</f>
        <v>0.13682953878468035</v>
      </c>
      <c r="J33" s="1">
        <f ca="1">I33*('Updated Population'!J$26/'Updated Population'!I$26)</f>
        <v>0.14562038973715177</v>
      </c>
      <c r="K33" s="1">
        <f ca="1">J33*('Updated Population'!K$26/'Updated Population'!J$26)</f>
        <v>0.15475924566353952</v>
      </c>
    </row>
    <row r="34" spans="1:11" x14ac:dyDescent="0.2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OFFSET(Waikato_Reference,50,7)</f>
        <v>2.3120554739000001</v>
      </c>
      <c r="D34" s="4">
        <f ca="1">OFFSET(Waikato_Reference,51,7)</f>
        <v>2.3919453655999998</v>
      </c>
      <c r="E34" s="4">
        <f ca="1">OFFSET(Waikato_Reference,52,7)</f>
        <v>2.5549861210000002</v>
      </c>
      <c r="F34" s="4">
        <f ca="1">OFFSET(Waikato_Reference,53,7)</f>
        <v>2.7033557610000001</v>
      </c>
      <c r="G34" s="4">
        <f ca="1">OFFSET(Waikato_Reference,54,7)</f>
        <v>2.8788910578000002</v>
      </c>
      <c r="H34" s="4">
        <f ca="1">OFFSET(Waikato_Reference,55,7)</f>
        <v>3.0458591541</v>
      </c>
      <c r="I34" s="1">
        <f ca="1">H34*('Updated Population'!I$26/'Updated Population'!H$26)</f>
        <v>3.2082293737134084</v>
      </c>
      <c r="J34" s="1">
        <f ca="1">I34*('Updated Population'!J$26/'Updated Population'!I$26)</f>
        <v>3.4143476322133992</v>
      </c>
      <c r="K34" s="1">
        <f ca="1">J34*('Updated Population'!K$26/'Updated Population'!J$26)</f>
        <v>3.6286255307255786</v>
      </c>
    </row>
    <row r="35" spans="1:11" x14ac:dyDescent="0.2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OFFSET(Waikato_Reference,57,7)</f>
        <v>0.11298378670000001</v>
      </c>
      <c r="D35" s="4">
        <f ca="1">OFFSET(Waikato_Reference,58,7)</f>
        <v>0.11765181750000001</v>
      </c>
      <c r="E35" s="4">
        <f ca="1">OFFSET(Waikato_Reference,59,7)</f>
        <v>0.1310279188</v>
      </c>
      <c r="F35" s="4">
        <f ca="1">OFFSET(Waikato_Reference,60,7)</f>
        <v>0.13476014</v>
      </c>
      <c r="G35" s="4">
        <f ca="1">OFFSET(Waikato_Reference,61,7)</f>
        <v>0.1296033828</v>
      </c>
      <c r="H35" s="4">
        <f ca="1">OFFSET(Waikato_Reference,62,7)</f>
        <v>0.12117115470000001</v>
      </c>
      <c r="I35" s="1">
        <f ca="1">H35*('Updated Population'!I$26/'Updated Population'!H$26)</f>
        <v>0.12763060866817366</v>
      </c>
      <c r="J35" s="1">
        <f ca="1">I35*('Updated Population'!J$26/'Updated Population'!I$26)</f>
        <v>0.1358304584063264</v>
      </c>
      <c r="K35" s="1">
        <f ca="1">J35*('Updated Population'!K$26/'Updated Population'!J$26)</f>
        <v>0.14435491704863096</v>
      </c>
    </row>
    <row r="36" spans="1:11" x14ac:dyDescent="0.2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OFFSET(Waikato_Reference,64,7)</f>
        <v>0.68774651519999996</v>
      </c>
      <c r="D36" s="4">
        <f ca="1">OFFSET(Waikato_Reference,65,7)</f>
        <v>0.73058293100000005</v>
      </c>
      <c r="E36" s="4">
        <f ca="1">OFFSET(Waikato_Reference,66,7)</f>
        <v>0.74325035819999996</v>
      </c>
      <c r="F36" s="4">
        <f ca="1">OFFSET(Waikato_Reference,67,7)</f>
        <v>0.74423115289999997</v>
      </c>
      <c r="G36" s="4">
        <f ca="1">OFFSET(Waikato_Reference,68,7)</f>
        <v>0.74053890310000003</v>
      </c>
      <c r="H36" s="4">
        <f ca="1">OFFSET(Waikato_Reference,69,7)</f>
        <v>0.71404514519999995</v>
      </c>
      <c r="I36" s="1">
        <f ca="1">H36*('Updated Population'!I$26/'Updated Population'!H$26)</f>
        <v>0.75210982947272698</v>
      </c>
      <c r="J36" s="1">
        <f ca="1">I36*('Updated Population'!J$26/'Updated Population'!I$26)</f>
        <v>0.80043042946530463</v>
      </c>
      <c r="K36" s="1">
        <f ca="1">J36*('Updated Population'!K$26/'Updated Population'!J$26)</f>
        <v>0.85066390560957172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OFFSET(BOP_Reference,0,7)</f>
        <v>9.1706746114000008</v>
      </c>
      <c r="C38" s="4">
        <f ca="1">OFFSET(BOP_Reference,1,7)</f>
        <v>9.6234601037999994</v>
      </c>
      <c r="D38" s="4">
        <f ca="1">OFFSET(BOP_Reference,2,7)</f>
        <v>10.301146993</v>
      </c>
      <c r="E38" s="4">
        <f ca="1">OFFSET(BOP_Reference,3,7)</f>
        <v>10.910594609</v>
      </c>
      <c r="F38" s="4">
        <f ca="1">OFFSET(BOP_Reference,4,7)</f>
        <v>11.403210272000001</v>
      </c>
      <c r="G38" s="4">
        <f ca="1">OFFSET(BOP_Reference,5,7)</f>
        <v>11.890909710000001</v>
      </c>
      <c r="H38" s="4">
        <f ca="1">OFFSET(BOP_Reference,6,7)</f>
        <v>12.317281894000001</v>
      </c>
      <c r="I38" s="1">
        <f ca="1">H38*('Updated Population'!I$37/'Updated Population'!H$37)</f>
        <v>12.973897865055955</v>
      </c>
      <c r="J38" s="1">
        <f ca="1">I38*('Updated Population'!J$37/'Updated Population'!I$37)</f>
        <v>13.807428427369473</v>
      </c>
      <c r="K38" s="1">
        <f ca="1">J38*('Updated Population'!K$37/'Updated Population'!J$37)</f>
        <v>14.673956111709595</v>
      </c>
    </row>
    <row r="39" spans="1:11" x14ac:dyDescent="0.2">
      <c r="A39" t="str">
        <f ca="1">OFFSET(BOP_Reference,7,2)</f>
        <v>Cyclist</v>
      </c>
      <c r="B39" s="4">
        <f ca="1">OFFSET(BOP_Reference,7,7)</f>
        <v>0.91801276549999999</v>
      </c>
      <c r="C39" s="4">
        <f ca="1">OFFSET(BOP_Reference,8,7)</f>
        <v>0.91928520739999997</v>
      </c>
      <c r="D39" s="4">
        <f ca="1">OFFSET(BOP_Reference,9,7)</f>
        <v>0.9693672431</v>
      </c>
      <c r="E39" s="4">
        <f ca="1">OFFSET(BOP_Reference,10,7)</f>
        <v>1.0415897864999999</v>
      </c>
      <c r="F39" s="4">
        <f ca="1">OFFSET(BOP_Reference,11,7)</f>
        <v>1.1066925942000001</v>
      </c>
      <c r="G39" s="4">
        <f ca="1">OFFSET(BOP_Reference,12,7)</f>
        <v>1.1789529375000001</v>
      </c>
      <c r="H39" s="4">
        <f ca="1">OFFSET(BOP_Reference,13,7)</f>
        <v>1.2542477613</v>
      </c>
      <c r="I39" s="1">
        <f ca="1">H39*('Updated Population'!I$37/'Updated Population'!H$37)</f>
        <v>1.3211098432770252</v>
      </c>
      <c r="J39" s="1">
        <f ca="1">I39*('Updated Population'!J$37/'Updated Population'!I$37)</f>
        <v>1.4059868356811791</v>
      </c>
      <c r="K39" s="1">
        <f ca="1">J39*('Updated Population'!K$37/'Updated Population'!J$37)</f>
        <v>1.4942238686192246</v>
      </c>
    </row>
    <row r="40" spans="1:11" x14ac:dyDescent="0.2">
      <c r="A40" t="str">
        <f ca="1">OFFSET(BOP_Reference,14,2)</f>
        <v>Light Vehicle Driver</v>
      </c>
      <c r="B40" s="4">
        <f ca="1">OFFSET(BOP_Reference,14,7)</f>
        <v>45.59682093</v>
      </c>
      <c r="C40" s="4">
        <f ca="1">OFFSET(BOP_Reference,15,7)</f>
        <v>50.319263319000001</v>
      </c>
      <c r="D40" s="4">
        <f ca="1">OFFSET(BOP_Reference,16,7)</f>
        <v>55.569370247000002</v>
      </c>
      <c r="E40" s="4">
        <f ca="1">OFFSET(BOP_Reference,17,7)</f>
        <v>62.473695186999997</v>
      </c>
      <c r="F40" s="4">
        <f ca="1">OFFSET(BOP_Reference,18,7)</f>
        <v>68.414198896000002</v>
      </c>
      <c r="G40" s="4">
        <f ca="1">OFFSET(BOP_Reference,19,7)</f>
        <v>73.175855677000001</v>
      </c>
      <c r="H40" s="4">
        <f ca="1">OFFSET(BOP_Reference,20,7)</f>
        <v>77.565173388000005</v>
      </c>
      <c r="I40" s="1">
        <f ca="1">H40*('Updated Population'!I$37/'Updated Population'!H$37)</f>
        <v>81.700057373166757</v>
      </c>
      <c r="J40" s="1">
        <f ca="1">I40*('Updated Population'!J$37/'Updated Population'!I$37)</f>
        <v>86.949019209587746</v>
      </c>
      <c r="K40" s="1">
        <f ca="1">J40*('Updated Population'!K$37/'Updated Population'!J$37)</f>
        <v>92.40577262805779</v>
      </c>
    </row>
    <row r="41" spans="1:11" x14ac:dyDescent="0.2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OFFSET(BOP_Reference,22,7)</f>
        <v>31.525414812000001</v>
      </c>
      <c r="D41" s="4">
        <f ca="1">OFFSET(BOP_Reference,23,7)</f>
        <v>34.934292024999998</v>
      </c>
      <c r="E41" s="4">
        <f ca="1">OFFSET(BOP_Reference,24,7)</f>
        <v>38.549634044999998</v>
      </c>
      <c r="F41" s="4">
        <f ca="1">OFFSET(BOP_Reference,25,7)</f>
        <v>41.672092231000001</v>
      </c>
      <c r="G41" s="4">
        <f ca="1">OFFSET(BOP_Reference,26,7)</f>
        <v>44.637418965999998</v>
      </c>
      <c r="H41" s="4">
        <f ca="1">OFFSET(BOP_Reference,27,7)</f>
        <v>47.497617793000003</v>
      </c>
      <c r="I41" s="1">
        <f ca="1">H41*('Updated Population'!I$37/'Updated Population'!H$37)</f>
        <v>50.029645126496966</v>
      </c>
      <c r="J41" s="1">
        <f ca="1">I41*('Updated Population'!J$37/'Updated Population'!I$37)</f>
        <v>53.243886418387618</v>
      </c>
      <c r="K41" s="1">
        <f ca="1">J41*('Updated Population'!K$37/'Updated Population'!J$37)</f>
        <v>56.585370449689144</v>
      </c>
    </row>
    <row r="42" spans="1:11" x14ac:dyDescent="0.2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OFFSET(BOP_Reference,29,7)</f>
        <v>6.7913321600000007E-2</v>
      </c>
      <c r="D42" s="4">
        <f ca="1">OFFSET(BOP_Reference,30,7)</f>
        <v>6.9449696800000002E-2</v>
      </c>
      <c r="E42" s="4">
        <f ca="1">OFFSET(BOP_Reference,31,7)</f>
        <v>7.27043577E-2</v>
      </c>
      <c r="F42" s="4">
        <f ca="1">OFFSET(BOP_Reference,32,7)</f>
        <v>7.4013146200000005E-2</v>
      </c>
      <c r="G42" s="4">
        <f ca="1">OFFSET(BOP_Reference,33,7)</f>
        <v>7.6363938699999995E-2</v>
      </c>
      <c r="H42" s="4">
        <f ca="1">OFFSET(BOP_Reference,34,7)</f>
        <v>7.8171195200000002E-2</v>
      </c>
      <c r="I42" s="1">
        <f ca="1">H42*('Updated Population'!I$37/'Updated Population'!H$37)</f>
        <v>8.2338385306273021E-2</v>
      </c>
      <c r="J42" s="1">
        <f ca="1">I42*('Updated Population'!J$37/'Updated Population'!I$37)</f>
        <v>8.7628357627480974E-2</v>
      </c>
      <c r="K42" s="1">
        <f ca="1">J42*('Updated Population'!K$37/'Updated Population'!J$37)</f>
        <v>9.3127745020064073E-2</v>
      </c>
    </row>
    <row r="43" spans="1:11" x14ac:dyDescent="0.2">
      <c r="A43" t="str">
        <f ca="1">OFFSET(BOP_Reference,35,2)</f>
        <v>Motorcyclist</v>
      </c>
      <c r="B43" s="4">
        <f ca="1">OFFSET(BOP_Reference,35,7)</f>
        <v>0.60409197079999999</v>
      </c>
      <c r="C43" s="4">
        <f ca="1">OFFSET(BOP_Reference,36,7)</f>
        <v>0.69757636909999998</v>
      </c>
      <c r="D43" s="4">
        <f ca="1">OFFSET(BOP_Reference,37,7)</f>
        <v>0.73841885100000004</v>
      </c>
      <c r="E43" s="4">
        <f ca="1">OFFSET(BOP_Reference,38,7)</f>
        <v>0.823124313</v>
      </c>
      <c r="F43" s="4">
        <f ca="1">OFFSET(BOP_Reference,39,7)</f>
        <v>0.88336067169999999</v>
      </c>
      <c r="G43" s="4">
        <f ca="1">OFFSET(BOP_Reference,40,7)</f>
        <v>0.92835045329999999</v>
      </c>
      <c r="H43" s="4">
        <f ca="1">OFFSET(BOP_Reference,41,7)</f>
        <v>0.96178948789999996</v>
      </c>
      <c r="I43" s="1">
        <f ca="1">H43*('Updated Population'!I$37/'Updated Population'!H$37)</f>
        <v>1.0130610544666867</v>
      </c>
      <c r="J43" s="1">
        <f ca="1">I43*('Updated Population'!J$37/'Updated Population'!I$37)</f>
        <v>1.0781469183427934</v>
      </c>
      <c r="K43" s="1">
        <f ca="1">J43*('Updated Population'!K$37/'Updated Population'!J$37)</f>
        <v>1.1458093478418401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OFFSET(BOP_Reference,42,7)</f>
        <v>2.9412276716000001</v>
      </c>
      <c r="C45" s="4">
        <f ca="1">OFFSET(BOP_Reference,43,7)</f>
        <v>2.9210554277999998</v>
      </c>
      <c r="D45" s="4">
        <f ca="1">OFFSET(BOP_Reference,44,7)</f>
        <v>3.1681289224000002</v>
      </c>
      <c r="E45" s="4">
        <f ca="1">OFFSET(BOP_Reference,45,7)</f>
        <v>3.3645774195999998</v>
      </c>
      <c r="F45" s="4">
        <f ca="1">OFFSET(BOP_Reference,46,7)</f>
        <v>3.5813993547999998</v>
      </c>
      <c r="G45" s="4">
        <f ca="1">OFFSET(BOP_Reference,47,7)</f>
        <v>3.7925891114999999</v>
      </c>
      <c r="H45" s="4">
        <f ca="1">OFFSET(BOP_Reference,48,7)</f>
        <v>4.0008471649999997</v>
      </c>
      <c r="I45" s="1">
        <f ca="1">H45*('Updated Population'!I$37/'Updated Population'!H$37)</f>
        <v>4.2141263745610482</v>
      </c>
      <c r="J45" s="1">
        <f ca="1">I45*('Updated Population'!J$37/'Updated Population'!I$37)</f>
        <v>4.4848702298914489</v>
      </c>
      <c r="K45" s="1">
        <f ca="1">J45*('Updated Population'!K$37/'Updated Population'!J$37)</f>
        <v>4.7663320701839051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OFFSET(BOP_Reference,50,7)</f>
        <v>0.2246261064</v>
      </c>
      <c r="D47" s="4">
        <f ca="1">OFFSET(BOP_Reference,51,7)</f>
        <v>0.23262154409999999</v>
      </c>
      <c r="E47" s="4">
        <f ca="1">OFFSET(BOP_Reference,52,7)</f>
        <v>0.2130721096</v>
      </c>
      <c r="F47" s="4">
        <f ca="1">OFFSET(BOP_Reference,53,7)</f>
        <v>0.18821963550000001</v>
      </c>
      <c r="G47" s="4">
        <f ca="1">OFFSET(BOP_Reference,54,7)</f>
        <v>0.1679451481</v>
      </c>
      <c r="H47" s="4">
        <f ca="1">OFFSET(BOP_Reference,55,7)</f>
        <v>0.14820853470000001</v>
      </c>
      <c r="I47" s="1">
        <f ca="1">H47*('Updated Population'!I$37/'Updated Population'!H$37)</f>
        <v>0.15610931116743032</v>
      </c>
      <c r="J47" s="1">
        <f ca="1">I47*('Updated Population'!J$37/'Updated Population'!I$37)</f>
        <v>0.16613882452364656</v>
      </c>
      <c r="K47" s="1">
        <f ca="1">J47*('Updated Population'!K$37/'Updated Population'!J$37)</f>
        <v>0.17656537800177982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OFFSET(Gisborne_Reference,1,7)</f>
        <v>1.9663865806</v>
      </c>
      <c r="D49" s="4">
        <f ca="1">OFFSET(Gisborne_Reference,2,7)</f>
        <v>1.8699849319999999</v>
      </c>
      <c r="E49" s="4">
        <f ca="1">OFFSET(Gisborne_Reference,3,7)</f>
        <v>1.7665445741000001</v>
      </c>
      <c r="F49" s="4">
        <f ca="1">OFFSET(Gisborne_Reference,4,7)</f>
        <v>1.6868638014999999</v>
      </c>
      <c r="G49" s="4">
        <f ca="1">OFFSET(Gisborne_Reference,5,7)</f>
        <v>1.6091812861999999</v>
      </c>
      <c r="H49" s="4">
        <f ca="1">OFFSET(Gisborne_Reference,6,7)</f>
        <v>1.5459179377000001</v>
      </c>
      <c r="I49" s="1">
        <f ca="1">H49*('Updated Population'!I$48/'Updated Population'!H$48)</f>
        <v>1.5314087295776935</v>
      </c>
      <c r="J49" s="1">
        <f ca="1">I49*('Updated Population'!J$48/'Updated Population'!I$48)</f>
        <v>1.512206711566999</v>
      </c>
      <c r="K49" s="1">
        <f ca="1">J49*('Updated Population'!K$48/'Updated Population'!J$48)</f>
        <v>1.490036382756333</v>
      </c>
    </row>
    <row r="50" spans="1:11" x14ac:dyDescent="0.2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OFFSET(Gisborne_Reference,8,7)</f>
        <v>0.23354751879999999</v>
      </c>
      <c r="D50" s="4">
        <f ca="1">OFFSET(Gisborne_Reference,9,7)</f>
        <v>0.2169698055</v>
      </c>
      <c r="E50" s="4">
        <f ca="1">OFFSET(Gisborne_Reference,10,7)</f>
        <v>0.1844223552</v>
      </c>
      <c r="F50" s="4">
        <f ca="1">OFFSET(Gisborne_Reference,11,7)</f>
        <v>0.15945393290000001</v>
      </c>
      <c r="G50" s="4">
        <f ca="1">OFFSET(Gisborne_Reference,12,7)</f>
        <v>0.14068655050000001</v>
      </c>
      <c r="H50" s="4">
        <f ca="1">OFFSET(Gisborne_Reference,13,7)</f>
        <v>0.1270674876</v>
      </c>
      <c r="I50" s="1">
        <f ca="1">H50*('Updated Population'!I$48/'Updated Population'!H$48)</f>
        <v>0.1258748960799676</v>
      </c>
      <c r="J50" s="1">
        <f ca="1">I50*('Updated Population'!J$48/'Updated Population'!I$48)</f>
        <v>0.12429657673586385</v>
      </c>
      <c r="K50" s="1">
        <f ca="1">J50*('Updated Population'!K$48/'Updated Population'!J$48)</f>
        <v>0.12247427562107858</v>
      </c>
    </row>
    <row r="51" spans="1:11" x14ac:dyDescent="0.2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OFFSET(Gisborne_Reference,15,7)</f>
        <v>5.7384923941999997</v>
      </c>
      <c r="D51" s="4">
        <f ca="1">OFFSET(Gisborne_Reference,16,7)</f>
        <v>5.8621809522000001</v>
      </c>
      <c r="E51" s="4">
        <f ca="1">OFFSET(Gisborne_Reference,17,7)</f>
        <v>5.7039406110000002</v>
      </c>
      <c r="F51" s="4">
        <f ca="1">OFFSET(Gisborne_Reference,18,7)</f>
        <v>5.5255700399999998</v>
      </c>
      <c r="G51" s="4">
        <f ca="1">OFFSET(Gisborne_Reference,19,7)</f>
        <v>5.3573567305000003</v>
      </c>
      <c r="H51" s="4">
        <f ca="1">OFFSET(Gisborne_Reference,20,7)</f>
        <v>5.1960142060000001</v>
      </c>
      <c r="I51" s="1">
        <f ca="1">H51*('Updated Population'!I$48/'Updated Population'!H$48)</f>
        <v>5.1472470304062687</v>
      </c>
      <c r="J51" s="1">
        <f ca="1">I51*('Updated Population'!J$48/'Updated Population'!I$48)</f>
        <v>5.0827067621719282</v>
      </c>
      <c r="K51" s="1">
        <f ca="1">J51*('Updated Population'!K$48/'Updated Population'!J$48)</f>
        <v>5.0081896480078338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OFFSET(Gisborne_Reference,22,7)</f>
        <v>4.0091183035000002</v>
      </c>
      <c r="D52" s="4">
        <f ca="1">OFFSET(Gisborne_Reference,23,7)</f>
        <v>3.8687531918000002</v>
      </c>
      <c r="E52" s="4">
        <f ca="1">OFFSET(Gisborne_Reference,24,7)</f>
        <v>3.5642529458999999</v>
      </c>
      <c r="F52" s="4">
        <f ca="1">OFFSET(Gisborne_Reference,25,7)</f>
        <v>3.2732480884999999</v>
      </c>
      <c r="G52" s="4">
        <f ca="1">OFFSET(Gisborne_Reference,26,7)</f>
        <v>3.0868616392999999</v>
      </c>
      <c r="H52" s="4">
        <f ca="1">OFFSET(Gisborne_Reference,27,7)</f>
        <v>2.9315756926000001</v>
      </c>
      <c r="I52" s="1">
        <f ca="1">H52*('Updated Population'!I$48/'Updated Population'!H$48)</f>
        <v>2.9040613978156915</v>
      </c>
      <c r="J52" s="1">
        <f ca="1">I52*('Updated Population'!J$48/'Updated Population'!I$48)</f>
        <v>2.8676479712836405</v>
      </c>
      <c r="K52" s="1">
        <f ca="1">J52*('Updated Population'!K$48/'Updated Population'!J$48)</f>
        <v>2.825605638082568</v>
      </c>
    </row>
    <row r="53" spans="1:11" x14ac:dyDescent="0.2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OFFSET(Gisborne_Reference,29,7)</f>
        <v>7.3514525000000002E-3</v>
      </c>
      <c r="D53" s="4">
        <f ca="1">OFFSET(Gisborne_Reference,30,7)</f>
        <v>1.19312793E-2</v>
      </c>
      <c r="E53" s="4">
        <f ca="1">OFFSET(Gisborne_Reference,31,7)</f>
        <v>1.89166734E-2</v>
      </c>
      <c r="F53" s="4">
        <f ca="1">OFFSET(Gisborne_Reference,32,7)</f>
        <v>2.7213955500000001E-2</v>
      </c>
      <c r="G53" s="4">
        <f ca="1">OFFSET(Gisborne_Reference,33,7)</f>
        <v>3.3498101799999999E-2</v>
      </c>
      <c r="H53" s="4">
        <f ca="1">OFFSET(Gisborne_Reference,34,7)</f>
        <v>4.0099056399999999E-2</v>
      </c>
      <c r="I53" s="1">
        <f ca="1">H53*('Updated Population'!I$48/'Updated Population'!H$48)</f>
        <v>3.9722706827602053E-2</v>
      </c>
      <c r="J53" s="1">
        <f ca="1">I53*('Updated Population'!J$48/'Updated Population'!I$48)</f>
        <v>3.9224632004594161E-2</v>
      </c>
      <c r="K53" s="1">
        <f ca="1">J53*('Updated Population'!K$48/'Updated Population'!J$48)</f>
        <v>3.864956314504777E-2</v>
      </c>
    </row>
    <row r="54" spans="1:11" x14ac:dyDescent="0.2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OFFSET(Gisborne_Reference,36,7)</f>
        <v>4.1696091499999997E-2</v>
      </c>
      <c r="D54" s="4">
        <f ca="1">OFFSET(Gisborne_Reference,37,7)</f>
        <v>3.9761759399999999E-2</v>
      </c>
      <c r="E54" s="4">
        <f ca="1">OFFSET(Gisborne_Reference,38,7)</f>
        <v>3.51243958E-2</v>
      </c>
      <c r="F54" s="4">
        <f ca="1">OFFSET(Gisborne_Reference,39,7)</f>
        <v>3.0847944299999999E-2</v>
      </c>
      <c r="G54" s="4">
        <f ca="1">OFFSET(Gisborne_Reference,40,7)</f>
        <v>2.7184605800000001E-2</v>
      </c>
      <c r="H54" s="4">
        <f ca="1">OFFSET(Gisborne_Reference,41,7)</f>
        <v>2.3578624100000001E-2</v>
      </c>
      <c r="I54" s="1">
        <f ca="1">H54*('Updated Population'!I$48/'Updated Population'!H$48)</f>
        <v>2.3357326994919821E-2</v>
      </c>
      <c r="J54" s="1">
        <f ca="1">I54*('Updated Population'!J$48/'Updated Population'!I$48)</f>
        <v>2.3064454292175199E-2</v>
      </c>
      <c r="K54" s="1">
        <f ca="1">J54*('Updated Population'!K$48/'Updated Population'!J$48)</f>
        <v>2.2726308368350916E-2</v>
      </c>
    </row>
    <row r="55" spans="1:11" x14ac:dyDescent="0.2">
      <c r="A55" t="str">
        <f ca="1">OFFSET(Gisborne_Reference,42,2)</f>
        <v>Local Train</v>
      </c>
      <c r="B55" s="4">
        <f ca="1">OFFSET(Gisborne_Reference,42,7)</f>
        <v>2.5293475000000001E-3</v>
      </c>
      <c r="C55" s="4">
        <f ca="1">OFFSET(Gisborne_Reference,43,7)</f>
        <v>4.1917867000000001E-3</v>
      </c>
      <c r="D55" s="4">
        <f ca="1">OFFSET(Gisborne_Reference,44,7)</f>
        <v>7.1981676000000003E-3</v>
      </c>
      <c r="E55" s="4">
        <f ca="1">OFFSET(Gisborne_Reference,45,7)</f>
        <v>1.1670417000000001E-2</v>
      </c>
      <c r="F55" s="4">
        <f ca="1">OFFSET(Gisborne_Reference,46,7)</f>
        <v>1.68416079E-2</v>
      </c>
      <c r="G55" s="4">
        <f ca="1">OFFSET(Gisborne_Reference,47,7)</f>
        <v>2.0515072499999999E-2</v>
      </c>
      <c r="H55" s="4">
        <f ca="1">OFFSET(Gisborne_Reference,48,7)</f>
        <v>2.4274468800000001E-2</v>
      </c>
      <c r="I55" s="1">
        <f ca="1">H55*('Updated Population'!I$48/'Updated Population'!H$48)</f>
        <v>2.4046640846595409E-2</v>
      </c>
      <c r="J55" s="1">
        <f ca="1">I55*('Updated Population'!J$48/'Updated Population'!I$48)</f>
        <v>2.3745124979724024E-2</v>
      </c>
      <c r="K55" s="1">
        <f ca="1">J55*('Updated Population'!K$48/'Updated Population'!J$48)</f>
        <v>2.3396999803169734E-2</v>
      </c>
    </row>
    <row r="56" spans="1:11" x14ac:dyDescent="0.2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OFFSET(Gisborne_Reference,50,7)</f>
        <v>0.14737933010000001</v>
      </c>
      <c r="D56" s="4">
        <f ca="1">OFFSET(Gisborne_Reference,51,7)</f>
        <v>0.1399183886</v>
      </c>
      <c r="E56" s="4">
        <f ca="1">OFFSET(Gisborne_Reference,52,7)</f>
        <v>0.1383155388</v>
      </c>
      <c r="F56" s="4">
        <f ca="1">OFFSET(Gisborne_Reference,53,7)</f>
        <v>0.1420258385</v>
      </c>
      <c r="G56" s="4">
        <f ca="1">OFFSET(Gisborne_Reference,54,7)</f>
        <v>0.14740256860000001</v>
      </c>
      <c r="H56" s="4">
        <f ca="1">OFFSET(Gisborne_Reference,55,7)</f>
        <v>0.1542887272</v>
      </c>
      <c r="I56" s="1">
        <f ca="1">H56*('Updated Population'!I$48/'Updated Population'!H$48)</f>
        <v>0.15284065081814421</v>
      </c>
      <c r="J56" s="1">
        <f ca="1">I56*('Updated Population'!J$48/'Updated Population'!I$48)</f>
        <v>0.1509242134405242</v>
      </c>
      <c r="K56" s="1">
        <f ca="1">J56*('Updated Population'!K$48/'Updated Population'!J$48)</f>
        <v>0.1487115268998063</v>
      </c>
    </row>
    <row r="57" spans="1:11" x14ac:dyDescent="0.2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OFFSET(Gisborne_Reference,57,7)</f>
        <v>6.0280133000000001E-3</v>
      </c>
      <c r="D57" s="4">
        <f ca="1">OFFSET(Gisborne_Reference,58,7)</f>
        <v>5.4943081999999999E-3</v>
      </c>
      <c r="E57" s="4">
        <f ca="1">OFFSET(Gisborne_Reference,59,7)</f>
        <v>5.4205279000000004E-3</v>
      </c>
      <c r="F57" s="4">
        <f ca="1">OFFSET(Gisborne_Reference,60,7)</f>
        <v>6.0046220999999999E-3</v>
      </c>
      <c r="G57" s="4">
        <f ca="1">OFFSET(Gisborne_Reference,61,7)</f>
        <v>7.1002575999999998E-3</v>
      </c>
      <c r="H57" s="4">
        <f ca="1">OFFSET(Gisborne_Reference,62,7)</f>
        <v>8.2157737999999994E-3</v>
      </c>
      <c r="I57" s="1">
        <f ca="1">H57*('Updated Population'!I$48/'Updated Population'!H$48)</f>
        <v>8.1386646798824441E-3</v>
      </c>
      <c r="J57" s="1">
        <f ca="1">I57*('Updated Population'!J$48/'Updated Population'!I$48)</f>
        <v>8.0366156431049135E-3</v>
      </c>
      <c r="K57" s="1">
        <f ca="1">J57*('Updated Population'!K$48/'Updated Population'!J$48)</f>
        <v>7.9187915321750329E-3</v>
      </c>
    </row>
    <row r="58" spans="1:11" x14ac:dyDescent="0.2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OFFSET(Gisborne_Reference,64,7)</f>
        <v>3.9654877999999996E-3</v>
      </c>
      <c r="D58" s="4">
        <f ca="1">OFFSET(Gisborne_Reference,65,7)</f>
        <v>2.8576177E-3</v>
      </c>
      <c r="E58" s="4">
        <f ca="1">OFFSET(Gisborne_Reference,66,7)</f>
        <v>2.1991392999999998E-3</v>
      </c>
      <c r="F58" s="4">
        <f ca="1">OFFSET(Gisborne_Reference,67,7)</f>
        <v>1.5750351000000001E-3</v>
      </c>
      <c r="G58" s="4">
        <f ca="1">OFFSET(Gisborne_Reference,68,7)</f>
        <v>9.4727669999999996E-4</v>
      </c>
      <c r="H58" s="4">
        <f ca="1">OFFSET(Gisborne_Reference,69,7)</f>
        <v>5.1970879999999997E-4</v>
      </c>
      <c r="I58" s="1">
        <f ca="1">H58*('Updated Population'!I$48/'Updated Population'!H$48)</f>
        <v>5.1483107463159332E-4</v>
      </c>
      <c r="J58" s="1">
        <f ca="1">I58*('Updated Population'!J$48/'Updated Population'!I$48)</f>
        <v>5.0837571403673299E-4</v>
      </c>
      <c r="K58" s="1">
        <f ca="1">J58*('Updated Population'!K$48/'Updated Population'!J$48)</f>
        <v>5.0092246267014417E-4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OFFSET(Hawkes_Bay_Reference,1,7)</f>
        <v>5.6967903254000003</v>
      </c>
      <c r="D60" s="4">
        <f ca="1">OFFSET(Hawkes_Bay_Reference,2,7)</f>
        <v>5.9482388637000003</v>
      </c>
      <c r="E60" s="4">
        <f ca="1">OFFSET(Hawkes_Bay_Reference,3,7)</f>
        <v>5.7677316062999999</v>
      </c>
      <c r="F60" s="4">
        <f ca="1">OFFSET(Hawkes_Bay_Reference,4,7)</f>
        <v>5.5624385375000003</v>
      </c>
      <c r="G60" s="4">
        <f ca="1">OFFSET(Hawkes_Bay_Reference,5,7)</f>
        <v>5.3943456775999996</v>
      </c>
      <c r="H60" s="4">
        <f ca="1">OFFSET(Hawkes_Bay_Reference,6,7)</f>
        <v>5.2241302718</v>
      </c>
      <c r="I60" s="1">
        <f ca="1">H60*('Updated Population'!I$59/'Updated Population'!H$59)</f>
        <v>5.1879872542936019</v>
      </c>
      <c r="J60" s="1">
        <f ca="1">I60*('Updated Population'!J$59/'Updated Population'!I$59)</f>
        <v>5.1356942875120399</v>
      </c>
      <c r="K60" s="1">
        <f ca="1">J60*('Updated Population'!K$59/'Updated Population'!J$59)</f>
        <v>5.0730027237318467</v>
      </c>
    </row>
    <row r="61" spans="1:11" x14ac:dyDescent="0.2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OFFSET(Hawkes_Bay_Reference,8,7)</f>
        <v>0.88773321140000006</v>
      </c>
      <c r="D61" s="4">
        <f ca="1">OFFSET(Hawkes_Bay_Reference,9,7)</f>
        <v>0.94579678869999995</v>
      </c>
      <c r="E61" s="4">
        <f ca="1">OFFSET(Hawkes_Bay_Reference,10,7)</f>
        <v>0.96778292560000001</v>
      </c>
      <c r="F61" s="4">
        <f ca="1">OFFSET(Hawkes_Bay_Reference,11,7)</f>
        <v>0.9788395848</v>
      </c>
      <c r="G61" s="4">
        <f ca="1">OFFSET(Hawkes_Bay_Reference,12,7)</f>
        <v>0.97666469769999997</v>
      </c>
      <c r="H61" s="4">
        <f ca="1">OFFSET(Hawkes_Bay_Reference,13,7)</f>
        <v>0.96497309519999996</v>
      </c>
      <c r="I61" s="1">
        <f ca="1">H61*('Updated Population'!I$59/'Updated Population'!H$59)</f>
        <v>0.95829695244351398</v>
      </c>
      <c r="J61" s="1">
        <f ca="1">I61*('Updated Population'!J$59/'Updated Population'!I$59)</f>
        <v>0.94863767838505753</v>
      </c>
      <c r="K61" s="1">
        <f ca="1">J61*('Updated Population'!K$59/'Updated Population'!J$59)</f>
        <v>0.93705763171768042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OFFSET(Hawkes_Bay_Reference,15,7)</f>
        <v>25.281594783999999</v>
      </c>
      <c r="D62" s="4">
        <f ca="1">OFFSET(Hawkes_Bay_Reference,16,7)</f>
        <v>27.041360605000001</v>
      </c>
      <c r="E62" s="4">
        <f ca="1">OFFSET(Hawkes_Bay_Reference,17,7)</f>
        <v>27.810910332999999</v>
      </c>
      <c r="F62" s="4">
        <f ca="1">OFFSET(Hawkes_Bay_Reference,18,7)</f>
        <v>28.171041206999998</v>
      </c>
      <c r="G62" s="4">
        <f ca="1">OFFSET(Hawkes_Bay_Reference,19,7)</f>
        <v>27.96309269</v>
      </c>
      <c r="H62" s="4">
        <f ca="1">OFFSET(Hawkes_Bay_Reference,20,7)</f>
        <v>27.633206221999998</v>
      </c>
      <c r="I62" s="1">
        <f ca="1">H62*('Updated Population'!I$59/'Updated Population'!H$59)</f>
        <v>27.442026560644514</v>
      </c>
      <c r="J62" s="1">
        <f ca="1">I62*('Updated Population'!J$59/'Updated Population'!I$59)</f>
        <v>27.165421219687499</v>
      </c>
      <c r="K62" s="1">
        <f ca="1">J62*('Updated Population'!K$59/'Updated Population'!J$59)</f>
        <v>26.833812163215622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OFFSET(Hawkes_Bay_Reference,22,7)</f>
        <v>14.761676072</v>
      </c>
      <c r="D63" s="4">
        <f ca="1">OFFSET(Hawkes_Bay_Reference,23,7)</f>
        <v>15.652335471000001</v>
      </c>
      <c r="E63" s="4">
        <f ca="1">OFFSET(Hawkes_Bay_Reference,24,7)</f>
        <v>15.876182489</v>
      </c>
      <c r="F63" s="4">
        <f ca="1">OFFSET(Hawkes_Bay_Reference,25,7)</f>
        <v>15.740171337</v>
      </c>
      <c r="G63" s="4">
        <f ca="1">OFFSET(Hawkes_Bay_Reference,26,7)</f>
        <v>15.421817612</v>
      </c>
      <c r="H63" s="4">
        <f ca="1">OFFSET(Hawkes_Bay_Reference,27,7)</f>
        <v>15.0461987</v>
      </c>
      <c r="I63" s="1">
        <f ca="1">H63*('Updated Population'!I$59/'Updated Population'!H$59)</f>
        <v>14.942101942314922</v>
      </c>
      <c r="J63" s="1">
        <f ca="1">I63*('Updated Population'!J$59/'Updated Population'!I$59)</f>
        <v>14.791491155854425</v>
      </c>
      <c r="K63" s="1">
        <f ca="1">J63*('Updated Population'!K$59/'Updated Population'!J$59)</f>
        <v>14.610931009691472</v>
      </c>
    </row>
    <row r="64" spans="1:11" x14ac:dyDescent="0.2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OFFSET(Hawkes_Bay_Reference,29,7)</f>
        <v>4.5503553799999999E-2</v>
      </c>
      <c r="D64" s="4">
        <f ca="1">OFFSET(Hawkes_Bay_Reference,30,7)</f>
        <v>4.7981795000000001E-2</v>
      </c>
      <c r="E64" s="4">
        <f ca="1">OFFSET(Hawkes_Bay_Reference,31,7)</f>
        <v>4.8511216099999997E-2</v>
      </c>
      <c r="F64" s="4">
        <f ca="1">OFFSET(Hawkes_Bay_Reference,32,7)</f>
        <v>4.8424815400000001E-2</v>
      </c>
      <c r="G64" s="4">
        <f ca="1">OFFSET(Hawkes_Bay_Reference,33,7)</f>
        <v>4.4135964299999997E-2</v>
      </c>
      <c r="H64" s="4">
        <f ca="1">OFFSET(Hawkes_Bay_Reference,34,7)</f>
        <v>3.7666103200000002E-2</v>
      </c>
      <c r="I64" s="1">
        <f ca="1">H64*('Updated Population'!I$59/'Updated Population'!H$59)</f>
        <v>3.7405511186300783E-2</v>
      </c>
      <c r="J64" s="1">
        <f ca="1">I64*('Updated Population'!J$59/'Updated Population'!I$59)</f>
        <v>3.7028477655176792E-2</v>
      </c>
      <c r="K64" s="1">
        <f ca="1">J64*('Updated Population'!K$59/'Updated Population'!J$59)</f>
        <v>3.6576469992990267E-2</v>
      </c>
    </row>
    <row r="65" spans="1:11" x14ac:dyDescent="0.2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OFFSET(Hawkes_Bay_Reference,36,7)</f>
        <v>0.10360596919999999</v>
      </c>
      <c r="D65" s="4">
        <f ca="1">OFFSET(Hawkes_Bay_Reference,37,7)</f>
        <v>9.65029949E-2</v>
      </c>
      <c r="E65" s="4">
        <f ca="1">OFFSET(Hawkes_Bay_Reference,38,7)</f>
        <v>8.7309250699999993E-2</v>
      </c>
      <c r="F65" s="4">
        <f ca="1">OFFSET(Hawkes_Bay_Reference,39,7)</f>
        <v>7.6741086799999997E-2</v>
      </c>
      <c r="G65" s="4">
        <f ca="1">OFFSET(Hawkes_Bay_Reference,40,7)</f>
        <v>7.0237036500000002E-2</v>
      </c>
      <c r="H65" s="4">
        <f ca="1">OFFSET(Hawkes_Bay_Reference,41,7)</f>
        <v>6.4651145199999996E-2</v>
      </c>
      <c r="I65" s="1">
        <f ca="1">H65*('Updated Population'!I$59/'Updated Population'!H$59)</f>
        <v>6.4203857833261505E-2</v>
      </c>
      <c r="J65" s="1">
        <f ca="1">I65*('Updated Population'!J$59/'Updated Population'!I$59)</f>
        <v>6.3556707013423946E-2</v>
      </c>
      <c r="K65" s="1">
        <f ca="1">J65*('Updated Population'!K$59/'Updated Population'!J$59)</f>
        <v>6.2780868513636331E-2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OFFSET(Hawkes_Bay_Reference,43,7)</f>
        <v>1.2779562759</v>
      </c>
      <c r="D67" s="4">
        <f ca="1">OFFSET(Hawkes_Bay_Reference,44,7)</f>
        <v>1.3255580378</v>
      </c>
      <c r="E67" s="4">
        <f ca="1">OFFSET(Hawkes_Bay_Reference,45,7)</f>
        <v>1.3360469043000001</v>
      </c>
      <c r="F67" s="4">
        <f ca="1">OFFSET(Hawkes_Bay_Reference,46,7)</f>
        <v>1.3020808343000001</v>
      </c>
      <c r="G67" s="4">
        <f ca="1">OFFSET(Hawkes_Bay_Reference,47,7)</f>
        <v>1.2966185906000001</v>
      </c>
      <c r="H67" s="4">
        <f ca="1">OFFSET(Hawkes_Bay_Reference,48,7)</f>
        <v>1.2828472934999999</v>
      </c>
      <c r="I67" s="1">
        <f ca="1">H67*('Updated Population'!I$59/'Updated Population'!H$59)</f>
        <v>1.2739719458775851</v>
      </c>
      <c r="J67" s="1">
        <f ca="1">I67*('Updated Population'!J$59/'Updated Population'!I$59)</f>
        <v>1.2611307862175871</v>
      </c>
      <c r="K67" s="1">
        <f ca="1">J67*('Updated Population'!K$59/'Updated Population'!J$59)</f>
        <v>1.245736127444464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OFFSET(Hawkes_Bay_Reference,50,7)</f>
        <v>0.15860784310000001</v>
      </c>
      <c r="D69" s="4">
        <f ca="1">OFFSET(Hawkes_Bay_Reference,51,7)</f>
        <v>0.1780779542</v>
      </c>
      <c r="E69" s="4">
        <f ca="1">OFFSET(Hawkes_Bay_Reference,52,7)</f>
        <v>0.20079019040000001</v>
      </c>
      <c r="F69" s="4">
        <f ca="1">OFFSET(Hawkes_Bay_Reference,53,7)</f>
        <v>0.21856149010000001</v>
      </c>
      <c r="G69" s="4">
        <f ca="1">OFFSET(Hawkes_Bay_Reference,54,7)</f>
        <v>0.23916129119999999</v>
      </c>
      <c r="H69" s="4">
        <f ca="1">OFFSET(Hawkes_Bay_Reference,55,7)</f>
        <v>0.25893084220000001</v>
      </c>
      <c r="I69" s="1">
        <f ca="1">H69*('Updated Population'!I$59/'Updated Population'!H$59)</f>
        <v>0.25713943550153029</v>
      </c>
      <c r="J69" s="1">
        <f ca="1">I69*('Updated Population'!J$59/'Updated Population'!I$59)</f>
        <v>0.25454756638161624</v>
      </c>
      <c r="K69" s="1">
        <f ca="1">J69*('Updated Population'!K$59/'Updated Population'!J$59)</f>
        <v>0.25144029712072785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OFFSET(Taranaki_Reference,1,7)</f>
        <v>4.4616967658000002</v>
      </c>
      <c r="D71" s="4">
        <f ca="1">OFFSET(Taranaki_Reference,2,7)</f>
        <v>4.5382522600000001</v>
      </c>
      <c r="E71" s="4">
        <f ca="1">OFFSET(Taranaki_Reference,3,7)</f>
        <v>4.3849402961999999</v>
      </c>
      <c r="F71" s="4">
        <f ca="1">OFFSET(Taranaki_Reference,4,7)</f>
        <v>4.248310923</v>
      </c>
      <c r="G71" s="4">
        <f ca="1">OFFSET(Taranaki_Reference,5,7)</f>
        <v>4.1357848014999998</v>
      </c>
      <c r="H71" s="4">
        <f ca="1">OFFSET(Taranaki_Reference,6,7)</f>
        <v>4.0338013247999998</v>
      </c>
      <c r="I71" s="1">
        <f ca="1">H71*('Updated Population'!I$70/'Updated Population'!H$70)</f>
        <v>4.0603206636319715</v>
      </c>
      <c r="J71" s="1">
        <f ca="1">I71*('Updated Population'!J$70/'Updated Population'!I$70)</f>
        <v>4.0740046771391363</v>
      </c>
      <c r="K71" s="1">
        <f ca="1">J71*('Updated Population'!K$70/'Updated Population'!J$70)</f>
        <v>4.0789500021374323</v>
      </c>
    </row>
    <row r="72" spans="1:11" x14ac:dyDescent="0.2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OFFSET(Taranaki_Reference,8,7)</f>
        <v>0.49911730589999997</v>
      </c>
      <c r="D72" s="4">
        <f ca="1">OFFSET(Taranaki_Reference,9,7)</f>
        <v>0.52075643410000005</v>
      </c>
      <c r="E72" s="4">
        <f ca="1">OFFSET(Taranaki_Reference,10,7)</f>
        <v>0.49518417310000001</v>
      </c>
      <c r="F72" s="4">
        <f ca="1">OFFSET(Taranaki_Reference,11,7)</f>
        <v>0.4859100261</v>
      </c>
      <c r="G72" s="4">
        <f ca="1">OFFSET(Taranaki_Reference,12,7)</f>
        <v>0.48588268200000001</v>
      </c>
      <c r="H72" s="4">
        <f ca="1">OFFSET(Taranaki_Reference,13,7)</f>
        <v>0.4902892284</v>
      </c>
      <c r="I72" s="1">
        <f ca="1">H72*('Updated Population'!I$70/'Updated Population'!H$70)</f>
        <v>0.49351252700265247</v>
      </c>
      <c r="J72" s="1">
        <f ca="1">I72*('Updated Population'!J$70/'Updated Population'!I$70)</f>
        <v>0.4951757532955775</v>
      </c>
      <c r="K72" s="1">
        <f ca="1">J72*('Updated Population'!K$70/'Updated Population'!J$70)</f>
        <v>0.49577683386012966</v>
      </c>
    </row>
    <row r="73" spans="1:11" x14ac:dyDescent="0.2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OFFSET(Taranaki_Reference,15,7)</f>
        <v>21.247732160000002</v>
      </c>
      <c r="D73" s="4">
        <f ca="1">OFFSET(Taranaki_Reference,16,7)</f>
        <v>23.024594200999999</v>
      </c>
      <c r="E73" s="4">
        <f ca="1">OFFSET(Taranaki_Reference,17,7)</f>
        <v>23.359628345000001</v>
      </c>
      <c r="F73" s="4">
        <f ca="1">OFFSET(Taranaki_Reference,18,7)</f>
        <v>23.178229661</v>
      </c>
      <c r="G73" s="4">
        <f ca="1">OFFSET(Taranaki_Reference,19,7)</f>
        <v>22.981719905999999</v>
      </c>
      <c r="H73" s="4">
        <f ca="1">OFFSET(Taranaki_Reference,20,7)</f>
        <v>22.653376351999999</v>
      </c>
      <c r="I73" s="1">
        <f ca="1">H73*('Updated Population'!I$70/'Updated Population'!H$70)</f>
        <v>22.802305988041667</v>
      </c>
      <c r="J73" s="1">
        <f ca="1">I73*('Updated Population'!J$70/'Updated Population'!I$70)</f>
        <v>22.87915387494126</v>
      </c>
      <c r="K73" s="1">
        <f ca="1">J73*('Updated Population'!K$70/'Updated Population'!J$70)</f>
        <v>22.90692626612984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OFFSET(Taranaki_Reference,22,7)</f>
        <v>12.19899197</v>
      </c>
      <c r="D74" s="4">
        <f ca="1">OFFSET(Taranaki_Reference,23,7)</f>
        <v>12.431189006</v>
      </c>
      <c r="E74" s="4">
        <f ca="1">OFFSET(Taranaki_Reference,24,7)</f>
        <v>12.249713206999999</v>
      </c>
      <c r="F74" s="4">
        <f ca="1">OFFSET(Taranaki_Reference,25,7)</f>
        <v>12.068543048</v>
      </c>
      <c r="G74" s="4">
        <f ca="1">OFFSET(Taranaki_Reference,26,7)</f>
        <v>11.772313054</v>
      </c>
      <c r="H74" s="4">
        <f ca="1">OFFSET(Taranaki_Reference,27,7)</f>
        <v>11.452158833</v>
      </c>
      <c r="I74" s="1">
        <f ca="1">H74*('Updated Population'!I$70/'Updated Population'!H$70)</f>
        <v>11.527448530234889</v>
      </c>
      <c r="J74" s="1">
        <f ca="1">I74*('Updated Population'!J$70/'Updated Population'!I$70)</f>
        <v>11.566298112437538</v>
      </c>
      <c r="K74" s="1">
        <f ca="1">J74*('Updated Population'!K$70/'Updated Population'!J$70)</f>
        <v>11.580338131467009</v>
      </c>
    </row>
    <row r="75" spans="1:11" x14ac:dyDescent="0.2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OFFSET(Taranaki_Reference,29,7)</f>
        <v>0.1183458758</v>
      </c>
      <c r="D75" s="4">
        <f ca="1">OFFSET(Taranaki_Reference,30,7)</f>
        <v>0.14008325460000001</v>
      </c>
      <c r="E75" s="4">
        <f ca="1">OFFSET(Taranaki_Reference,31,7)</f>
        <v>0.15281045569999999</v>
      </c>
      <c r="F75" s="4">
        <f ca="1">OFFSET(Taranaki_Reference,32,7)</f>
        <v>0.1568975125</v>
      </c>
      <c r="G75" s="4">
        <f ca="1">OFFSET(Taranaki_Reference,33,7)</f>
        <v>0.15863096339999999</v>
      </c>
      <c r="H75" s="4">
        <f ca="1">OFFSET(Taranaki_Reference,34,7)</f>
        <v>0.15809506030000001</v>
      </c>
      <c r="I75" s="1">
        <f ca="1">H75*('Updated Population'!I$70/'Updated Population'!H$70)</f>
        <v>0.15913442147180104</v>
      </c>
      <c r="J75" s="1">
        <f ca="1">I75*('Updated Population'!J$70/'Updated Population'!I$70)</f>
        <v>0.15967073319525177</v>
      </c>
      <c r="K75" s="1">
        <f ca="1">J75*('Updated Population'!K$70/'Updated Population'!J$70)</f>
        <v>0.15986455321534102</v>
      </c>
    </row>
    <row r="76" spans="1:11" x14ac:dyDescent="0.2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OFFSET(Taranaki_Reference,36,7)</f>
        <v>0.23823023409999999</v>
      </c>
      <c r="D76" s="4">
        <f ca="1">OFFSET(Taranaki_Reference,37,7)</f>
        <v>0.2458029981</v>
      </c>
      <c r="E76" s="4">
        <f ca="1">OFFSET(Taranaki_Reference,38,7)</f>
        <v>0.2334480203</v>
      </c>
      <c r="F76" s="4">
        <f ca="1">OFFSET(Taranaki_Reference,39,7)</f>
        <v>0.2195899238</v>
      </c>
      <c r="G76" s="4">
        <f ca="1">OFFSET(Taranaki_Reference,40,7)</f>
        <v>0.20747225020000001</v>
      </c>
      <c r="H76" s="4">
        <f ca="1">OFFSET(Taranaki_Reference,41,7)</f>
        <v>0.19605607410000001</v>
      </c>
      <c r="I76" s="1">
        <f ca="1">H76*('Updated Population'!I$70/'Updated Population'!H$70)</f>
        <v>0.19734500160050891</v>
      </c>
      <c r="J76" s="1">
        <f ca="1">I76*('Updated Population'!J$70/'Updated Population'!I$70)</f>
        <v>0.19801008987584165</v>
      </c>
      <c r="K76" s="1">
        <f ca="1">J76*('Updated Population'!K$70/'Updated Population'!J$70)</f>
        <v>0.19825044901260766</v>
      </c>
    </row>
    <row r="77" spans="1:11" x14ac:dyDescent="0.2">
      <c r="A77" t="str">
        <f ca="1">OFFSET(Taranaki_Reference,42,2)</f>
        <v>Local Train</v>
      </c>
      <c r="B77" s="4">
        <f ca="1">OFFSET(Taranaki_Reference,42,7)</f>
        <v>8.8777196999999999E-3</v>
      </c>
      <c r="C77" s="4">
        <f ca="1">OFFSET(Taranaki_Reference,43,7)</f>
        <v>7.9130308999999996E-3</v>
      </c>
      <c r="D77" s="4">
        <f ca="1">OFFSET(Taranaki_Reference,44,7)</f>
        <v>7.2078736000000003E-3</v>
      </c>
      <c r="E77" s="4">
        <f ca="1">OFFSET(Taranaki_Reference,45,7)</f>
        <v>7.0035918000000003E-3</v>
      </c>
      <c r="F77" s="4">
        <f ca="1">OFFSET(Taranaki_Reference,46,7)</f>
        <v>7.6159236000000003E-3</v>
      </c>
      <c r="G77" s="4">
        <f ca="1">OFFSET(Taranaki_Reference,47,7)</f>
        <v>8.8101776999999996E-3</v>
      </c>
      <c r="H77" s="4">
        <f ca="1">OFFSET(Taranaki_Reference,48,7)</f>
        <v>9.9709524000000001E-3</v>
      </c>
      <c r="I77" s="1">
        <f ca="1">H77*('Updated Population'!I$70/'Updated Population'!H$70)</f>
        <v>1.0036504231605433E-2</v>
      </c>
      <c r="J77" s="1">
        <f ca="1">I77*('Updated Population'!J$70/'Updated Population'!I$70)</f>
        <v>1.0070329062412554E-2</v>
      </c>
      <c r="K77" s="1">
        <f ca="1">J77*('Updated Population'!K$70/'Updated Population'!J$70)</f>
        <v>1.0082553164739405E-2</v>
      </c>
    </row>
    <row r="78" spans="1:11" x14ac:dyDescent="0.2">
      <c r="A78" t="str">
        <f ca="1">OFFSET(Taranaki_Reference,49,2)</f>
        <v>Local Bus</v>
      </c>
      <c r="B78" s="4">
        <f ca="1">OFFSET(Taranaki_Reference,49,7)</f>
        <v>0.4632962336</v>
      </c>
      <c r="C78" s="4">
        <f ca="1">OFFSET(Taranaki_Reference,50,7)</f>
        <v>0.4401776268</v>
      </c>
      <c r="D78" s="4">
        <f ca="1">OFFSET(Taranaki_Reference,51,7)</f>
        <v>0.45922042800000001</v>
      </c>
      <c r="E78" s="4">
        <f ca="1">OFFSET(Taranaki_Reference,52,7)</f>
        <v>0.44999265170000002</v>
      </c>
      <c r="F78" s="4">
        <f ca="1">OFFSET(Taranaki_Reference,53,7)</f>
        <v>0.43446286099999998</v>
      </c>
      <c r="G78" s="4">
        <f ca="1">OFFSET(Taranaki_Reference,54,7)</f>
        <v>0.43955886779999997</v>
      </c>
      <c r="H78" s="4">
        <f ca="1">OFFSET(Taranaki_Reference,55,7)</f>
        <v>0.44480124669999999</v>
      </c>
      <c r="I78" s="1">
        <f ca="1">H78*('Updated Population'!I$70/'Updated Population'!H$70)</f>
        <v>0.44772549458042959</v>
      </c>
      <c r="J78" s="1">
        <f ca="1">I78*('Updated Population'!J$70/'Updated Population'!I$70)</f>
        <v>0.44923441030972583</v>
      </c>
      <c r="K78" s="1">
        <f ca="1">J78*('Updated Population'!K$70/'Updated Population'!J$70)</f>
        <v>0.44977972391033749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OFFSET(Taranaki_Reference,57,7)</f>
        <v>5.2772287000000001E-2</v>
      </c>
      <c r="D80" s="4">
        <f ca="1">OFFSET(Taranaki_Reference,58,7)</f>
        <v>5.4526428299999999E-2</v>
      </c>
      <c r="E80" s="4">
        <f ca="1">OFFSET(Taranaki_Reference,59,7)</f>
        <v>5.3389718099999997E-2</v>
      </c>
      <c r="F80" s="4">
        <f ca="1">OFFSET(Taranaki_Reference,60,7)</f>
        <v>5.5335361100000001E-2</v>
      </c>
      <c r="G80" s="4">
        <f ca="1">OFFSET(Taranaki_Reference,61,7)</f>
        <v>5.3430628700000003E-2</v>
      </c>
      <c r="H80" s="4">
        <f ca="1">OFFSET(Taranaki_Reference,62,7)</f>
        <v>4.8526928499999997E-2</v>
      </c>
      <c r="I80" s="1">
        <f ca="1">H80*('Updated Population'!I$70/'Updated Population'!H$70)</f>
        <v>4.8845958108983074E-2</v>
      </c>
      <c r="J80" s="1">
        <f ca="1">I80*('Updated Population'!J$70/'Updated Population'!I$70)</f>
        <v>4.9010577804299418E-2</v>
      </c>
      <c r="K80" s="1">
        <f ca="1">J80*('Updated Population'!K$70/'Updated Population'!J$70)</f>
        <v>4.9070070430058198E-2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OFFSET(Manawatu_Reference,1,7)</f>
        <v>7.4580995677999997</v>
      </c>
      <c r="D82" s="4">
        <f ca="1">OFFSET(Manawatu_Reference,2,7)</f>
        <v>7.1746694297999998</v>
      </c>
      <c r="E82" s="4">
        <f ca="1">OFFSET(Manawatu_Reference,3,7)</f>
        <v>6.3446401915999999</v>
      </c>
      <c r="F82" s="4">
        <f ca="1">OFFSET(Manawatu_Reference,4,7)</f>
        <v>5.6664411479999997</v>
      </c>
      <c r="G82" s="4">
        <f ca="1">OFFSET(Manawatu_Reference,5,7)</f>
        <v>5.1034251426999999</v>
      </c>
      <c r="H82" s="4">
        <f ca="1">OFFSET(Manawatu_Reference,6,7)</f>
        <v>4.6480732138</v>
      </c>
      <c r="I82" s="1">
        <f ca="1">H82*('Updated Population'!I$81/'Updated Population'!H$81)</f>
        <v>4.6097893264139724</v>
      </c>
      <c r="J82" s="1">
        <f ca="1">I82*('Updated Population'!J$81/'Updated Population'!I$81)</f>
        <v>4.5572678712947745</v>
      </c>
      <c r="K82" s="1">
        <f ca="1">J82*('Updated Population'!K$81/'Updated Population'!J$81)</f>
        <v>4.495662540343881</v>
      </c>
    </row>
    <row r="83" spans="1:11" x14ac:dyDescent="0.2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OFFSET(Manawatu_Reference,8,7)</f>
        <v>1.8048560574000001</v>
      </c>
      <c r="D83" s="4">
        <f ca="1">OFFSET(Manawatu_Reference,9,7)</f>
        <v>2.0185444753000001</v>
      </c>
      <c r="E83" s="4">
        <f ca="1">OFFSET(Manawatu_Reference,10,7)</f>
        <v>2.0807619965000002</v>
      </c>
      <c r="F83" s="4">
        <f ca="1">OFFSET(Manawatu_Reference,11,7)</f>
        <v>2.1177243558000001</v>
      </c>
      <c r="G83" s="4">
        <f ca="1">OFFSET(Manawatu_Reference,12,7)</f>
        <v>2.0881002178000001</v>
      </c>
      <c r="H83" s="4">
        <f ca="1">OFFSET(Manawatu_Reference,13,7)</f>
        <v>2.0394340386000001</v>
      </c>
      <c r="I83" s="1">
        <f ca="1">H83*('Updated Population'!I$81/'Updated Population'!H$81)</f>
        <v>2.0226362259422341</v>
      </c>
      <c r="J83" s="1">
        <f ca="1">I83*('Updated Population'!J$81/'Updated Population'!I$81)</f>
        <v>1.9995913988924199</v>
      </c>
      <c r="K83" s="1">
        <f ca="1">J83*('Updated Population'!K$81/'Updated Population'!J$81)</f>
        <v>1.9725608416870282</v>
      </c>
    </row>
    <row r="84" spans="1:11" x14ac:dyDescent="0.2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OFFSET(Manawatu_Reference,15,7)</f>
        <v>42.024484913999999</v>
      </c>
      <c r="D84" s="4">
        <f ca="1">OFFSET(Manawatu_Reference,16,7)</f>
        <v>44.774279857000003</v>
      </c>
      <c r="E84" s="4">
        <f ca="1">OFFSET(Manawatu_Reference,17,7)</f>
        <v>44.740142065999997</v>
      </c>
      <c r="F84" s="4">
        <f ca="1">OFFSET(Manawatu_Reference,18,7)</f>
        <v>44.418519559000003</v>
      </c>
      <c r="G84" s="4">
        <f ca="1">OFFSET(Manawatu_Reference,19,7)</f>
        <v>43.248420537000001</v>
      </c>
      <c r="H84" s="4">
        <f ca="1">OFFSET(Manawatu_Reference,20,7)</f>
        <v>41.809515456</v>
      </c>
      <c r="I84" s="1">
        <f ca="1">H84*('Updated Population'!I$81/'Updated Population'!H$81)</f>
        <v>41.465151090862712</v>
      </c>
      <c r="J84" s="1">
        <f ca="1">I84*('Updated Population'!J$81/'Updated Population'!I$81)</f>
        <v>40.992719507156551</v>
      </c>
      <c r="K84" s="1">
        <f ca="1">J84*('Updated Population'!K$81/'Updated Population'!J$81)</f>
        <v>40.438578270973736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OFFSET(Manawatu_Reference,22,7)</f>
        <v>18.999576490999999</v>
      </c>
      <c r="D85" s="4">
        <f ca="1">OFFSET(Manawatu_Reference,23,7)</f>
        <v>19.645238118999998</v>
      </c>
      <c r="E85" s="4">
        <f ca="1">OFFSET(Manawatu_Reference,24,7)</f>
        <v>19.208221040000002</v>
      </c>
      <c r="F85" s="4">
        <f ca="1">OFFSET(Manawatu_Reference,25,7)</f>
        <v>18.983563776</v>
      </c>
      <c r="G85" s="4">
        <f ca="1">OFFSET(Manawatu_Reference,26,7)</f>
        <v>18.596022389000002</v>
      </c>
      <c r="H85" s="4">
        <f ca="1">OFFSET(Manawatu_Reference,27,7)</f>
        <v>18.163996990000001</v>
      </c>
      <c r="I85" s="1">
        <f ca="1">H85*('Updated Population'!I$81/'Updated Population'!H$81)</f>
        <v>18.014389102331471</v>
      </c>
      <c r="J85" s="1">
        <f ca="1">I85*('Updated Population'!J$81/'Updated Population'!I$81)</f>
        <v>17.80914286183269</v>
      </c>
      <c r="K85" s="1">
        <f ca="1">J85*('Updated Population'!K$81/'Updated Population'!J$81)</f>
        <v>17.568398150101881</v>
      </c>
    </row>
    <row r="86" spans="1:11" x14ac:dyDescent="0.2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OFFSET(Manawatu_Reference,29,7)</f>
        <v>0.30292483749999999</v>
      </c>
      <c r="D86" s="4">
        <f ca="1">OFFSET(Manawatu_Reference,30,7)</f>
        <v>0.35164711650000002</v>
      </c>
      <c r="E86" s="4">
        <f ca="1">OFFSET(Manawatu_Reference,31,7)</f>
        <v>0.35395700829999999</v>
      </c>
      <c r="F86" s="4">
        <f ca="1">OFFSET(Manawatu_Reference,32,7)</f>
        <v>0.35285140850000002</v>
      </c>
      <c r="G86" s="4">
        <f ca="1">OFFSET(Manawatu_Reference,33,7)</f>
        <v>0.37259602530000002</v>
      </c>
      <c r="H86" s="4">
        <f ca="1">OFFSET(Manawatu_Reference,34,7)</f>
        <v>0.39167442229999999</v>
      </c>
      <c r="I86" s="1">
        <f ca="1">H86*('Updated Population'!I$81/'Updated Population'!H$81)</f>
        <v>0.38844839319383156</v>
      </c>
      <c r="J86" s="1">
        <f ca="1">I86*('Updated Population'!J$81/'Updated Population'!I$81)</f>
        <v>0.38402262155772832</v>
      </c>
      <c r="K86" s="1">
        <f ca="1">J86*('Updated Population'!K$81/'Updated Population'!J$81)</f>
        <v>0.37883138826580159</v>
      </c>
    </row>
    <row r="87" spans="1:11" x14ac:dyDescent="0.2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OFFSET(Manawatu_Reference,36,7)</f>
        <v>0.14078471270000001</v>
      </c>
      <c r="D87" s="4">
        <f ca="1">OFFSET(Manawatu_Reference,37,7)</f>
        <v>0.13214385449999999</v>
      </c>
      <c r="E87" s="4">
        <f ca="1">OFFSET(Manawatu_Reference,38,7)</f>
        <v>0.1119809568</v>
      </c>
      <c r="F87" s="4">
        <f ca="1">OFFSET(Manawatu_Reference,39,7)</f>
        <v>9.8321050500000007E-2</v>
      </c>
      <c r="G87" s="4">
        <f ca="1">OFFSET(Manawatu_Reference,40,7)</f>
        <v>8.9537956200000005E-2</v>
      </c>
      <c r="H87" s="4">
        <f ca="1">OFFSET(Manawatu_Reference,41,7)</f>
        <v>8.0655949800000001E-2</v>
      </c>
      <c r="I87" s="1">
        <f ca="1">H87*('Updated Population'!I$81/'Updated Population'!H$81)</f>
        <v>7.9991626507933816E-2</v>
      </c>
      <c r="J87" s="1">
        <f ca="1">I87*('Updated Population'!J$81/'Updated Population'!I$81)</f>
        <v>7.9080245027336668E-2</v>
      </c>
      <c r="K87" s="1">
        <f ca="1">J87*('Updated Population'!K$81/'Updated Population'!J$81)</f>
        <v>7.8011235084499433E-2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OFFSET(Manawatu_Reference,43,7)</f>
        <v>1.4311430845999999</v>
      </c>
      <c r="D89" s="4">
        <f ca="1">OFFSET(Manawatu_Reference,44,7)</f>
        <v>1.2815809909</v>
      </c>
      <c r="E89" s="4">
        <f ca="1">OFFSET(Manawatu_Reference,45,7)</f>
        <v>1.1177029573999999</v>
      </c>
      <c r="F89" s="4">
        <f ca="1">OFFSET(Manawatu_Reference,46,7)</f>
        <v>0.99348433169999995</v>
      </c>
      <c r="G89" s="4">
        <f ca="1">OFFSET(Manawatu_Reference,47,7)</f>
        <v>0.8744608532</v>
      </c>
      <c r="H89" s="4">
        <f ca="1">OFFSET(Manawatu_Reference,48,7)</f>
        <v>0.76216989420000003</v>
      </c>
      <c r="I89" s="1">
        <f ca="1">H89*('Updated Population'!I$81/'Updated Population'!H$81)</f>
        <v>0.75589227656008373</v>
      </c>
      <c r="J89" s="1">
        <f ca="1">I89*('Updated Population'!J$81/'Updated Population'!I$81)</f>
        <v>0.74728004735238096</v>
      </c>
      <c r="K89" s="1">
        <f ca="1">J89*('Updated Population'!K$81/'Updated Population'!J$81)</f>
        <v>0.73717828552264164</v>
      </c>
    </row>
    <row r="90" spans="1:11" x14ac:dyDescent="0.2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OFFSET(Manawatu_Reference,50,7)</f>
        <v>1.32574519E-2</v>
      </c>
      <c r="D90" s="4">
        <f ca="1">OFFSET(Manawatu_Reference,51,7)</f>
        <v>1.42654748E-2</v>
      </c>
      <c r="E90" s="4">
        <f ca="1">OFFSET(Manawatu_Reference,52,7)</f>
        <v>1.4970112799999999E-2</v>
      </c>
      <c r="F90" s="4">
        <f ca="1">OFFSET(Manawatu_Reference,53,7)</f>
        <v>1.4390561E-2</v>
      </c>
      <c r="G90" s="4">
        <f ca="1">OFFSET(Manawatu_Reference,54,7)</f>
        <v>1.3048969400000001E-2</v>
      </c>
      <c r="H90" s="4">
        <f ca="1">OFFSET(Manawatu_Reference,55,7)</f>
        <v>1.15587213E-2</v>
      </c>
      <c r="I90" s="1">
        <f ca="1">H90*('Updated Population'!I$81/'Updated Population'!H$81)</f>
        <v>1.1463517811539047E-2</v>
      </c>
      <c r="J90" s="1">
        <f ca="1">I90*('Updated Population'!J$81/'Updated Population'!I$81)</f>
        <v>1.1332908667907045E-2</v>
      </c>
      <c r="K90" s="1">
        <f ca="1">J90*('Updated Population'!K$81/'Updated Population'!J$81)</f>
        <v>1.117970995129873E-2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OFFSET(Manawatu_Reference,57,7)</f>
        <v>3.3104125999999998E-2</v>
      </c>
      <c r="D91" s="4">
        <f ca="1">OFFSET(Manawatu_Reference,58,7)</f>
        <v>2.7887338399999999E-2</v>
      </c>
      <c r="E91" s="4">
        <f ca="1">OFFSET(Manawatu_Reference,59,7)</f>
        <v>2.2200393799999999E-2</v>
      </c>
      <c r="F91" s="4">
        <f ca="1">OFFSET(Manawatu_Reference,60,7)</f>
        <v>1.8029578099999999E-2</v>
      </c>
      <c r="G91" s="4">
        <f ca="1">OFFSET(Manawatu_Reference,61,7)</f>
        <v>1.43730627E-2</v>
      </c>
      <c r="H91" s="4">
        <f ca="1">OFFSET(Manawatu_Reference,62,7)</f>
        <v>1.1172613600000001E-2</v>
      </c>
      <c r="I91" s="1">
        <f ca="1">H91*('Updated Population'!I$81/'Updated Population'!H$81)</f>
        <v>1.1080590290298235E-2</v>
      </c>
      <c r="J91" s="1">
        <f ca="1">I91*('Updated Population'!J$81/'Updated Population'!I$81)</f>
        <v>1.0954344016462799E-2</v>
      </c>
      <c r="K91" s="1">
        <f ca="1">J91*('Updated Population'!K$81/'Updated Population'!J$81)</f>
        <v>1.0806262752086212E-2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OFFSET(Wellington_Reference,1,7)</f>
        <v>32.378853972000002</v>
      </c>
      <c r="D93" s="4">
        <f ca="1">OFFSET(Wellington_Reference,2,7)</f>
        <v>33.830685123000002</v>
      </c>
      <c r="E93" s="4">
        <f ca="1">OFFSET(Wellington_Reference,3,7)</f>
        <v>33.993501332000001</v>
      </c>
      <c r="F93" s="4">
        <f ca="1">OFFSET(Wellington_Reference,4,7)</f>
        <v>34.066717838000002</v>
      </c>
      <c r="G93" s="4">
        <f ca="1">OFFSET(Wellington_Reference,5,7)</f>
        <v>34.085450879</v>
      </c>
      <c r="H93" s="4">
        <f ca="1">OFFSET(Wellington_Reference,6,7)</f>
        <v>34.033042403000003</v>
      </c>
      <c r="I93" s="1">
        <f ca="1">H93*('Updated Population'!I$92/'Updated Population'!H$92)</f>
        <v>34.258114106745417</v>
      </c>
      <c r="J93" s="1">
        <f ca="1">I93*('Updated Population'!J$92/'Updated Population'!I$92)</f>
        <v>34.374903623594733</v>
      </c>
      <c r="K93" s="1">
        <f ca="1">J93*('Updated Population'!K$92/'Updated Population'!J$92)</f>
        <v>34.417965556391614</v>
      </c>
    </row>
    <row r="94" spans="1:11" x14ac:dyDescent="0.2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OFFSET(Wellington_Reference,8,7)</f>
        <v>3.6392283412999999</v>
      </c>
      <c r="D94" s="4">
        <f ca="1">OFFSET(Wellington_Reference,9,7)</f>
        <v>3.8731623105000001</v>
      </c>
      <c r="E94" s="4">
        <f ca="1">OFFSET(Wellington_Reference,10,7)</f>
        <v>3.9160114251000002</v>
      </c>
      <c r="F94" s="4">
        <f ca="1">OFFSET(Wellington_Reference,11,7)</f>
        <v>4.1103149610000003</v>
      </c>
      <c r="G94" s="4">
        <f ca="1">OFFSET(Wellington_Reference,12,7)</f>
        <v>4.4142268666</v>
      </c>
      <c r="H94" s="4">
        <f ca="1">OFFSET(Wellington_Reference,13,7)</f>
        <v>4.7215930316000003</v>
      </c>
      <c r="I94" s="1">
        <f ca="1">H94*('Updated Population'!I$92/'Updated Population'!H$92)</f>
        <v>4.7528184793701653</v>
      </c>
      <c r="J94" s="1">
        <f ca="1">I94*('Updated Population'!J$92/'Updated Population'!I$92)</f>
        <v>4.7690213378272466</v>
      </c>
      <c r="K94" s="1">
        <f ca="1">J94*('Updated Population'!K$92/'Updated Population'!J$92)</f>
        <v>4.7749955589801294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OFFSET(Wellington_Reference,15,7)</f>
        <v>89.660255981000006</v>
      </c>
      <c r="D95" s="4">
        <f ca="1">OFFSET(Wellington_Reference,16,7)</f>
        <v>94.639987130999998</v>
      </c>
      <c r="E95" s="4">
        <f ca="1">OFFSET(Wellington_Reference,17,7)</f>
        <v>97.052113758999994</v>
      </c>
      <c r="F95" s="4">
        <f ca="1">OFFSET(Wellington_Reference,18,7)</f>
        <v>98.860474457999999</v>
      </c>
      <c r="G95" s="4">
        <f ca="1">OFFSET(Wellington_Reference,19,7)</f>
        <v>99.596492377999994</v>
      </c>
      <c r="H95" s="4">
        <f ca="1">OFFSET(Wellington_Reference,20,7)</f>
        <v>99.877484260000003</v>
      </c>
      <c r="I95" s="1">
        <f ca="1">H95*('Updated Population'!I$92/'Updated Population'!H$92)</f>
        <v>100.53800691565957</v>
      </c>
      <c r="J95" s="1">
        <f ca="1">I95*('Updated Population'!J$92/'Updated Population'!I$92)</f>
        <v>100.88075156342641</v>
      </c>
      <c r="K95" s="1">
        <f ca="1">J95*('Updated Population'!K$92/'Updated Population'!J$92)</f>
        <v>101.00712632193894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OFFSET(Wellington_Reference,22,7)</f>
        <v>45.688922679000001</v>
      </c>
      <c r="D96" s="4">
        <f ca="1">OFFSET(Wellington_Reference,23,7)</f>
        <v>46.728240538999998</v>
      </c>
      <c r="E96" s="4">
        <f ca="1">OFFSET(Wellington_Reference,24,7)</f>
        <v>46.207601717000003</v>
      </c>
      <c r="F96" s="4">
        <f ca="1">OFFSET(Wellington_Reference,25,7)</f>
        <v>45.856724487000001</v>
      </c>
      <c r="G96" s="4">
        <f ca="1">OFFSET(Wellington_Reference,26,7)</f>
        <v>45.248670437000001</v>
      </c>
      <c r="H96" s="4">
        <f ca="1">OFFSET(Wellington_Reference,27,7)</f>
        <v>44.573655440000003</v>
      </c>
      <c r="I96" s="1">
        <f ca="1">H96*('Updated Population'!I$92/'Updated Population'!H$92)</f>
        <v>44.86843568483517</v>
      </c>
      <c r="J96" s="1">
        <f ca="1">I96*('Updated Population'!J$92/'Updated Population'!I$92)</f>
        <v>45.021396904740286</v>
      </c>
      <c r="K96" s="1">
        <f ca="1">J96*('Updated Population'!K$92/'Updated Population'!J$92)</f>
        <v>45.077795851750068</v>
      </c>
    </row>
    <row r="97" spans="1:11" x14ac:dyDescent="0.2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OFFSET(Wellington_Reference,29,7)</f>
        <v>0.76412563649999998</v>
      </c>
      <c r="D97" s="4">
        <f ca="1">OFFSET(Wellington_Reference,30,7)</f>
        <v>0.82882970730000005</v>
      </c>
      <c r="E97" s="4">
        <f ca="1">OFFSET(Wellington_Reference,31,7)</f>
        <v>0.88177437449999996</v>
      </c>
      <c r="F97" s="4">
        <f ca="1">OFFSET(Wellington_Reference,32,7)</f>
        <v>0.91880890299999995</v>
      </c>
      <c r="G97" s="4">
        <f ca="1">OFFSET(Wellington_Reference,33,7)</f>
        <v>0.92690842139999996</v>
      </c>
      <c r="H97" s="4">
        <f ca="1">OFFSET(Wellington_Reference,34,7)</f>
        <v>0.92660349500000005</v>
      </c>
      <c r="I97" s="1">
        <f ca="1">H97*('Updated Population'!I$92/'Updated Population'!H$92)</f>
        <v>0.93273142869592263</v>
      </c>
      <c r="J97" s="1">
        <f ca="1">I97*('Updated Population'!J$92/'Updated Population'!I$92)</f>
        <v>0.93591120831158214</v>
      </c>
      <c r="K97" s="1">
        <f ca="1">J97*('Updated Population'!K$92/'Updated Population'!J$92)</f>
        <v>0.93708363765123837</v>
      </c>
    </row>
    <row r="98" spans="1:11" x14ac:dyDescent="0.2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OFFSET(Wellington_Reference,36,7)</f>
        <v>0.68385273589999995</v>
      </c>
      <c r="D98" s="4">
        <f ca="1">OFFSET(Wellington_Reference,37,7)</f>
        <v>0.68081713330000004</v>
      </c>
      <c r="E98" s="4">
        <f ca="1">OFFSET(Wellington_Reference,38,7)</f>
        <v>0.66818940760000001</v>
      </c>
      <c r="F98" s="4">
        <f ca="1">OFFSET(Wellington_Reference,39,7)</f>
        <v>0.66796934350000003</v>
      </c>
      <c r="G98" s="4">
        <f ca="1">OFFSET(Wellington_Reference,40,7)</f>
        <v>0.65411944529999999</v>
      </c>
      <c r="H98" s="4">
        <f ca="1">OFFSET(Wellington_Reference,41,7)</f>
        <v>0.63178818690000005</v>
      </c>
      <c r="I98" s="1">
        <f ca="1">H98*('Updated Population'!I$92/'Updated Population'!H$92)</f>
        <v>0.63596640999119436</v>
      </c>
      <c r="J98" s="1">
        <f ca="1">I98*('Updated Population'!J$92/'Updated Population'!I$92)</f>
        <v>0.63813448642190018</v>
      </c>
      <c r="K98" s="1">
        <f ca="1">J98*('Updated Population'!K$92/'Updated Population'!J$92)</f>
        <v>0.63893388660845984</v>
      </c>
    </row>
    <row r="99" spans="1:11" x14ac:dyDescent="0.2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5.4457496082999999</v>
      </c>
      <c r="D99" s="4">
        <f ca="1">OFFSET(Wellington_Reference,44,7)</f>
        <v>5.7970040563999996</v>
      </c>
      <c r="E99" s="4">
        <f ca="1">OFFSET(Wellington_Reference,45,7)</f>
        <v>5.7580250529999999</v>
      </c>
      <c r="F99" s="4">
        <f ca="1">OFFSET(Wellington_Reference,46,7)</f>
        <v>5.6142858811999998</v>
      </c>
      <c r="G99" s="4">
        <f ca="1">OFFSET(Wellington_Reference,47,7)</f>
        <v>5.4689339025999999</v>
      </c>
      <c r="H99" s="4">
        <f ca="1">OFFSET(Wellington_Reference,48,7)</f>
        <v>5.2999744542</v>
      </c>
      <c r="I99" s="1">
        <f ca="1">H99*('Updated Population'!I$92/'Updated Population'!H$92)</f>
        <v>5.3350249285621985</v>
      </c>
      <c r="J99" s="1">
        <f ca="1">I99*('Updated Population'!J$92/'Updated Population'!I$92)</f>
        <v>5.3532125900850831</v>
      </c>
      <c r="K99" s="1">
        <f ca="1">J99*('Updated Population'!K$92/'Updated Population'!J$92)</f>
        <v>5.3599186359645374</v>
      </c>
    </row>
    <row r="100" spans="1:11" x14ac:dyDescent="0.2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9.0797274296000001</v>
      </c>
      <c r="D100" s="4">
        <f ca="1">OFFSET(Wellington_Reference,51,7)</f>
        <v>9.3040085975999993</v>
      </c>
      <c r="E100" s="4">
        <f ca="1">OFFSET(Wellington_Reference,52,7)</f>
        <v>8.8628852868999992</v>
      </c>
      <c r="F100" s="4">
        <f ca="1">OFFSET(Wellington_Reference,53,7)</f>
        <v>8.3726417217000009</v>
      </c>
      <c r="G100" s="4">
        <f ca="1">OFFSET(Wellington_Reference,54,7)</f>
        <v>7.8966896970000002</v>
      </c>
      <c r="H100" s="4">
        <f ca="1">OFFSET(Wellington_Reference,55,7)</f>
        <v>7.4243218439999996</v>
      </c>
      <c r="I100" s="1">
        <f ca="1">H100*('Updated Population'!I$92/'Updated Population'!H$92)</f>
        <v>7.473421326402903</v>
      </c>
      <c r="J100" s="1">
        <f ca="1">I100*('Updated Population'!J$92/'Updated Population'!I$92)</f>
        <v>7.4988990063242884</v>
      </c>
      <c r="K100" s="1">
        <f ca="1">J100*('Updated Population'!K$92/'Updated Population'!J$92)</f>
        <v>7.5082929842273787</v>
      </c>
    </row>
    <row r="101" spans="1:11" x14ac:dyDescent="0.2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OFFSET(Wellington_Reference,57,7)</f>
        <v>6.2903593899999999E-2</v>
      </c>
      <c r="D101" s="4">
        <f ca="1">OFFSET(Wellington_Reference,58,7)</f>
        <v>7.4668124899999994E-2</v>
      </c>
      <c r="E101" s="4">
        <f ca="1">OFFSET(Wellington_Reference,59,7)</f>
        <v>8.4516296000000005E-2</v>
      </c>
      <c r="F101" s="4">
        <f ca="1">OFFSET(Wellington_Reference,60,7)</f>
        <v>9.41902399E-2</v>
      </c>
      <c r="G101" s="4">
        <f ca="1">OFFSET(Wellington_Reference,61,7)</f>
        <v>0.1056293497</v>
      </c>
      <c r="H101" s="4">
        <f ca="1">OFFSET(Wellington_Reference,62,7)</f>
        <v>0.1166900371</v>
      </c>
      <c r="I101" s="1">
        <f ca="1">H101*('Updated Population'!I$92/'Updated Population'!H$92)</f>
        <v>0.11746174669766729</v>
      </c>
      <c r="J101" s="1">
        <f ca="1">I101*('Updated Population'!J$92/'Updated Population'!I$92)</f>
        <v>0.11786218615566992</v>
      </c>
      <c r="K101" s="1">
        <f ca="1">J101*('Updated Population'!K$92/'Updated Population'!J$92)</f>
        <v>0.11800983379986708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OFFSET(Wellington_Reference,64,7)</f>
        <v>0.32689731360000002</v>
      </c>
      <c r="D102" s="4">
        <f ca="1">OFFSET(Wellington_Reference,65,7)</f>
        <v>0.33525093989999999</v>
      </c>
      <c r="E102" s="4">
        <f ca="1">OFFSET(Wellington_Reference,66,7)</f>
        <v>0.37054193460000001</v>
      </c>
      <c r="F102" s="4">
        <f ca="1">OFFSET(Wellington_Reference,67,7)</f>
        <v>0.38282474119999998</v>
      </c>
      <c r="G102" s="4">
        <f ca="1">OFFSET(Wellington_Reference,68,7)</f>
        <v>0.35636601680000002</v>
      </c>
      <c r="H102" s="4">
        <f ca="1">OFFSET(Wellington_Reference,69,7)</f>
        <v>0.32363022759999999</v>
      </c>
      <c r="I102" s="1">
        <f ca="1">H102*('Updated Population'!I$92/'Updated Population'!H$92)</f>
        <v>0.32577050074534264</v>
      </c>
      <c r="J102" s="1">
        <f ca="1">I102*('Updated Population'!J$92/'Updated Population'!I$92)</f>
        <v>0.32688108667156318</v>
      </c>
      <c r="K102" s="1">
        <f ca="1">J102*('Updated Population'!K$92/'Updated Population'!J$92)</f>
        <v>0.3272905752781628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OFFSET(Nelson_Reference,0,7)</f>
        <v>7.2640217022</v>
      </c>
      <c r="C104" s="4">
        <f ca="1">OFFSET(Nelson_Reference,1,7)</f>
        <v>6.9012564692999998</v>
      </c>
      <c r="D104" s="4">
        <f ca="1">OFFSET(Nelson_Reference,2,7)</f>
        <v>7.2513576973999996</v>
      </c>
      <c r="E104" s="4">
        <f ca="1">OFFSET(Nelson_Reference,3,7)</f>
        <v>7.3093114993999997</v>
      </c>
      <c r="F104" s="4">
        <f ca="1">OFFSET(Nelson_Reference,4,7)</f>
        <v>7.1925722921000004</v>
      </c>
      <c r="G104" s="4">
        <f ca="1">OFFSET(Nelson_Reference,5,7)</f>
        <v>6.9288820534999997</v>
      </c>
      <c r="H104" s="4">
        <f ca="1">OFFSET(Nelson_Reference,6,7)</f>
        <v>6.6244057433999997</v>
      </c>
      <c r="I104" s="1">
        <f ca="1">H104*('Updated Population'!I$103/'Updated Population'!H$103)</f>
        <v>6.6143208400174567</v>
      </c>
      <c r="J104" s="1">
        <f ca="1">I104*('Updated Population'!J$103/'Updated Population'!I$103)</f>
        <v>6.583539627065476</v>
      </c>
      <c r="K104" s="1">
        <f ca="1">J104*('Updated Population'!K$103/'Updated Population'!J$103)</f>
        <v>6.539128099083821</v>
      </c>
    </row>
    <row r="105" spans="1:11" x14ac:dyDescent="0.2">
      <c r="A105" t="str">
        <f ca="1">OFFSET(Nelson_Reference,7,2)</f>
        <v>Cyclist</v>
      </c>
      <c r="B105" s="4">
        <f ca="1">OFFSET(Nelson_Reference,7,7)</f>
        <v>1.0417220854</v>
      </c>
      <c r="C105" s="4">
        <f ca="1">OFFSET(Nelson_Reference,8,7)</f>
        <v>0.96655646019999997</v>
      </c>
      <c r="D105" s="4">
        <f ca="1">OFFSET(Nelson_Reference,9,7)</f>
        <v>1.0085271163</v>
      </c>
      <c r="E105" s="4">
        <f ca="1">OFFSET(Nelson_Reference,10,7)</f>
        <v>1.0257056428</v>
      </c>
      <c r="F105" s="4">
        <f ca="1">OFFSET(Nelson_Reference,11,7)</f>
        <v>1.0378578899999999</v>
      </c>
      <c r="G105" s="4">
        <f ca="1">OFFSET(Nelson_Reference,12,7)</f>
        <v>1.0592459163000001</v>
      </c>
      <c r="H105" s="4">
        <f ca="1">OFFSET(Nelson_Reference,13,7)</f>
        <v>1.0812804993</v>
      </c>
      <c r="I105" s="1">
        <f ca="1">H105*('Updated Population'!I$103/'Updated Population'!H$103)</f>
        <v>1.0796343728718698</v>
      </c>
      <c r="J105" s="1">
        <f ca="1">I105*('Updated Population'!J$103/'Updated Population'!I$103)</f>
        <v>1.0746100542236745</v>
      </c>
      <c r="K105" s="1">
        <f ca="1">J105*('Updated Population'!K$103/'Updated Population'!J$103)</f>
        <v>1.0673609029773874</v>
      </c>
    </row>
    <row r="106" spans="1:11" x14ac:dyDescent="0.2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OFFSET(Nelson_Reference,15,7)</f>
        <v>22.286896652999999</v>
      </c>
      <c r="D106" s="4">
        <f ca="1">OFFSET(Nelson_Reference,16,7)</f>
        <v>22.645788286999998</v>
      </c>
      <c r="E106" s="4">
        <f ca="1">OFFSET(Nelson_Reference,17,7)</f>
        <v>22.039748232000001</v>
      </c>
      <c r="F106" s="4">
        <f ca="1">OFFSET(Nelson_Reference,18,7)</f>
        <v>21.365038666</v>
      </c>
      <c r="G106" s="4">
        <f ca="1">OFFSET(Nelson_Reference,19,7)</f>
        <v>20.594835529000001</v>
      </c>
      <c r="H106" s="4">
        <f ca="1">OFFSET(Nelson_Reference,20,7)</f>
        <v>19.826039128000001</v>
      </c>
      <c r="I106" s="1">
        <f ca="1">H106*('Updated Population'!I$103/'Updated Population'!H$103)</f>
        <v>19.795856241140513</v>
      </c>
      <c r="J106" s="1">
        <f ca="1">I106*('Updated Population'!J$103/'Updated Population'!I$103)</f>
        <v>19.703731821829198</v>
      </c>
      <c r="K106" s="1">
        <f ca="1">J106*('Updated Population'!K$103/'Updated Population'!J$103)</f>
        <v>19.570813530648767</v>
      </c>
    </row>
    <row r="107" spans="1:11" x14ac:dyDescent="0.2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OFFSET(Nelson_Reference,22,7)</f>
        <v>10.841325085999999</v>
      </c>
      <c r="D107" s="4">
        <f ca="1">OFFSET(Nelson_Reference,23,7)</f>
        <v>10.923793422999999</v>
      </c>
      <c r="E107" s="4">
        <f ca="1">OFFSET(Nelson_Reference,24,7)</f>
        <v>10.586754925999999</v>
      </c>
      <c r="F107" s="4">
        <f ca="1">OFFSET(Nelson_Reference,25,7)</f>
        <v>10.117222745999999</v>
      </c>
      <c r="G107" s="4">
        <f ca="1">OFFSET(Nelson_Reference,26,7)</f>
        <v>9.6126044049000008</v>
      </c>
      <c r="H107" s="4">
        <f ca="1">OFFSET(Nelson_Reference,27,7)</f>
        <v>9.1333959613999998</v>
      </c>
      <c r="I107" s="1">
        <f ca="1">H107*('Updated Population'!I$103/'Updated Population'!H$103)</f>
        <v>9.1194914061246841</v>
      </c>
      <c r="J107" s="1">
        <f ca="1">I107*('Updated Population'!J$103/'Updated Population'!I$103)</f>
        <v>9.0770518248320204</v>
      </c>
      <c r="K107" s="1">
        <f ca="1">J107*('Updated Population'!K$103/'Updated Population'!J$103)</f>
        <v>9.0158194538059284</v>
      </c>
    </row>
    <row r="108" spans="1:11" x14ac:dyDescent="0.2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OFFSET(Nelson_Reference,29,7)</f>
        <v>9.2978975199999994E-2</v>
      </c>
      <c r="D108" s="4">
        <f ca="1">OFFSET(Nelson_Reference,30,7)</f>
        <v>0.1113442169</v>
      </c>
      <c r="E108" s="4">
        <f ca="1">OFFSET(Nelson_Reference,31,7)</f>
        <v>0.11730906319999999</v>
      </c>
      <c r="F108" s="4">
        <f ca="1">OFFSET(Nelson_Reference,32,7)</f>
        <v>0.11877275850000001</v>
      </c>
      <c r="G108" s="4">
        <f ca="1">OFFSET(Nelson_Reference,33,7)</f>
        <v>0.1156089824</v>
      </c>
      <c r="H108" s="4">
        <f ca="1">OFFSET(Nelson_Reference,34,7)</f>
        <v>0.11197131</v>
      </c>
      <c r="I108" s="1">
        <f ca="1">H108*('Updated Population'!I$103/'Updated Population'!H$103)</f>
        <v>0.11180084643138605</v>
      </c>
      <c r="J108" s="1">
        <f ca="1">I108*('Updated Population'!J$103/'Updated Population'!I$103)</f>
        <v>0.11128055632973335</v>
      </c>
      <c r="K108" s="1">
        <f ca="1">J108*('Updated Population'!K$103/'Updated Population'!J$103)</f>
        <v>0.11052987511245405</v>
      </c>
    </row>
    <row r="109" spans="1:11" x14ac:dyDescent="0.2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OFFSET(Nelson_Reference,36,7)</f>
        <v>0.56662278830000001</v>
      </c>
      <c r="D109" s="4">
        <f ca="1">OFFSET(Nelson_Reference,37,7)</f>
        <v>0.58082024659999998</v>
      </c>
      <c r="E109" s="4">
        <f ca="1">OFFSET(Nelson_Reference,38,7)</f>
        <v>0.55455774609999997</v>
      </c>
      <c r="F109" s="4">
        <f ca="1">OFFSET(Nelson_Reference,39,7)</f>
        <v>0.53067045079999997</v>
      </c>
      <c r="G109" s="4">
        <f ca="1">OFFSET(Nelson_Reference,40,7)</f>
        <v>0.50136485119999996</v>
      </c>
      <c r="H109" s="4">
        <f ca="1">OFFSET(Nelson_Reference,41,7)</f>
        <v>0.46994513230000001</v>
      </c>
      <c r="I109" s="1">
        <f ca="1">H109*('Updated Population'!I$103/'Updated Population'!H$103)</f>
        <v>0.46922969435161294</v>
      </c>
      <c r="J109" s="1">
        <f ca="1">I109*('Updated Population'!J$103/'Updated Population'!I$103)</f>
        <v>0.46704602961949937</v>
      </c>
      <c r="K109" s="1">
        <f ca="1">J109*('Updated Population'!K$103/'Updated Population'!J$103)</f>
        <v>0.46389541019770775</v>
      </c>
    </row>
    <row r="110" spans="1:11" x14ac:dyDescent="0.2">
      <c r="A110" t="str">
        <f ca="1">OFFSET(Nelson_Reference,42,2)</f>
        <v>Local Train</v>
      </c>
      <c r="B110" s="4">
        <f ca="1">OFFSET(Nelson_Reference,42,7)</f>
        <v>9.9048728700000005E-2</v>
      </c>
      <c r="C110" s="4">
        <f ca="1">OFFSET(Nelson_Reference,43,7)</f>
        <v>7.9077060699999993E-2</v>
      </c>
      <c r="D110" s="4">
        <f ca="1">OFFSET(Nelson_Reference,44,7)</f>
        <v>6.23362451E-2</v>
      </c>
      <c r="E110" s="4">
        <f ca="1">OFFSET(Nelson_Reference,45,7)</f>
        <v>3.9484181799999997E-2</v>
      </c>
      <c r="F110" s="4">
        <f ca="1">OFFSET(Nelson_Reference,46,7)</f>
        <v>2.6431370100000001E-2</v>
      </c>
      <c r="G110" s="4">
        <f ca="1">OFFSET(Nelson_Reference,47,7)</f>
        <v>1.84798306E-2</v>
      </c>
      <c r="H110" s="4">
        <f ca="1">OFFSET(Nelson_Reference,48,7)</f>
        <v>1.1526011100000001E-2</v>
      </c>
      <c r="I110" s="1">
        <f ca="1">H110*('Updated Population'!I$103/'Updated Population'!H$103)</f>
        <v>1.1508464060637952E-2</v>
      </c>
      <c r="J110" s="1">
        <f ca="1">I110*('Updated Population'!J$103/'Updated Population'!I$103)</f>
        <v>1.1454906863826832E-2</v>
      </c>
      <c r="K110" s="1">
        <f ca="1">J110*('Updated Population'!K$103/'Updated Population'!J$103)</f>
        <v>1.1377633854848704E-2</v>
      </c>
    </row>
    <row r="111" spans="1:11" x14ac:dyDescent="0.2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OFFSET(Nelson_Reference,50,7)</f>
        <v>0.7915301776</v>
      </c>
      <c r="D111" s="4">
        <f ca="1">OFFSET(Nelson_Reference,51,7)</f>
        <v>0.7435128782</v>
      </c>
      <c r="E111" s="4">
        <f ca="1">OFFSET(Nelson_Reference,52,7)</f>
        <v>0.7158157678</v>
      </c>
      <c r="F111" s="4">
        <f ca="1">OFFSET(Nelson_Reference,53,7)</f>
        <v>0.67445609090000003</v>
      </c>
      <c r="G111" s="4">
        <f ca="1">OFFSET(Nelson_Reference,54,7)</f>
        <v>0.67968248099999995</v>
      </c>
      <c r="H111" s="4">
        <f ca="1">OFFSET(Nelson_Reference,55,7)</f>
        <v>0.68899622540000005</v>
      </c>
      <c r="I111" s="1">
        <f ca="1">H111*('Updated Population'!I$103/'Updated Population'!H$103)</f>
        <v>0.68794730710706209</v>
      </c>
      <c r="J111" s="1">
        <f ca="1">I111*('Updated Population'!J$103/'Updated Population'!I$103)</f>
        <v>0.6847457913245667</v>
      </c>
      <c r="K111" s="1">
        <f ca="1">J111*('Updated Population'!K$103/'Updated Population'!J$103)</f>
        <v>0.68012660338093966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OFFSET(Nelson_Reference,57,7)</f>
        <v>0.475105318</v>
      </c>
      <c r="D113" s="4">
        <f ca="1">OFFSET(Nelson_Reference,58,7)</f>
        <v>0.4873547131</v>
      </c>
      <c r="E113" s="4">
        <f ca="1">OFFSET(Nelson_Reference,59,7)</f>
        <v>0.50049047140000003</v>
      </c>
      <c r="F113" s="4">
        <f ca="1">OFFSET(Nelson_Reference,60,7)</f>
        <v>0.50239144170000005</v>
      </c>
      <c r="G113" s="4">
        <f ca="1">OFFSET(Nelson_Reference,61,7)</f>
        <v>0.51558045269999997</v>
      </c>
      <c r="H113" s="4">
        <f ca="1">OFFSET(Nelson_Reference,62,7)</f>
        <v>0.52510807520000002</v>
      </c>
      <c r="I113" s="1">
        <f ca="1">H113*('Updated Population'!I$103/'Updated Population'!H$103)</f>
        <v>0.52430865795279091</v>
      </c>
      <c r="J113" s="1">
        <f ca="1">I113*('Updated Population'!J$103/'Updated Population'!I$103)</f>
        <v>0.52186867101484713</v>
      </c>
      <c r="K113" s="1">
        <f ca="1">J113*('Updated Population'!K$103/'Updated Population'!J$103)</f>
        <v>0.51834822663410063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OFFSET(West_Coast_Reference,1,7)</f>
        <v>1.010258493</v>
      </c>
      <c r="D115" s="4">
        <f ca="1">OFFSET(West_Coast_Reference,2,7)</f>
        <v>0.94150144449999995</v>
      </c>
      <c r="E115" s="4">
        <f ca="1">OFFSET(West_Coast_Reference,3,7)</f>
        <v>0.86646035669999999</v>
      </c>
      <c r="F115" s="4">
        <f ca="1">OFFSET(West_Coast_Reference,4,7)</f>
        <v>0.79904169420000004</v>
      </c>
      <c r="G115" s="4">
        <f ca="1">OFFSET(West_Coast_Reference,5,7)</f>
        <v>0.74425630769999995</v>
      </c>
      <c r="H115" s="4">
        <f ca="1">OFFSET(West_Coast_Reference,6,7)</f>
        <v>0.70358593709999995</v>
      </c>
      <c r="I115" s="1">
        <f ca="1">H115*('Updated Population'!I$114/'Updated Population'!H$114)</f>
        <v>0.68549152978315464</v>
      </c>
      <c r="J115" s="1">
        <f ca="1">I115*('Updated Population'!J$114/'Updated Population'!I$114)</f>
        <v>0.66573654244233871</v>
      </c>
      <c r="K115" s="1">
        <f ca="1">J115*('Updated Population'!K$114/'Updated Population'!J$114)</f>
        <v>0.64516138894492381</v>
      </c>
    </row>
    <row r="116" spans="1:11" x14ac:dyDescent="0.2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OFFSET(West_Coast_Reference,8,7)</f>
        <v>0.15610228670000001</v>
      </c>
      <c r="D116" s="4">
        <f ca="1">OFFSET(West_Coast_Reference,9,7)</f>
        <v>0.1469060224</v>
      </c>
      <c r="E116" s="4">
        <f ca="1">OFFSET(West_Coast_Reference,10,7)</f>
        <v>0.13270942499999999</v>
      </c>
      <c r="F116" s="4">
        <f ca="1">OFFSET(West_Coast_Reference,11,7)</f>
        <v>0.11794603250000001</v>
      </c>
      <c r="G116" s="4">
        <f ca="1">OFFSET(West_Coast_Reference,12,7)</f>
        <v>0.10757323570000001</v>
      </c>
      <c r="H116" s="4">
        <f ca="1">OFFSET(West_Coast_Reference,13,7)</f>
        <v>9.7932925500000004E-2</v>
      </c>
      <c r="I116" s="1">
        <f ca="1">H116*('Updated Population'!I$114/'Updated Population'!H$114)</f>
        <v>9.5414344399543174E-2</v>
      </c>
      <c r="J116" s="1">
        <f ca="1">I116*('Updated Population'!J$114/'Updated Population'!I$114)</f>
        <v>9.2664625279977264E-2</v>
      </c>
      <c r="K116" s="1">
        <f ca="1">J116*('Updated Population'!K$114/'Updated Population'!J$114)</f>
        <v>8.9800746301783585E-2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OFFSET(West_Coast_Reference,15,7)</f>
        <v>4.6618041889999997</v>
      </c>
      <c r="D117" s="4">
        <f ca="1">OFFSET(West_Coast_Reference,16,7)</f>
        <v>4.4690901327999999</v>
      </c>
      <c r="E117" s="4">
        <f ca="1">OFFSET(West_Coast_Reference,17,7)</f>
        <v>4.2228281684000004</v>
      </c>
      <c r="F117" s="4">
        <f ca="1">OFFSET(West_Coast_Reference,18,7)</f>
        <v>3.9289435298000002</v>
      </c>
      <c r="G117" s="4">
        <f ca="1">OFFSET(West_Coast_Reference,19,7)</f>
        <v>3.7410029504</v>
      </c>
      <c r="H117" s="4">
        <f ca="1">OFFSET(West_Coast_Reference,20,7)</f>
        <v>3.5716228928999998</v>
      </c>
      <c r="I117" s="1">
        <f ca="1">H117*('Updated Population'!I$114/'Updated Population'!H$114)</f>
        <v>3.4797700061401033</v>
      </c>
      <c r="J117" s="1">
        <f ca="1">I117*('Updated Population'!J$114/'Updated Population'!I$114)</f>
        <v>3.3794874943459829</v>
      </c>
      <c r="K117" s="1">
        <f ca="1">J117*('Updated Population'!K$114/'Updated Population'!J$114)</f>
        <v>3.2750415618999882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OFFSET(West_Coast_Reference,22,7)</f>
        <v>3.0998713610999999</v>
      </c>
      <c r="D118" s="4">
        <f ca="1">OFFSET(West_Coast_Reference,23,7)</f>
        <v>3.0155308184999998</v>
      </c>
      <c r="E118" s="4">
        <f ca="1">OFFSET(West_Coast_Reference,24,7)</f>
        <v>2.9222337990999998</v>
      </c>
      <c r="F118" s="4">
        <f ca="1">OFFSET(West_Coast_Reference,25,7)</f>
        <v>2.7394488368999999</v>
      </c>
      <c r="G118" s="4">
        <f ca="1">OFFSET(West_Coast_Reference,26,7)</f>
        <v>2.5488300141</v>
      </c>
      <c r="H118" s="4">
        <f ca="1">OFFSET(West_Coast_Reference,27,7)</f>
        <v>2.3730853270000001</v>
      </c>
      <c r="I118" s="1">
        <f ca="1">H118*('Updated Population'!I$114/'Updated Population'!H$114)</f>
        <v>2.3120557210340924</v>
      </c>
      <c r="J118" s="1">
        <f ca="1">I118*('Updated Population'!J$114/'Updated Population'!I$114)</f>
        <v>2.2454252383573214</v>
      </c>
      <c r="K118" s="1">
        <f ca="1">J118*('Updated Population'!K$114/'Updated Population'!J$114)</f>
        <v>2.1760284635059954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OFFSET(West_Coast_Reference,29,7)</f>
        <v>7.1300211299999999E-2</v>
      </c>
      <c r="D119" s="4">
        <f ca="1">OFFSET(West_Coast_Reference,30,7)</f>
        <v>8.04136872E-2</v>
      </c>
      <c r="E119" s="4">
        <f ca="1">OFFSET(West_Coast_Reference,31,7)</f>
        <v>7.9303467099999997E-2</v>
      </c>
      <c r="F119" s="4">
        <f ca="1">OFFSET(West_Coast_Reference,32,7)</f>
        <v>7.3634606300000002E-2</v>
      </c>
      <c r="G119" s="4">
        <f ca="1">OFFSET(West_Coast_Reference,33,7)</f>
        <v>6.9644723300000003E-2</v>
      </c>
      <c r="H119" s="4">
        <f ca="1">OFFSET(West_Coast_Reference,34,7)</f>
        <v>6.5098349099999994E-2</v>
      </c>
      <c r="I119" s="1">
        <f ca="1">H119*('Updated Population'!I$114/'Updated Population'!H$114)</f>
        <v>6.342418823043422E-2</v>
      </c>
      <c r="J119" s="1">
        <f ca="1">I119*('Updated Population'!J$114/'Updated Population'!I$114)</f>
        <v>6.1596384412070326E-2</v>
      </c>
      <c r="K119" s="1">
        <f ca="1">J119*('Updated Population'!K$114/'Updated Population'!J$114)</f>
        <v>5.9692695815505285E-2</v>
      </c>
    </row>
    <row r="120" spans="1:11" x14ac:dyDescent="0.2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OFFSET(West_Coast_Reference,36,7)</f>
        <v>1.0686040500000001E-2</v>
      </c>
      <c r="D120" s="4">
        <f ca="1">OFFSET(West_Coast_Reference,37,7)</f>
        <v>1.13873879E-2</v>
      </c>
      <c r="E120" s="4">
        <f ca="1">OFFSET(West_Coast_Reference,38,7)</f>
        <v>1.1846021700000001E-2</v>
      </c>
      <c r="F120" s="4">
        <f ca="1">OFFSET(West_Coast_Reference,39,7)</f>
        <v>1.25314299E-2</v>
      </c>
      <c r="G120" s="4">
        <f ca="1">OFFSET(West_Coast_Reference,40,7)</f>
        <v>1.33459232E-2</v>
      </c>
      <c r="H120" s="4">
        <f ca="1">OFFSET(West_Coast_Reference,41,7)</f>
        <v>1.3592270300000001E-2</v>
      </c>
      <c r="I120" s="1">
        <f ca="1">H120*('Updated Population'!I$114/'Updated Population'!H$114)</f>
        <v>1.3242712325344371E-2</v>
      </c>
      <c r="J120" s="1">
        <f ca="1">I120*('Updated Population'!J$114/'Updated Population'!I$114)</f>
        <v>1.286107432840515E-2</v>
      </c>
      <c r="K120" s="1">
        <f ca="1">J120*('Updated Population'!K$114/'Updated Population'!J$114)</f>
        <v>1.2463591898677302E-2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OFFSET(West_Coast_Reference,43,7)</f>
        <v>0.15531685789999999</v>
      </c>
      <c r="D122" s="4">
        <f ca="1">OFFSET(West_Coast_Reference,44,7)</f>
        <v>0.13992436890000001</v>
      </c>
      <c r="E122" s="4">
        <f ca="1">OFFSET(West_Coast_Reference,45,7)</f>
        <v>0.1271319242</v>
      </c>
      <c r="F122" s="4">
        <f ca="1">OFFSET(West_Coast_Reference,46,7)</f>
        <v>0.1145712757</v>
      </c>
      <c r="G122" s="4">
        <f ca="1">OFFSET(West_Coast_Reference,47,7)</f>
        <v>0.102495658</v>
      </c>
      <c r="H122" s="4">
        <f ca="1">OFFSET(West_Coast_Reference,48,7)</f>
        <v>9.2688732999999995E-2</v>
      </c>
      <c r="I122" s="1">
        <f ca="1">H122*('Updated Population'!I$114/'Updated Population'!H$114)</f>
        <v>9.0305018942983609E-2</v>
      </c>
      <c r="J122" s="1">
        <f ca="1">I122*('Updated Population'!J$114/'Updated Population'!I$114)</f>
        <v>8.7702544034803306E-2</v>
      </c>
      <c r="K122" s="1">
        <f ca="1">J122*('Updated Population'!K$114/'Updated Population'!J$114)</f>
        <v>8.4992022393599945E-2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OFFSET(West_Coast_Reference,50,7)</f>
        <v>3.1276155E-3</v>
      </c>
      <c r="D124" s="4">
        <f ca="1">OFFSET(West_Coast_Reference,51,7)</f>
        <v>2.8600858999999999E-3</v>
      </c>
      <c r="E124" s="4">
        <f ca="1">OFFSET(West_Coast_Reference,52,7)</f>
        <v>2.3069789999999998E-3</v>
      </c>
      <c r="F124" s="4">
        <f ca="1">OFFSET(West_Coast_Reference,53,7)</f>
        <v>1.9677732E-3</v>
      </c>
      <c r="G124" s="4">
        <f ca="1">OFFSET(West_Coast_Reference,54,7)</f>
        <v>1.8462362000000001E-3</v>
      </c>
      <c r="H124" s="4">
        <f ca="1">OFFSET(West_Coast_Reference,55,7)</f>
        <v>1.6911064000000001E-3</v>
      </c>
      <c r="I124" s="1">
        <f ca="1">H124*('Updated Population'!I$114/'Updated Population'!H$114)</f>
        <v>1.6476155250347508E-3</v>
      </c>
      <c r="J124" s="1">
        <f ca="1">I124*('Updated Population'!J$114/'Updated Population'!I$114)</f>
        <v>1.6001333572391988E-3</v>
      </c>
      <c r="K124" s="1">
        <f ca="1">J124*('Updated Population'!K$114/'Updated Population'!J$114)</f>
        <v>1.5506798762559436E-3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OFFSET(Canterbury_Reference,1,7)</f>
        <v>26.056358703000001</v>
      </c>
      <c r="D126" s="4">
        <f ca="1">OFFSET(Canterbury_Reference,2,7)</f>
        <v>26.603350751000001</v>
      </c>
      <c r="E126" s="4">
        <f ca="1">OFFSET(Canterbury_Reference,3,7)</f>
        <v>25.718800929</v>
      </c>
      <c r="F126" s="4">
        <f ca="1">OFFSET(Canterbury_Reference,4,7)</f>
        <v>24.804930638999998</v>
      </c>
      <c r="G126" s="4">
        <f ca="1">OFFSET(Canterbury_Reference,5,7)</f>
        <v>23.900766939</v>
      </c>
      <c r="H126" s="4">
        <f ca="1">OFFSET(Canterbury_Reference,6,7)</f>
        <v>23.100767208000001</v>
      </c>
      <c r="I126" s="1">
        <f ca="1">H126*('Updated Population'!I$125/'Updated Population'!H$125)</f>
        <v>23.685201090357268</v>
      </c>
      <c r="J126" s="1">
        <f ca="1">I126*('Updated Population'!J$125/'Updated Population'!I$125)</f>
        <v>24.207119261508666</v>
      </c>
      <c r="K126" s="1">
        <f ca="1">J126*('Updated Population'!K$125/'Updated Population'!J$125)</f>
        <v>24.687369210437186</v>
      </c>
    </row>
    <row r="127" spans="1:11" x14ac:dyDescent="0.2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OFFSET(Canterbury_Reference,8,7)</f>
        <v>7.2833591557000004</v>
      </c>
      <c r="D127" s="4">
        <f ca="1">OFFSET(Canterbury_Reference,9,7)</f>
        <v>7.5770471836000004</v>
      </c>
      <c r="E127" s="4">
        <f ca="1">OFFSET(Canterbury_Reference,10,7)</f>
        <v>7.3762046872000004</v>
      </c>
      <c r="F127" s="4">
        <f ca="1">OFFSET(Canterbury_Reference,11,7)</f>
        <v>7.2974324459000002</v>
      </c>
      <c r="G127" s="4">
        <f ca="1">OFFSET(Canterbury_Reference,12,7)</f>
        <v>7.2946660628000002</v>
      </c>
      <c r="H127" s="4">
        <f ca="1">OFFSET(Canterbury_Reference,13,7)</f>
        <v>7.3229312127000004</v>
      </c>
      <c r="I127" s="1">
        <f ca="1">H127*('Updated Population'!I$125/'Updated Population'!H$125)</f>
        <v>7.5081964500117442</v>
      </c>
      <c r="J127" s="1">
        <f ca="1">I127*('Updated Population'!J$125/'Updated Population'!I$125)</f>
        <v>7.6736442393248323</v>
      </c>
      <c r="K127" s="1">
        <f ca="1">J127*('Updated Population'!K$125/'Updated Population'!J$125)</f>
        <v>7.8258832238243743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OFFSET(Canterbury_Reference,15,7)</f>
        <v>114.41472723</v>
      </c>
      <c r="D128" s="4">
        <f ca="1">OFFSET(Canterbury_Reference,16,7)</f>
        <v>123.38365906</v>
      </c>
      <c r="E128" s="4">
        <f ca="1">OFFSET(Canterbury_Reference,17,7)</f>
        <v>126.94677208</v>
      </c>
      <c r="F128" s="4">
        <f ca="1">OFFSET(Canterbury_Reference,18,7)</f>
        <v>129.88105711</v>
      </c>
      <c r="G128" s="4">
        <f ca="1">OFFSET(Canterbury_Reference,19,7)</f>
        <v>130.88052646</v>
      </c>
      <c r="H128" s="4">
        <f ca="1">OFFSET(Canterbury_Reference,20,7)</f>
        <v>131.38892963000001</v>
      </c>
      <c r="I128" s="1">
        <f ca="1">H128*('Updated Population'!I$125/'Updated Population'!H$125)</f>
        <v>134.71298123188075</v>
      </c>
      <c r="J128" s="1">
        <f ca="1">I128*('Updated Population'!J$125/'Updated Population'!I$125)</f>
        <v>137.68146575209536</v>
      </c>
      <c r="K128" s="1">
        <f ca="1">J128*('Updated Population'!K$125/'Updated Population'!J$125)</f>
        <v>140.41295627690911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OFFSET(Canterbury_Reference,22,7)</f>
        <v>52.086145055000003</v>
      </c>
      <c r="D129" s="4">
        <f ca="1">OFFSET(Canterbury_Reference,23,7)</f>
        <v>54.454959332999998</v>
      </c>
      <c r="E129" s="4">
        <f ca="1">OFFSET(Canterbury_Reference,24,7)</f>
        <v>54.90663911</v>
      </c>
      <c r="F129" s="4">
        <f ca="1">OFFSET(Canterbury_Reference,25,7)</f>
        <v>55.242772422999998</v>
      </c>
      <c r="G129" s="4">
        <f ca="1">OFFSET(Canterbury_Reference,26,7)</f>
        <v>55.397316351999997</v>
      </c>
      <c r="H129" s="4">
        <f ca="1">OFFSET(Canterbury_Reference,27,7)</f>
        <v>55.463885894999997</v>
      </c>
      <c r="I129" s="1">
        <f ca="1">H129*('Updated Population'!I$125/'Updated Population'!H$125)</f>
        <v>56.867084926113115</v>
      </c>
      <c r="J129" s="1">
        <f ca="1">I129*('Updated Population'!J$125/'Updated Population'!I$125)</f>
        <v>58.120186592850985</v>
      </c>
      <c r="K129" s="1">
        <f ca="1">J129*('Updated Population'!K$125/'Updated Population'!J$125)</f>
        <v>59.273244763110654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OFFSET(Canterbury_Reference,29,7)</f>
        <v>0.89401521880000001</v>
      </c>
      <c r="D130" s="4">
        <f ca="1">OFFSET(Canterbury_Reference,30,7)</f>
        <v>0.96134291930000004</v>
      </c>
      <c r="E130" s="4">
        <f ca="1">OFFSET(Canterbury_Reference,31,7)</f>
        <v>0.97067354459999999</v>
      </c>
      <c r="F130" s="4">
        <f ca="1">OFFSET(Canterbury_Reference,32,7)</f>
        <v>0.98412699400000003</v>
      </c>
      <c r="G130" s="4">
        <f ca="1">OFFSET(Canterbury_Reference,33,7)</f>
        <v>0.97279874909999997</v>
      </c>
      <c r="H130" s="4">
        <f ca="1">OFFSET(Canterbury_Reference,34,7)</f>
        <v>0.95652053199999998</v>
      </c>
      <c r="I130" s="1">
        <f ca="1">H130*('Updated Population'!I$125/'Updated Population'!H$125)</f>
        <v>0.98071985850018673</v>
      </c>
      <c r="J130" s="1">
        <f ca="1">I130*('Updated Population'!J$125/'Updated Population'!I$125)</f>
        <v>1.0023306319535168</v>
      </c>
      <c r="K130" s="1">
        <f ca="1">J130*('Updated Population'!K$125/'Updated Population'!J$125)</f>
        <v>1.0222160726622997</v>
      </c>
    </row>
    <row r="131" spans="1:11" x14ac:dyDescent="0.2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OFFSET(Canterbury_Reference,36,7)</f>
        <v>0.39394096499999998</v>
      </c>
      <c r="D131" s="4">
        <f ca="1">OFFSET(Canterbury_Reference,37,7)</f>
        <v>0.41237097169999998</v>
      </c>
      <c r="E131" s="4">
        <f ca="1">OFFSET(Canterbury_Reference,38,7)</f>
        <v>0.41158972539999999</v>
      </c>
      <c r="F131" s="4">
        <f ca="1">OFFSET(Canterbury_Reference,39,7)</f>
        <v>0.41637757860000002</v>
      </c>
      <c r="G131" s="4">
        <f ca="1">OFFSET(Canterbury_Reference,40,7)</f>
        <v>0.43006679079999999</v>
      </c>
      <c r="H131" s="4">
        <f ca="1">OFFSET(Canterbury_Reference,41,7)</f>
        <v>0.4400229007</v>
      </c>
      <c r="I131" s="1">
        <f ca="1">H131*('Updated Population'!I$125/'Updated Population'!H$125)</f>
        <v>0.45115518431061313</v>
      </c>
      <c r="J131" s="1">
        <f ca="1">I131*('Updated Population'!J$125/'Updated Population'!I$125)</f>
        <v>0.46109667004267774</v>
      </c>
      <c r="K131" s="1">
        <f ca="1">J131*('Updated Population'!K$125/'Updated Population'!J$125)</f>
        <v>0.47024446040331008</v>
      </c>
    </row>
    <row r="132" spans="1:11" x14ac:dyDescent="0.2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6.6416035999999996E-3</v>
      </c>
      <c r="D132" s="4">
        <f ca="1">OFFSET(Canterbury_Reference,44,7)</f>
        <v>5.4866016E-3</v>
      </c>
      <c r="E132" s="4">
        <f ca="1">OFFSET(Canterbury_Reference,45,7)</f>
        <v>4.6699460999999999E-3</v>
      </c>
      <c r="F132" s="4">
        <f ca="1">OFFSET(Canterbury_Reference,46,7)</f>
        <v>4.0835793E-3</v>
      </c>
      <c r="G132" s="4">
        <f ca="1">OFFSET(Canterbury_Reference,47,7)</f>
        <v>3.2163302E-3</v>
      </c>
      <c r="H132" s="4">
        <f ca="1">OFFSET(Canterbury_Reference,48,7)</f>
        <v>2.4807091999999998E-3</v>
      </c>
      <c r="I132" s="1">
        <f ca="1">H132*('Updated Population'!I$125/'Updated Population'!H$125)</f>
        <v>2.5434694752627758E-3</v>
      </c>
      <c r="J132" s="1">
        <f ca="1">I132*('Updated Population'!J$125/'Updated Population'!I$125)</f>
        <v>2.5995164107244723E-3</v>
      </c>
      <c r="K132" s="1">
        <f ca="1">J132*('Updated Population'!K$125/'Updated Population'!J$125)</f>
        <v>2.6510887440534679E-3</v>
      </c>
    </row>
    <row r="133" spans="1:11" x14ac:dyDescent="0.2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7.3627264895</v>
      </c>
      <c r="D133" s="4">
        <f ca="1">OFFSET(Canterbury_Reference,51,7)</f>
        <v>7.2313939413000003</v>
      </c>
      <c r="E133" s="4">
        <f ca="1">OFFSET(Canterbury_Reference,52,7)</f>
        <v>6.7886232322</v>
      </c>
      <c r="F133" s="4">
        <f ca="1">OFFSET(Canterbury_Reference,53,7)</f>
        <v>6.3254628748000004</v>
      </c>
      <c r="G133" s="4">
        <f ca="1">OFFSET(Canterbury_Reference,54,7)</f>
        <v>5.9750273263000002</v>
      </c>
      <c r="H133" s="4">
        <f ca="1">OFFSET(Canterbury_Reference,55,7)</f>
        <v>5.6727710079999998</v>
      </c>
      <c r="I133" s="1">
        <f ca="1">H133*('Updated Population'!I$125/'Updated Population'!H$125)</f>
        <v>5.8162883013469084</v>
      </c>
      <c r="J133" s="1">
        <f ca="1">I133*('Updated Population'!J$125/'Updated Population'!I$125)</f>
        <v>5.944453839884984</v>
      </c>
      <c r="K133" s="1">
        <f ca="1">J133*('Updated Population'!K$125/'Updated Population'!J$125)</f>
        <v>6.0623870653205323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OFFSET(Canterbury_Reference,57,7)</f>
        <v>0.91598638369999996</v>
      </c>
      <c r="D135" s="4">
        <f ca="1">OFFSET(Canterbury_Reference,58,7)</f>
        <v>1.0163061402</v>
      </c>
      <c r="E135" s="4">
        <f ca="1">OFFSET(Canterbury_Reference,59,7)</f>
        <v>1.0672157019999999</v>
      </c>
      <c r="F135" s="4">
        <f ca="1">OFFSET(Canterbury_Reference,60,7)</f>
        <v>1.0775690252000001</v>
      </c>
      <c r="G135" s="4">
        <f ca="1">OFFSET(Canterbury_Reference,61,7)</f>
        <v>1.0455025004</v>
      </c>
      <c r="H135" s="4">
        <f ca="1">OFFSET(Canterbury_Reference,62,7)</f>
        <v>0.98662383840000001</v>
      </c>
      <c r="I135" s="1">
        <f ca="1">H135*('Updated Population'!I$125/'Updated Population'!H$125)</f>
        <v>1.0115847583170949</v>
      </c>
      <c r="J135" s="1">
        <f ca="1">I135*('Updated Population'!J$125/'Updated Population'!I$125)</f>
        <v>1.0338756590787708</v>
      </c>
      <c r="K135" s="1">
        <f ca="1">J135*('Updated Population'!K$125/'Updated Population'!J$125)</f>
        <v>1.0543869279789297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OFFSET(Otago_Reference,1,7)</f>
        <v>10.937242764000001</v>
      </c>
      <c r="D137" s="4">
        <f ca="1">OFFSET(Otago_Reference,2,7)</f>
        <v>11.112111855</v>
      </c>
      <c r="E137" s="4">
        <f ca="1">OFFSET(Otago_Reference,3,7)</f>
        <v>10.789124656</v>
      </c>
      <c r="F137" s="4">
        <f ca="1">OFFSET(Otago_Reference,4,7)</f>
        <v>10.486888782999999</v>
      </c>
      <c r="G137" s="4">
        <f ca="1">OFFSET(Otago_Reference,5,7)</f>
        <v>10.173651181</v>
      </c>
      <c r="H137" s="4">
        <f ca="1">OFFSET(Otago_Reference,6,7)</f>
        <v>9.9136827927999995</v>
      </c>
      <c r="I137" s="1">
        <f ca="1">H137*('Updated Population'!I$136/'Updated Population'!H$136)</f>
        <v>10.012607888017284</v>
      </c>
      <c r="J137" s="1">
        <f ca="1">I137*('Updated Population'!J$136/'Updated Population'!I$136)</f>
        <v>10.080330227404065</v>
      </c>
      <c r="K137" s="1">
        <f ca="1">J137*('Updated Population'!K$136/'Updated Population'!J$136)</f>
        <v>10.126700816053342</v>
      </c>
    </row>
    <row r="138" spans="1:11" x14ac:dyDescent="0.2">
      <c r="A138" t="str">
        <f ca="1">OFFSET(Otago_Reference,7,2)</f>
        <v>Cyclist</v>
      </c>
      <c r="B138" s="4">
        <f ca="1">OFFSET(Otago_Reference,7,7)</f>
        <v>1.6089304994</v>
      </c>
      <c r="C138" s="4">
        <f ca="1">OFFSET(Otago_Reference,8,7)</f>
        <v>1.6077200387999999</v>
      </c>
      <c r="D138" s="4">
        <f ca="1">OFFSET(Otago_Reference,9,7)</f>
        <v>1.7181957366</v>
      </c>
      <c r="E138" s="4">
        <f ca="1">OFFSET(Otago_Reference,10,7)</f>
        <v>1.6719917342999999</v>
      </c>
      <c r="F138" s="4">
        <f ca="1">OFFSET(Otago_Reference,11,7)</f>
        <v>1.6311057726</v>
      </c>
      <c r="G138" s="4">
        <f ca="1">OFFSET(Otago_Reference,12,7)</f>
        <v>1.6038302960999999</v>
      </c>
      <c r="H138" s="4">
        <f ca="1">OFFSET(Otago_Reference,13,7)</f>
        <v>1.5706331404</v>
      </c>
      <c r="I138" s="1">
        <f ca="1">H138*('Updated Population'!I$136/'Updated Population'!H$136)</f>
        <v>1.5863059268117599</v>
      </c>
      <c r="J138" s="1">
        <f ca="1">I138*('Updated Population'!J$136/'Updated Population'!I$136)</f>
        <v>1.597035234255765</v>
      </c>
      <c r="K138" s="1">
        <f ca="1">J138*('Updated Population'!K$136/'Updated Population'!J$136)</f>
        <v>1.6043817657914829</v>
      </c>
    </row>
    <row r="139" spans="1:11" x14ac:dyDescent="0.2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OFFSET(Otago_Reference,15,7)</f>
        <v>31.574441053000001</v>
      </c>
      <c r="D139" s="4">
        <f ca="1">OFFSET(Otago_Reference,16,7)</f>
        <v>33.220509413000002</v>
      </c>
      <c r="E139" s="4">
        <f ca="1">OFFSET(Otago_Reference,17,7)</f>
        <v>33.706942269999999</v>
      </c>
      <c r="F139" s="4">
        <f ca="1">OFFSET(Otago_Reference,18,7)</f>
        <v>34.017639709999997</v>
      </c>
      <c r="G139" s="4">
        <f ca="1">OFFSET(Otago_Reference,19,7)</f>
        <v>33.888697049999998</v>
      </c>
      <c r="H139" s="4">
        <f ca="1">OFFSET(Otago_Reference,20,7)</f>
        <v>33.696872998000003</v>
      </c>
      <c r="I139" s="1">
        <f ca="1">H139*('Updated Population'!I$136/'Updated Population'!H$136)</f>
        <v>34.033122042832552</v>
      </c>
      <c r="J139" s="1">
        <f ca="1">I139*('Updated Population'!J$136/'Updated Population'!I$136)</f>
        <v>34.263312085941578</v>
      </c>
      <c r="K139" s="1">
        <f ca="1">J139*('Updated Population'!K$136/'Updated Population'!J$136)</f>
        <v>34.420926957146854</v>
      </c>
    </row>
    <row r="140" spans="1:11" x14ac:dyDescent="0.2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OFFSET(Otago_Reference,22,7)</f>
        <v>18.584077365999999</v>
      </c>
      <c r="D140" s="4">
        <f ca="1">OFFSET(Otago_Reference,23,7)</f>
        <v>19.066405707000001</v>
      </c>
      <c r="E140" s="4">
        <f ca="1">OFFSET(Otago_Reference,24,7)</f>
        <v>18.662773189999999</v>
      </c>
      <c r="F140" s="4">
        <f ca="1">OFFSET(Otago_Reference,25,7)</f>
        <v>18.213916106999999</v>
      </c>
      <c r="G140" s="4">
        <f ca="1">OFFSET(Otago_Reference,26,7)</f>
        <v>17.815293070999999</v>
      </c>
      <c r="H140" s="4">
        <f ca="1">OFFSET(Otago_Reference,27,7)</f>
        <v>17.409505217</v>
      </c>
      <c r="I140" s="1">
        <f ca="1">H140*('Updated Population'!I$136/'Updated Population'!H$136)</f>
        <v>17.583228443501493</v>
      </c>
      <c r="J140" s="1">
        <f ca="1">I140*('Updated Population'!J$136/'Updated Population'!I$136)</f>
        <v>17.702156237087735</v>
      </c>
      <c r="K140" s="1">
        <f ca="1">J140*('Updated Population'!K$136/'Updated Population'!J$136)</f>
        <v>17.783588034117919</v>
      </c>
    </row>
    <row r="141" spans="1:11" x14ac:dyDescent="0.2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OFFSET(Otago_Reference,29,7)</f>
        <v>0.2172654836</v>
      </c>
      <c r="D141" s="4">
        <f ca="1">OFFSET(Otago_Reference,30,7)</f>
        <v>0.2236081946</v>
      </c>
      <c r="E141" s="4">
        <f ca="1">OFFSET(Otago_Reference,31,7)</f>
        <v>0.21117821780000001</v>
      </c>
      <c r="F141" s="4">
        <f ca="1">OFFSET(Otago_Reference,32,7)</f>
        <v>0.19775408880000001</v>
      </c>
      <c r="G141" s="4">
        <f ca="1">OFFSET(Otago_Reference,33,7)</f>
        <v>0.17428121799999999</v>
      </c>
      <c r="H141" s="4">
        <f ca="1">OFFSET(Otago_Reference,34,7)</f>
        <v>0.14912383000000001</v>
      </c>
      <c r="I141" s="1">
        <f ca="1">H141*('Updated Population'!I$136/'Updated Population'!H$136)</f>
        <v>0.15061188336929182</v>
      </c>
      <c r="J141" s="1">
        <f ca="1">I141*('Updated Population'!J$136/'Updated Population'!I$136)</f>
        <v>0.15163057791873324</v>
      </c>
      <c r="K141" s="1">
        <f ca="1">J141*('Updated Population'!K$136/'Updated Population'!J$136)</f>
        <v>0.15232809466636982</v>
      </c>
    </row>
    <row r="142" spans="1:11" x14ac:dyDescent="0.2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OFFSET(Otago_Reference,36,7)</f>
        <v>0.42004915929999997</v>
      </c>
      <c r="D142" s="4">
        <f ca="1">OFFSET(Otago_Reference,37,7)</f>
        <v>0.43950189579999999</v>
      </c>
      <c r="E142" s="4">
        <f ca="1">OFFSET(Otago_Reference,38,7)</f>
        <v>0.43578319879999999</v>
      </c>
      <c r="F142" s="4">
        <f ca="1">OFFSET(Otago_Reference,39,7)</f>
        <v>0.42053984589999999</v>
      </c>
      <c r="G142" s="4">
        <f ca="1">OFFSET(Otago_Reference,40,7)</f>
        <v>0.39371196339999998</v>
      </c>
      <c r="H142" s="4">
        <f ca="1">OFFSET(Otago_Reference,41,7)</f>
        <v>0.36515099150000002</v>
      </c>
      <c r="I142" s="1">
        <f ca="1">H142*('Updated Population'!I$136/'Updated Population'!H$136)</f>
        <v>0.36879470265737718</v>
      </c>
      <c r="J142" s="1">
        <f ca="1">I142*('Updated Population'!J$136/'Updated Population'!I$136)</f>
        <v>0.37128912172349282</v>
      </c>
      <c r="K142" s="1">
        <f ca="1">J142*('Updated Population'!K$136/'Updated Population'!J$136)</f>
        <v>0.37299709108015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OFFSET(Otago_Reference,42,7)</f>
        <v>1.347401772</v>
      </c>
      <c r="C144" s="4">
        <f ca="1">OFFSET(Otago_Reference,43,7)</f>
        <v>1.1953449416999999</v>
      </c>
      <c r="D144" s="4">
        <f ca="1">OFFSET(Otago_Reference,44,7)</f>
        <v>1.1643813971000001</v>
      </c>
      <c r="E144" s="4">
        <f ca="1">OFFSET(Otago_Reference,45,7)</f>
        <v>1.0843476504</v>
      </c>
      <c r="F144" s="4">
        <f ca="1">OFFSET(Otago_Reference,46,7)</f>
        <v>1.0197491756999999</v>
      </c>
      <c r="G144" s="4">
        <f ca="1">OFFSET(Otago_Reference,47,7)</f>
        <v>0.94374146830000005</v>
      </c>
      <c r="H144" s="4">
        <f ca="1">OFFSET(Otago_Reference,48,7)</f>
        <v>0.88118207770000001</v>
      </c>
      <c r="I144" s="1">
        <f ca="1">H144*('Updated Population'!I$136/'Updated Population'!H$136)</f>
        <v>0.88997507852140489</v>
      </c>
      <c r="J144" s="1">
        <f ca="1">I144*('Updated Population'!J$136/'Updated Population'!I$136)</f>
        <v>0.89599460859663471</v>
      </c>
      <c r="K144" s="1">
        <f ca="1">J144*('Updated Population'!K$136/'Updated Population'!J$136)</f>
        <v>0.90011627886833412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OFFSET(Otago_Reference,50,7)</f>
        <v>0.25487760949999999</v>
      </c>
      <c r="D146" s="4">
        <f ca="1">OFFSET(Otago_Reference,51,7)</f>
        <v>0.27692901450000001</v>
      </c>
      <c r="E146" s="4">
        <f ca="1">OFFSET(Otago_Reference,52,7)</f>
        <v>0.2754679827</v>
      </c>
      <c r="F146" s="4">
        <f ca="1">OFFSET(Otago_Reference,53,7)</f>
        <v>0.27126972160000001</v>
      </c>
      <c r="G146" s="4">
        <f ca="1">OFFSET(Otago_Reference,54,7)</f>
        <v>0.27286532990000001</v>
      </c>
      <c r="H146" s="4">
        <f ca="1">OFFSET(Otago_Reference,55,7)</f>
        <v>0.27746174509999999</v>
      </c>
      <c r="I146" s="1">
        <f ca="1">H146*('Updated Population'!I$136/'Updated Population'!H$136)</f>
        <v>0.28023043662734098</v>
      </c>
      <c r="J146" s="1">
        <f ca="1">I146*('Updated Population'!J$136/'Updated Population'!I$136)</f>
        <v>0.28212583300638971</v>
      </c>
      <c r="K146" s="1">
        <f ca="1">J146*('Updated Population'!K$136/'Updated Population'!J$136)</f>
        <v>0.28342364177401408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OFFSET(Southland_Reference,1,7)</f>
        <v>2.1441394787000001</v>
      </c>
      <c r="D148" s="4">
        <f ca="1">OFFSET(Southland_Reference,2,7)</f>
        <v>2.2012301140999999</v>
      </c>
      <c r="E148" s="4">
        <f ca="1">OFFSET(Southland_Reference,3,7)</f>
        <v>2.1261411383</v>
      </c>
      <c r="F148" s="4">
        <f ca="1">OFFSET(Southland_Reference,4,7)</f>
        <v>2.0292054351000002</v>
      </c>
      <c r="G148" s="4">
        <f ca="1">OFFSET(Southland_Reference,5,7)</f>
        <v>1.9062726062999999</v>
      </c>
      <c r="H148" s="4">
        <f ca="1">OFFSET(Southland_Reference,6,7)</f>
        <v>1.7722376385</v>
      </c>
      <c r="I148" s="1">
        <f ca="1">H148*('Updated Population'!I$147/'Updated Population'!H$147)</f>
        <v>1.748497452398698</v>
      </c>
      <c r="J148" s="1">
        <f ca="1">I148*('Updated Population'!J$147/'Updated Population'!I$147)</f>
        <v>1.7195840684735748</v>
      </c>
      <c r="K148" s="1">
        <f ca="1">J148*('Updated Population'!K$147/'Updated Population'!J$147)</f>
        <v>1.6875144120770738</v>
      </c>
    </row>
    <row r="149" spans="1:11" x14ac:dyDescent="0.2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OFFSET(Southland_Reference,8,7)</f>
        <v>0.50515623700000001</v>
      </c>
      <c r="D149" s="4">
        <f ca="1">OFFSET(Southland_Reference,9,7)</f>
        <v>0.53881469780000002</v>
      </c>
      <c r="E149" s="4">
        <f ca="1">OFFSET(Southland_Reference,10,7)</f>
        <v>0.50091971599999996</v>
      </c>
      <c r="F149" s="4">
        <f ca="1">OFFSET(Southland_Reference,11,7)</f>
        <v>0.46887755920000002</v>
      </c>
      <c r="G149" s="4">
        <f ca="1">OFFSET(Southland_Reference,12,7)</f>
        <v>0.43267329360000001</v>
      </c>
      <c r="H149" s="4">
        <f ca="1">OFFSET(Southland_Reference,13,7)</f>
        <v>0.3980852621</v>
      </c>
      <c r="I149" s="1">
        <f ca="1">H149*('Updated Population'!I$147/'Updated Population'!H$147)</f>
        <v>0.39275267125488145</v>
      </c>
      <c r="J149" s="1">
        <f ca="1">I149*('Updated Population'!J$147/'Updated Population'!I$147)</f>
        <v>0.38625806140799179</v>
      </c>
      <c r="K149" s="1">
        <f ca="1">J149*('Updated Population'!K$147/'Updated Population'!J$147)</f>
        <v>0.37905448029972494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OFFSET(Southland_Reference,15,7)</f>
        <v>14.606166591999999</v>
      </c>
      <c r="D150" s="4">
        <f ca="1">OFFSET(Southland_Reference,16,7)</f>
        <v>15.616930379999999</v>
      </c>
      <c r="E150" s="4">
        <f ca="1">OFFSET(Southland_Reference,17,7)</f>
        <v>15.574776464999999</v>
      </c>
      <c r="F150" s="4">
        <f ca="1">OFFSET(Southland_Reference,18,7)</f>
        <v>15.487512425</v>
      </c>
      <c r="G150" s="4">
        <f ca="1">OFFSET(Southland_Reference,19,7)</f>
        <v>15.212546103999999</v>
      </c>
      <c r="H150" s="4">
        <f ca="1">OFFSET(Southland_Reference,20,7)</f>
        <v>14.871700097</v>
      </c>
      <c r="I150" s="1">
        <f ca="1">H150*('Updated Population'!I$147/'Updated Population'!H$147)</f>
        <v>14.672484754612647</v>
      </c>
      <c r="J150" s="1">
        <f ca="1">I150*('Updated Population'!J$147/'Updated Population'!I$147)</f>
        <v>14.429858616231007</v>
      </c>
      <c r="K150" s="1">
        <f ca="1">J150*('Updated Population'!K$147/'Updated Population'!J$147)</f>
        <v>14.160746674479071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OFFSET(Southland_Reference,22,7)</f>
        <v>7.1522637926000003</v>
      </c>
      <c r="D151" s="4">
        <f ca="1">OFFSET(Southland_Reference,23,7)</f>
        <v>7.4522843251999999</v>
      </c>
      <c r="E151" s="4">
        <f ca="1">OFFSET(Southland_Reference,24,7)</f>
        <v>7.3108640722000002</v>
      </c>
      <c r="F151" s="4">
        <f ca="1">OFFSET(Southland_Reference,25,7)</f>
        <v>7.0438011019999998</v>
      </c>
      <c r="G151" s="4">
        <f ca="1">OFFSET(Southland_Reference,26,7)</f>
        <v>6.6466078489999996</v>
      </c>
      <c r="H151" s="4">
        <f ca="1">OFFSET(Southland_Reference,27,7)</f>
        <v>6.2101811839999996</v>
      </c>
      <c r="I151" s="1">
        <f ca="1">H151*('Updated Population'!I$147/'Updated Population'!H$147)</f>
        <v>6.1269920823647652</v>
      </c>
      <c r="J151" s="1">
        <f ca="1">I151*('Updated Population'!J$147/'Updated Population'!I$147)</f>
        <v>6.0256753351538537</v>
      </c>
      <c r="K151" s="1">
        <f ca="1">J151*('Updated Population'!K$147/'Updated Population'!J$147)</f>
        <v>5.9132985452672218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OFFSET(Southland_Reference,29,7)</f>
        <v>7.19539597E-2</v>
      </c>
      <c r="D152" s="4">
        <f ca="1">OFFSET(Southland_Reference,30,7)</f>
        <v>8.4505916700000003E-2</v>
      </c>
      <c r="E152" s="4">
        <f ca="1">OFFSET(Southland_Reference,31,7)</f>
        <v>9.0310212900000006E-2</v>
      </c>
      <c r="F152" s="4">
        <f ca="1">OFFSET(Southland_Reference,32,7)</f>
        <v>9.4323095100000004E-2</v>
      </c>
      <c r="G152" s="4">
        <f ca="1">OFFSET(Southland_Reference,33,7)</f>
        <v>9.5665201399999997E-2</v>
      </c>
      <c r="H152" s="4">
        <f ca="1">OFFSET(Southland_Reference,34,7)</f>
        <v>9.6013659599999995E-2</v>
      </c>
      <c r="I152" s="1">
        <f ca="1">H152*('Updated Population'!I$147/'Updated Population'!H$147)</f>
        <v>9.4727499043619809E-2</v>
      </c>
      <c r="J152" s="1">
        <f ca="1">I152*('Updated Population'!J$147/'Updated Population'!I$147)</f>
        <v>9.3161072656004817E-2</v>
      </c>
      <c r="K152" s="1">
        <f ca="1">J152*('Updated Population'!K$147/'Updated Population'!J$147)</f>
        <v>9.142365042444181E-2</v>
      </c>
    </row>
    <row r="153" spans="1:11" x14ac:dyDescent="0.2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OFFSET(Southland_Reference,36,7)</f>
        <v>0.3201199414</v>
      </c>
      <c r="D153" s="4">
        <f ca="1">OFFSET(Southland_Reference,37,7)</f>
        <v>0.39984510919999999</v>
      </c>
      <c r="E153" s="4">
        <f ca="1">OFFSET(Southland_Reference,38,7)</f>
        <v>0.42280207720000001</v>
      </c>
      <c r="F153" s="4">
        <f ca="1">OFFSET(Southland_Reference,39,7)</f>
        <v>0.4246982567</v>
      </c>
      <c r="G153" s="4">
        <f ca="1">OFFSET(Southland_Reference,40,7)</f>
        <v>0.41221104790000002</v>
      </c>
      <c r="H153" s="4">
        <f ca="1">OFFSET(Southland_Reference,41,7)</f>
        <v>0.39392368500000002</v>
      </c>
      <c r="I153" s="1">
        <f ca="1">H153*('Updated Population'!I$147/'Updated Population'!H$147)</f>
        <v>0.38864684097612184</v>
      </c>
      <c r="J153" s="1">
        <f ca="1">I153*('Updated Population'!J$147/'Updated Population'!I$147)</f>
        <v>0.3822201256789316</v>
      </c>
      <c r="K153" s="1">
        <f ca="1">J153*('Updated Population'!K$147/'Updated Population'!J$147)</f>
        <v>0.37509185069483525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OFFSET(Southland_Reference,43,7)</f>
        <v>1.1558512283</v>
      </c>
      <c r="D155" s="4">
        <f ca="1">OFFSET(Southland_Reference,44,7)</f>
        <v>1.2277835051999999</v>
      </c>
      <c r="E155" s="4">
        <f ca="1">OFFSET(Southland_Reference,45,7)</f>
        <v>1.2509423260000001</v>
      </c>
      <c r="F155" s="4">
        <f ca="1">OFFSET(Southland_Reference,46,7)</f>
        <v>1.2157783213</v>
      </c>
      <c r="G155" s="4">
        <f ca="1">OFFSET(Southland_Reference,47,7)</f>
        <v>1.1596359704999999</v>
      </c>
      <c r="H155" s="4">
        <f ca="1">OFFSET(Southland_Reference,48,7)</f>
        <v>1.0995886842</v>
      </c>
      <c r="I155" s="1">
        <f ca="1">H155*('Updated Population'!I$147/'Updated Population'!H$147)</f>
        <v>1.0848590342756883</v>
      </c>
      <c r="J155" s="1">
        <f ca="1">I155*('Updated Population'!J$147/'Updated Population'!I$147)</f>
        <v>1.0669196625484831</v>
      </c>
      <c r="K155" s="1">
        <f ca="1">J155*('Updated Population'!K$147/'Updated Population'!J$147)</f>
        <v>1.0470219747250706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OFFSET(Southland_Reference,50,7)</f>
        <v>9.3476014499999996E-2</v>
      </c>
      <c r="D157" s="4">
        <f ca="1">OFFSET(Southland_Reference,51,7)</f>
        <v>0.1082054916</v>
      </c>
      <c r="E157" s="4">
        <f ca="1">OFFSET(Southland_Reference,52,7)</f>
        <v>0.1185834313</v>
      </c>
      <c r="F157" s="4">
        <f ca="1">OFFSET(Southland_Reference,53,7)</f>
        <v>0.125999739</v>
      </c>
      <c r="G157" s="4">
        <f ca="1">OFFSET(Southland_Reference,54,7)</f>
        <v>0.12589583770000001</v>
      </c>
      <c r="H157" s="4">
        <f ca="1">OFFSET(Southland_Reference,55,7)</f>
        <v>0.122681178</v>
      </c>
      <c r="I157" s="1">
        <f ca="1">H157*('Updated Population'!I$147/'Updated Population'!H$147)</f>
        <v>0.12103779004029498</v>
      </c>
      <c r="J157" s="1">
        <f ca="1">I157*('Updated Population'!J$147/'Updated Population'!I$147)</f>
        <v>0.11903629321907713</v>
      </c>
      <c r="K157" s="1">
        <f ca="1">J157*('Updated Population'!K$147/'Updated Population'!J$147)</f>
        <v>0.11681630694900336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205.0143830817</v>
      </c>
      <c r="C159" s="4">
        <f t="shared" ref="C159:I159" ca="1" si="1">C5+C16+C27+C38+C49+C60+C71+C82+C93+C104+C115+C126+C137+C148</f>
        <v>213.61092644679999</v>
      </c>
      <c r="D159" s="4">
        <f t="shared" ca="1" si="1"/>
        <v>217.18713487230002</v>
      </c>
      <c r="E159" s="4">
        <f t="shared" ca="1" si="1"/>
        <v>219.31764037070002</v>
      </c>
      <c r="F159" s="4">
        <f t="shared" ca="1" si="1"/>
        <v>220.1818041823</v>
      </c>
      <c r="G159" s="4">
        <f t="shared" ca="1" si="1"/>
        <v>220.94893670330001</v>
      </c>
      <c r="H159" s="4">
        <f t="shared" ca="1" si="1"/>
        <v>220.93602789049999</v>
      </c>
      <c r="I159" s="1">
        <f t="shared" ca="1" si="1"/>
        <v>228.46708107403666</v>
      </c>
      <c r="J159" s="1">
        <f t="shared" ref="J159:K159" ca="1" si="2">J5+J16+J27+J38+J49+J60+J71+J82+J93+J104+J115+J126+J137+J148</f>
        <v>237.52133525236849</v>
      </c>
      <c r="K159" s="1">
        <f t="shared" ca="1" si="2"/>
        <v>246.72079727578139</v>
      </c>
    </row>
    <row r="160" spans="1:11" x14ac:dyDescent="0.2">
      <c r="A160" t="str">
        <f t="shared" ca="1" si="0"/>
        <v>Cyclist</v>
      </c>
      <c r="B160" s="4">
        <f t="shared" ref="B160:I168" ca="1" si="3">B6+B17+B28+B39+B50+B61+B72+B83+B94+B105+B116+B127+B138+B149</f>
        <v>24.928098629399997</v>
      </c>
      <c r="C160" s="4">
        <f t="shared" ca="1" si="3"/>
        <v>26.065208968200004</v>
      </c>
      <c r="D160" s="4">
        <f t="shared" ca="1" si="3"/>
        <v>27.4537189244</v>
      </c>
      <c r="E160" s="4">
        <f t="shared" ca="1" si="3"/>
        <v>27.9486465315</v>
      </c>
      <c r="F160" s="4">
        <f t="shared" ca="1" si="3"/>
        <v>28.776000502600002</v>
      </c>
      <c r="G160" s="4">
        <f t="shared" ca="1" si="3"/>
        <v>29.9993007136</v>
      </c>
      <c r="H160" s="4">
        <f t="shared" ca="1" si="3"/>
        <v>31.256040525200003</v>
      </c>
      <c r="I160" s="1">
        <f t="shared" ca="1" si="3"/>
        <v>32.117818890820445</v>
      </c>
      <c r="J160" s="1">
        <f t="shared" ref="J160:K160" ca="1" si="4">J6+J17+J28+J39+J50+J61+J72+J83+J94+J105+J116+J127+J138+J149</f>
        <v>33.10159406398769</v>
      </c>
      <c r="K160" s="1">
        <f t="shared" ca="1" si="4"/>
        <v>34.081350010739243</v>
      </c>
    </row>
    <row r="161" spans="1:11" x14ac:dyDescent="0.2">
      <c r="A161" t="str">
        <f t="shared" ca="1" si="0"/>
        <v>Light Vehicle Driver</v>
      </c>
      <c r="B161" s="4">
        <f t="shared" ca="1" si="3"/>
        <v>820.39837236829999</v>
      </c>
      <c r="C161" s="4">
        <f t="shared" ca="1" si="3"/>
        <v>897.42112772520011</v>
      </c>
      <c r="D161" s="4">
        <f t="shared" ca="1" si="3"/>
        <v>936.32819646799999</v>
      </c>
      <c r="E161" s="4">
        <f t="shared" ca="1" si="3"/>
        <v>984.57565823139998</v>
      </c>
      <c r="F161" s="4">
        <f t="shared" ca="1" si="3"/>
        <v>1026.8193333838003</v>
      </c>
      <c r="G161" s="4">
        <f t="shared" ca="1" si="3"/>
        <v>1060.8134416599</v>
      </c>
      <c r="H161" s="4">
        <f t="shared" ca="1" si="3"/>
        <v>1089.2156147698997</v>
      </c>
      <c r="I161" s="1">
        <f t="shared" ca="1" si="3"/>
        <v>1128.4173600101374</v>
      </c>
      <c r="J161" s="1">
        <f t="shared" ref="J161:K161" ca="1" si="5">J7+J18+J29+J40+J51+J62+J73+J84+J95+J106+J117+J128+J139+J150</f>
        <v>1175.9275696478426</v>
      </c>
      <c r="K161" s="1">
        <f t="shared" ca="1" si="5"/>
        <v>1224.3823444126888</v>
      </c>
    </row>
    <row r="162" spans="1:11" x14ac:dyDescent="0.2">
      <c r="A162" t="str">
        <f t="shared" ca="1" si="0"/>
        <v>Light Vehicle Passenger</v>
      </c>
      <c r="B162" s="4">
        <f t="shared" ca="1" si="3"/>
        <v>430.09037615619997</v>
      </c>
      <c r="C162" s="4">
        <f t="shared" ca="1" si="3"/>
        <v>448.05966970919997</v>
      </c>
      <c r="D162" s="4">
        <f t="shared" ca="1" si="3"/>
        <v>460.60482998750007</v>
      </c>
      <c r="E162" s="4">
        <f t="shared" ca="1" si="3"/>
        <v>476.10459306520005</v>
      </c>
      <c r="F162" s="4">
        <f t="shared" ca="1" si="3"/>
        <v>489.33514330739996</v>
      </c>
      <c r="G162" s="4">
        <f t="shared" ca="1" si="3"/>
        <v>500.91606920730004</v>
      </c>
      <c r="H162" s="4">
        <f t="shared" ca="1" si="3"/>
        <v>510.71055850900007</v>
      </c>
      <c r="I162" s="1">
        <f t="shared" ca="1" si="3"/>
        <v>529.07559934738686</v>
      </c>
      <c r="J162" s="1">
        <f t="shared" ref="J162:K162" ca="1" si="6">J8+J19+J30+J41+J52+J63+J74+J85+J96+J107+J118+J129+J140+J151</f>
        <v>551.37858832123914</v>
      </c>
      <c r="K162" s="1">
        <f t="shared" ca="1" si="6"/>
        <v>574.13518501443389</v>
      </c>
    </row>
    <row r="163" spans="1:11" x14ac:dyDescent="0.2">
      <c r="A163" t="str">
        <f t="shared" ca="1" si="0"/>
        <v>Taxi/Vehicle Share</v>
      </c>
      <c r="B163" s="4">
        <f t="shared" ca="1" si="3"/>
        <v>4.6704390591000005</v>
      </c>
      <c r="C163" s="4">
        <f t="shared" ca="1" si="3"/>
        <v>5.3715966058000006</v>
      </c>
      <c r="D163" s="4">
        <f t="shared" ca="1" si="3"/>
        <v>5.9956192509000008</v>
      </c>
      <c r="E163" s="4">
        <f t="shared" ca="1" si="3"/>
        <v>6.5723415630000002</v>
      </c>
      <c r="F163" s="4">
        <f t="shared" ca="1" si="3"/>
        <v>7.0723746090999988</v>
      </c>
      <c r="G163" s="4">
        <f t="shared" ca="1" si="3"/>
        <v>7.4489017451000006</v>
      </c>
      <c r="H163" s="4">
        <f t="shared" ca="1" si="3"/>
        <v>7.7746966598000018</v>
      </c>
      <c r="I163" s="1">
        <f t="shared" ca="1" si="3"/>
        <v>8.0575962991018386</v>
      </c>
      <c r="J163" s="1">
        <f t="shared" ref="J163:K163" ca="1" si="7">J9+J20+J31+J42+J53+J64+J75+J86+J97+J108+J119+J130+J141+J152</f>
        <v>8.4009214701813288</v>
      </c>
      <c r="K163" s="1">
        <f t="shared" ca="1" si="7"/>
        <v>8.7513196109889471</v>
      </c>
    </row>
    <row r="164" spans="1:11" x14ac:dyDescent="0.2">
      <c r="A164" t="str">
        <f t="shared" ca="1" si="0"/>
        <v>Motorcyclist</v>
      </c>
      <c r="B164" s="4">
        <f t="shared" ca="1" si="3"/>
        <v>6.0136150244</v>
      </c>
      <c r="C164" s="4">
        <f t="shared" ca="1" si="3"/>
        <v>6.4151328998999997</v>
      </c>
      <c r="D164" s="4">
        <f t="shared" ca="1" si="3"/>
        <v>6.648742382</v>
      </c>
      <c r="E164" s="4">
        <f t="shared" ca="1" si="3"/>
        <v>6.8490996030000009</v>
      </c>
      <c r="F164" s="4">
        <f t="shared" ca="1" si="3"/>
        <v>6.9673010230000001</v>
      </c>
      <c r="G164" s="4">
        <f t="shared" ca="1" si="3"/>
        <v>6.9607832184999996</v>
      </c>
      <c r="H164" s="4">
        <f t="shared" ca="1" si="3"/>
        <v>6.9019183671999995</v>
      </c>
      <c r="I164" s="1">
        <f t="shared" ca="1" si="3"/>
        <v>7.1293825812528873</v>
      </c>
      <c r="J164" s="1">
        <f t="shared" ref="J164:K164" ca="1" si="8">J10+J21+J32+J43+J54+J65+J76+J87+J98+J109+J120+J131+J142+J153</f>
        <v>7.4056654851867432</v>
      </c>
      <c r="K164" s="1">
        <f t="shared" ca="1" si="8"/>
        <v>7.6868535497549351</v>
      </c>
    </row>
    <row r="165" spans="1:11" x14ac:dyDescent="0.2">
      <c r="A165" t="str">
        <f t="shared" ca="1" si="0"/>
        <v>Local Train</v>
      </c>
      <c r="B165" s="4">
        <f t="shared" ca="1" si="3"/>
        <v>9.9999446903999978</v>
      </c>
      <c r="C165" s="4">
        <f t="shared" ca="1" si="3"/>
        <v>10.799530430099999</v>
      </c>
      <c r="D165" s="4">
        <f t="shared" ca="1" si="3"/>
        <v>11.210513571799998</v>
      </c>
      <c r="E165" s="4">
        <f t="shared" ca="1" si="3"/>
        <v>11.412524940400001</v>
      </c>
      <c r="F165" s="4">
        <f t="shared" ca="1" si="3"/>
        <v>11.445066325799999</v>
      </c>
      <c r="G165" s="4">
        <f t="shared" ca="1" si="3"/>
        <v>11.438809978800002</v>
      </c>
      <c r="H165" s="4">
        <f t="shared" ca="1" si="3"/>
        <v>11.365108179600002</v>
      </c>
      <c r="I165" s="1">
        <f t="shared" ca="1" si="3"/>
        <v>11.72079259587921</v>
      </c>
      <c r="J165" s="1">
        <f t="shared" ref="J165:K165" ca="1" si="9">J11+J22+J33+J44+J55+J66+J77+J88+J99+J110+J121+J132+J143+J154</f>
        <v>12.145887249869691</v>
      </c>
      <c r="K165" s="1">
        <f t="shared" ca="1" si="9"/>
        <v>12.575522685527632</v>
      </c>
    </row>
    <row r="166" spans="1:11" x14ac:dyDescent="0.2">
      <c r="A166" t="str">
        <f t="shared" ca="1" si="0"/>
        <v>Local Bus</v>
      </c>
      <c r="B166" s="4">
        <f t="shared" ca="1" si="3"/>
        <v>54.150595508499997</v>
      </c>
      <c r="C166" s="4">
        <f t="shared" ca="1" si="3"/>
        <v>55.861697818500005</v>
      </c>
      <c r="D166" s="4">
        <f t="shared" ca="1" si="3"/>
        <v>55.3569672024</v>
      </c>
      <c r="E166" s="4">
        <f t="shared" ca="1" si="3"/>
        <v>54.473664539399998</v>
      </c>
      <c r="F166" s="4">
        <f t="shared" ca="1" si="3"/>
        <v>53.00058489380001</v>
      </c>
      <c r="G166" s="4">
        <f t="shared" ca="1" si="3"/>
        <v>51.882580462500002</v>
      </c>
      <c r="H166" s="4">
        <f t="shared" ca="1" si="3"/>
        <v>50.59816200089999</v>
      </c>
      <c r="I166" s="1">
        <f t="shared" ca="1" si="3"/>
        <v>52.444022885834919</v>
      </c>
      <c r="J166" s="1">
        <f t="shared" ref="J166:K166" ca="1" si="10">J12+J23+J34+J45+J56+J67+J78+J89+J100+J111+J122+J133+J144+J155</f>
        <v>54.682835290000668</v>
      </c>
      <c r="K166" s="1">
        <f t="shared" ca="1" si="10"/>
        <v>56.967173830434611</v>
      </c>
    </row>
    <row r="167" spans="1:11" x14ac:dyDescent="0.2">
      <c r="A167" t="str">
        <f t="shared" ca="1" si="0"/>
        <v>Local Ferry</v>
      </c>
      <c r="B167" s="4">
        <f t="shared" ca="1" si="3"/>
        <v>1.3964695746999998</v>
      </c>
      <c r="C167" s="4">
        <f t="shared" ca="1" si="3"/>
        <v>1.7120986449</v>
      </c>
      <c r="D167" s="4">
        <f t="shared" ca="1" si="3"/>
        <v>1.7915774554000001</v>
      </c>
      <c r="E167" s="4">
        <f t="shared" ca="1" si="3"/>
        <v>1.9100308752999999</v>
      </c>
      <c r="F167" s="4">
        <f t="shared" ca="1" si="3"/>
        <v>1.9927485879000002</v>
      </c>
      <c r="G167" s="4">
        <f t="shared" ca="1" si="3"/>
        <v>2.1013190166000002</v>
      </c>
      <c r="H167" s="4">
        <f t="shared" ca="1" si="3"/>
        <v>2.1823645428000003</v>
      </c>
      <c r="I167" s="1">
        <f t="shared" ca="1" si="3"/>
        <v>2.2916787491612713</v>
      </c>
      <c r="J167" s="1">
        <f t="shared" ref="J167:K167" ca="1" si="11">J13+J24+J35+J46+J57+J68+J79+J90+J101+J112+J123+J134+J145+J156</f>
        <v>2.4298206723474975</v>
      </c>
      <c r="K167" s="1">
        <f t="shared" ca="1" si="11"/>
        <v>2.573117453382209</v>
      </c>
    </row>
    <row r="168" spans="1:11" x14ac:dyDescent="0.2">
      <c r="A168" t="str">
        <f t="shared" ca="1" si="0"/>
        <v>Other Household Travel</v>
      </c>
      <c r="B168" s="4">
        <f t="shared" ca="1" si="3"/>
        <v>5.6740244923000009</v>
      </c>
      <c r="C168" s="4">
        <f t="shared" ca="1" si="3"/>
        <v>6.3419734214000005</v>
      </c>
      <c r="D168" s="4">
        <f t="shared" ca="1" si="3"/>
        <v>6.6106168764000008</v>
      </c>
      <c r="E168" s="4">
        <f t="shared" ca="1" si="3"/>
        <v>6.8707456459000005</v>
      </c>
      <c r="F168" s="4">
        <f t="shared" ca="1" si="3"/>
        <v>7.0374861078000013</v>
      </c>
      <c r="G168" s="4">
        <f t="shared" ca="1" si="3"/>
        <v>7.2038222591000007</v>
      </c>
      <c r="H168" s="4">
        <f t="shared" ca="1" si="3"/>
        <v>7.2923815768000004</v>
      </c>
      <c r="I168" s="1">
        <f t="shared" ca="1" si="3"/>
        <v>7.5706668830380046</v>
      </c>
      <c r="J168" s="1">
        <f t="shared" ref="J168:K168" ca="1" si="12">J14+J25+J36+J47+J58+J69+J80+J91+J102+J113+J124+J135+J146+J157</f>
        <v>7.9094100859377754</v>
      </c>
      <c r="K168" s="1">
        <f t="shared" ca="1" si="12"/>
        <v>8.2558181954625685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H190"/>
  <sheetViews>
    <sheetView topLeftCell="A130" workbookViewId="0">
      <selection activeCell="H158" sqref="H158"/>
    </sheetView>
  </sheetViews>
  <sheetFormatPr defaultRowHeight="12.75" x14ac:dyDescent="0.2"/>
  <cols>
    <col min="1" max="1" width="26.140625" customWidth="1"/>
  </cols>
  <sheetData>
    <row r="2" spans="1:8" x14ac:dyDescent="0.2">
      <c r="A2" s="3" t="s">
        <v>15</v>
      </c>
    </row>
    <row r="3" spans="1:8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</row>
    <row r="4" spans="1:8" x14ac:dyDescent="0.2">
      <c r="A4" t="str">
        <f ca="1">OFFSET(Northland_Reference,0,0)</f>
        <v>01 NORTHLAND</v>
      </c>
      <c r="B4" s="5">
        <f>[3]Population!D4</f>
        <v>164700</v>
      </c>
      <c r="C4" s="5">
        <f>[3]Population!E4</f>
        <v>171100</v>
      </c>
      <c r="D4" s="5">
        <f>[3]Population!F4</f>
        <v>175500</v>
      </c>
      <c r="E4" s="5">
        <f>[3]Population!G4</f>
        <v>179100</v>
      </c>
      <c r="F4" s="5">
        <f>[3]Population!H4</f>
        <v>181600</v>
      </c>
      <c r="G4" s="5">
        <f>[3]Population!I4</f>
        <v>182700</v>
      </c>
      <c r="H4" s="5">
        <f>[3]Population!J4</f>
        <v>182900</v>
      </c>
    </row>
    <row r="5" spans="1:8" x14ac:dyDescent="0.2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</row>
    <row r="6" spans="1:8" x14ac:dyDescent="0.2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</row>
    <row r="7" spans="1:8" x14ac:dyDescent="0.2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</row>
    <row r="8" spans="1:8" x14ac:dyDescent="0.2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</row>
    <row r="9" spans="1:8" x14ac:dyDescent="0.2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</row>
    <row r="10" spans="1:8" x14ac:dyDescent="0.2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</row>
    <row r="11" spans="1:8" x14ac:dyDescent="0.2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</row>
    <row r="12" spans="1:8" x14ac:dyDescent="0.2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</row>
    <row r="13" spans="1:8" x14ac:dyDescent="0.2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</row>
    <row r="14" spans="1:8" x14ac:dyDescent="0.2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</row>
    <row r="15" spans="1:8" x14ac:dyDescent="0.2">
      <c r="A15" t="str">
        <f ca="1">OFFSET(Auckland_Reference,0,0)</f>
        <v>02 AUCKLAND</v>
      </c>
      <c r="B15">
        <f>[3]Population!D5</f>
        <v>1493200</v>
      </c>
      <c r="C15">
        <f>[3]Population!E5</f>
        <v>1645068.1228668941</v>
      </c>
      <c r="D15">
        <f>[3]Population!F5</f>
        <v>1785792.4550625705</v>
      </c>
      <c r="E15">
        <f>[3]Population!G5</f>
        <v>1936301.5790671217</v>
      </c>
      <c r="F15">
        <f>[3]Population!H5</f>
        <v>2089800.5005688283</v>
      </c>
      <c r="G15">
        <f>[3]Population!I5</f>
        <v>2242755.8225255972</v>
      </c>
      <c r="H15">
        <f>[3]Population!J5</f>
        <v>2403185.638225256</v>
      </c>
    </row>
    <row r="16" spans="1:8" x14ac:dyDescent="0.2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</row>
    <row r="17" spans="1:8" x14ac:dyDescent="0.2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</row>
    <row r="18" spans="1:8" x14ac:dyDescent="0.2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</row>
    <row r="19" spans="1:8" x14ac:dyDescent="0.2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</row>
    <row r="20" spans="1:8" x14ac:dyDescent="0.2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</row>
    <row r="21" spans="1:8" x14ac:dyDescent="0.2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</row>
    <row r="22" spans="1:8" x14ac:dyDescent="0.2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</row>
    <row r="23" spans="1:8" x14ac:dyDescent="0.2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</row>
    <row r="24" spans="1:8" x14ac:dyDescent="0.2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</row>
    <row r="25" spans="1:8" x14ac:dyDescent="0.2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</row>
    <row r="26" spans="1:8" x14ac:dyDescent="0.2">
      <c r="A26" t="str">
        <f ca="1">OFFSET(Waikato_Reference,0,0)</f>
        <v>03 WAIKATO</v>
      </c>
      <c r="B26">
        <f>[3]Population!D6</f>
        <v>424600</v>
      </c>
      <c r="C26">
        <f>[3]Population!E6</f>
        <v>467784.57337883959</v>
      </c>
      <c r="D26">
        <f>[3]Population!F6</f>
        <v>507800.34584755381</v>
      </c>
      <c r="E26">
        <f>[3]Population!G6</f>
        <v>550598.48009101255</v>
      </c>
      <c r="F26">
        <f>[3]Population!H6</f>
        <v>594246.78043230949</v>
      </c>
      <c r="G26">
        <f>[3]Population!I6</f>
        <v>637740.50511945388</v>
      </c>
      <c r="H26">
        <f>[3]Population!J6</f>
        <v>683359.64505119459</v>
      </c>
    </row>
    <row r="27" spans="1:8" x14ac:dyDescent="0.2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</row>
    <row r="28" spans="1:8" x14ac:dyDescent="0.2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</row>
    <row r="29" spans="1:8" x14ac:dyDescent="0.2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</row>
    <row r="30" spans="1:8" x14ac:dyDescent="0.2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</row>
    <row r="31" spans="1:8" x14ac:dyDescent="0.2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</row>
    <row r="32" spans="1:8" x14ac:dyDescent="0.2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</row>
    <row r="33" spans="1:8" x14ac:dyDescent="0.2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</row>
    <row r="34" spans="1:8" x14ac:dyDescent="0.2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</row>
    <row r="35" spans="1:8" x14ac:dyDescent="0.2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</row>
    <row r="36" spans="1:8" x14ac:dyDescent="0.2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</row>
    <row r="37" spans="1:8" x14ac:dyDescent="0.2">
      <c r="A37" t="str">
        <f ca="1">OFFSET(BOP_Reference,0,0)</f>
        <v>04 BAY OF PLENTY</v>
      </c>
      <c r="B37">
        <f>[3]Population!D7</f>
        <v>279700</v>
      </c>
      <c r="C37">
        <f>[3]Population!E7</f>
        <v>308147.30375426624</v>
      </c>
      <c r="D37">
        <f>[3]Population!F7</f>
        <v>334507.19908987475</v>
      </c>
      <c r="E37">
        <f>[3]Population!G7</f>
        <v>362699.94084186578</v>
      </c>
      <c r="F37">
        <f>[3]Population!H7</f>
        <v>391452.71899886237</v>
      </c>
      <c r="G37">
        <f>[3]Population!I7</f>
        <v>420103.67235494882</v>
      </c>
      <c r="H37">
        <f>[3]Population!J7</f>
        <v>450154.71672354947</v>
      </c>
    </row>
    <row r="38" spans="1:8" x14ac:dyDescent="0.2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</row>
    <row r="39" spans="1:8" x14ac:dyDescent="0.2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</row>
    <row r="40" spans="1:8" x14ac:dyDescent="0.2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</row>
    <row r="41" spans="1:8" x14ac:dyDescent="0.2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</row>
    <row r="42" spans="1:8" x14ac:dyDescent="0.2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</row>
    <row r="43" spans="1:8" x14ac:dyDescent="0.2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</row>
    <row r="44" spans="1:8" x14ac:dyDescent="0.2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</row>
    <row r="45" spans="1:8" x14ac:dyDescent="0.2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</row>
    <row r="46" spans="1:8" x14ac:dyDescent="0.2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</row>
    <row r="47" spans="1:8" x14ac:dyDescent="0.2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</row>
    <row r="48" spans="1:8" x14ac:dyDescent="0.2">
      <c r="A48" t="str">
        <f ca="1">OFFSET(Gisborne_Reference,0,0)</f>
        <v>05 GISBORNE</v>
      </c>
      <c r="B48">
        <f>[3]Population!D8</f>
        <v>47000</v>
      </c>
      <c r="C48">
        <f>[3]Population!E8</f>
        <v>47800</v>
      </c>
      <c r="D48">
        <f>[3]Population!F8</f>
        <v>48300</v>
      </c>
      <c r="E48">
        <f>[3]Population!G8</f>
        <v>48600</v>
      </c>
      <c r="F48">
        <f>[3]Population!H8</f>
        <v>48600</v>
      </c>
      <c r="G48">
        <f>[3]Population!I8</f>
        <v>48200</v>
      </c>
      <c r="H48">
        <f>[3]Population!J8</f>
        <v>47600</v>
      </c>
    </row>
    <row r="49" spans="1:8" x14ac:dyDescent="0.2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</row>
    <row r="50" spans="1:8" x14ac:dyDescent="0.2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</row>
    <row r="51" spans="1:8" x14ac:dyDescent="0.2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</row>
    <row r="52" spans="1:8" x14ac:dyDescent="0.2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</row>
    <row r="53" spans="1:8" x14ac:dyDescent="0.2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</row>
    <row r="54" spans="1:8" x14ac:dyDescent="0.2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</row>
    <row r="55" spans="1:8" x14ac:dyDescent="0.2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</row>
    <row r="56" spans="1:8" x14ac:dyDescent="0.2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</row>
    <row r="57" spans="1:8" x14ac:dyDescent="0.2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</row>
    <row r="58" spans="1:8" x14ac:dyDescent="0.2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</row>
    <row r="59" spans="1:8" x14ac:dyDescent="0.2">
      <c r="A59" t="str">
        <f ca="1">OFFSET(Hawkes_Bay_Reference,0,0)</f>
        <v>06 HAWKE`S BAY</v>
      </c>
      <c r="B59">
        <f>[3]Population!D9</f>
        <v>158000</v>
      </c>
      <c r="C59">
        <f>[3]Population!E9</f>
        <v>162400</v>
      </c>
      <c r="D59">
        <f>[3]Population!F9</f>
        <v>164600</v>
      </c>
      <c r="E59">
        <f>[3]Population!G9</f>
        <v>166200</v>
      </c>
      <c r="F59">
        <f>[3]Population!H9</f>
        <v>166600</v>
      </c>
      <c r="G59">
        <f>[3]Population!I9</f>
        <v>165800</v>
      </c>
      <c r="H59">
        <f>[3]Population!J9</f>
        <v>164000</v>
      </c>
    </row>
    <row r="60" spans="1:8" x14ac:dyDescent="0.2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</row>
    <row r="61" spans="1:8" x14ac:dyDescent="0.2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</row>
    <row r="62" spans="1:8" x14ac:dyDescent="0.2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</row>
    <row r="63" spans="1:8" x14ac:dyDescent="0.2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</row>
    <row r="64" spans="1:8" x14ac:dyDescent="0.2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</row>
    <row r="65" spans="1:8" x14ac:dyDescent="0.2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</row>
    <row r="66" spans="1:8" x14ac:dyDescent="0.2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</row>
    <row r="67" spans="1:8" x14ac:dyDescent="0.2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</row>
    <row r="68" spans="1:8" x14ac:dyDescent="0.2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</row>
    <row r="69" spans="1:8" x14ac:dyDescent="0.2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</row>
    <row r="70" spans="1:8" x14ac:dyDescent="0.2">
      <c r="A70" t="str">
        <f ca="1">OFFSET(Taranaki_Reference,0,0)</f>
        <v>07 TARANAKI</v>
      </c>
      <c r="B70">
        <f>[3]Population!D10</f>
        <v>113600</v>
      </c>
      <c r="C70">
        <f>[3]Population!E10</f>
        <v>118800</v>
      </c>
      <c r="D70">
        <f>[3]Population!F10</f>
        <v>122000</v>
      </c>
      <c r="E70">
        <f>[3]Population!G10</f>
        <v>124900</v>
      </c>
      <c r="F70">
        <f>[3]Population!H10</f>
        <v>127200</v>
      </c>
      <c r="G70">
        <f>[3]Population!I10</f>
        <v>128900</v>
      </c>
      <c r="H70">
        <f>[3]Population!J10</f>
        <v>130200</v>
      </c>
    </row>
    <row r="71" spans="1:8" x14ac:dyDescent="0.2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</row>
    <row r="72" spans="1:8" x14ac:dyDescent="0.2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</row>
    <row r="73" spans="1:8" x14ac:dyDescent="0.2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</row>
    <row r="74" spans="1:8" x14ac:dyDescent="0.2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</row>
    <row r="75" spans="1:8" x14ac:dyDescent="0.2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</row>
    <row r="76" spans="1:8" x14ac:dyDescent="0.2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</row>
    <row r="77" spans="1:8" x14ac:dyDescent="0.2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</row>
    <row r="78" spans="1:8" x14ac:dyDescent="0.2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</row>
    <row r="79" spans="1:8" x14ac:dyDescent="0.2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</row>
    <row r="80" spans="1:8" x14ac:dyDescent="0.2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</row>
    <row r="81" spans="1:8" x14ac:dyDescent="0.2">
      <c r="A81" t="str">
        <f ca="1">OFFSET(Manawatu_Reference,0,0)</f>
        <v>08 MANAWATU-WANGANUI</v>
      </c>
      <c r="B81">
        <f>[3]Population!D11</f>
        <v>231200</v>
      </c>
      <c r="C81">
        <f>[3]Population!E11</f>
        <v>234800</v>
      </c>
      <c r="D81">
        <f>[3]Population!F11</f>
        <v>237000</v>
      </c>
      <c r="E81">
        <f>[3]Population!G11</f>
        <v>238500</v>
      </c>
      <c r="F81">
        <f>[3]Population!H11</f>
        <v>238600</v>
      </c>
      <c r="G81">
        <f>[3]Population!I11</f>
        <v>237300</v>
      </c>
      <c r="H81">
        <f>[3]Population!J11</f>
        <v>234700</v>
      </c>
    </row>
    <row r="82" spans="1:8" x14ac:dyDescent="0.2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</row>
    <row r="83" spans="1:8" x14ac:dyDescent="0.2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</row>
    <row r="84" spans="1:8" x14ac:dyDescent="0.2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</row>
    <row r="85" spans="1:8" x14ac:dyDescent="0.2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</row>
    <row r="86" spans="1:8" x14ac:dyDescent="0.2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</row>
    <row r="87" spans="1:8" x14ac:dyDescent="0.2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</row>
    <row r="88" spans="1:8" x14ac:dyDescent="0.2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</row>
    <row r="89" spans="1:8" x14ac:dyDescent="0.2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</row>
    <row r="90" spans="1:8" x14ac:dyDescent="0.2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</row>
    <row r="91" spans="1:8" x14ac:dyDescent="0.2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</row>
    <row r="92" spans="1:8" x14ac:dyDescent="0.2">
      <c r="A92" t="str">
        <f ca="1">OFFSET(Wellington_Reference,0,0)</f>
        <v>09 WELLINGTON</v>
      </c>
      <c r="B92">
        <f>[3]Population!D12</f>
        <v>486700</v>
      </c>
      <c r="C92">
        <f>[3]Population!E12</f>
        <v>505800</v>
      </c>
      <c r="D92">
        <f>[3]Population!F12</f>
        <v>518200</v>
      </c>
      <c r="E92">
        <f>[3]Population!G12</f>
        <v>529500</v>
      </c>
      <c r="F92">
        <f>[3]Population!H12</f>
        <v>538500</v>
      </c>
      <c r="G92">
        <f>[3]Population!I12</f>
        <v>544700</v>
      </c>
      <c r="H92">
        <f>[3]Population!J12</f>
        <v>548400</v>
      </c>
    </row>
    <row r="93" spans="1:8" x14ac:dyDescent="0.2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</row>
    <row r="94" spans="1:8" x14ac:dyDescent="0.2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</row>
    <row r="95" spans="1:8" x14ac:dyDescent="0.2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</row>
    <row r="96" spans="1:8" x14ac:dyDescent="0.2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</row>
    <row r="97" spans="1:8" x14ac:dyDescent="0.2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</row>
    <row r="98" spans="1:8" x14ac:dyDescent="0.2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</row>
    <row r="99" spans="1:8" x14ac:dyDescent="0.2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</row>
    <row r="100" spans="1:8" x14ac:dyDescent="0.2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</row>
    <row r="101" spans="1:8" x14ac:dyDescent="0.2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</row>
    <row r="102" spans="1:8" x14ac:dyDescent="0.2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</row>
    <row r="103" spans="1:8" x14ac:dyDescent="0.2">
      <c r="A103" t="str">
        <f ca="1">OFFSET(Nelson_Reference,0,0)</f>
        <v>10 NELS-MARLB-TAS</v>
      </c>
      <c r="B103">
        <f>[3]Population!D13</f>
        <v>142200</v>
      </c>
      <c r="C103">
        <f>[3]Population!E13</f>
        <v>147900</v>
      </c>
      <c r="D103">
        <f>[3]Population!F13</f>
        <v>151500</v>
      </c>
      <c r="E103">
        <f>[3]Population!G13</f>
        <v>154400</v>
      </c>
      <c r="F103">
        <f>[3]Population!H13</f>
        <v>156200</v>
      </c>
      <c r="G103">
        <f>[3]Population!I13</f>
        <v>156900</v>
      </c>
      <c r="H103">
        <f>[3]Population!J13</f>
        <v>156600</v>
      </c>
    </row>
    <row r="104" spans="1:8" x14ac:dyDescent="0.2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</row>
    <row r="105" spans="1:8" x14ac:dyDescent="0.2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</row>
    <row r="106" spans="1:8" x14ac:dyDescent="0.2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</row>
    <row r="107" spans="1:8" x14ac:dyDescent="0.2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</row>
    <row r="108" spans="1:8" x14ac:dyDescent="0.2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</row>
    <row r="109" spans="1:8" x14ac:dyDescent="0.2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</row>
    <row r="110" spans="1:8" x14ac:dyDescent="0.2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</row>
    <row r="111" spans="1:8" x14ac:dyDescent="0.2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</row>
    <row r="112" spans="1:8" x14ac:dyDescent="0.2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</row>
    <row r="113" spans="1:8" x14ac:dyDescent="0.2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</row>
    <row r="114" spans="1:8" x14ac:dyDescent="0.2">
      <c r="A114" t="str">
        <f ca="1">OFFSET(West_Coast_Reference,0,0)</f>
        <v>12 WEST COAST</v>
      </c>
      <c r="B114">
        <f>[3]Population!D14</f>
        <v>33000</v>
      </c>
      <c r="C114">
        <f>[3]Population!E14</f>
        <v>33800</v>
      </c>
      <c r="D114">
        <f>[3]Population!F14</f>
        <v>34000</v>
      </c>
      <c r="E114">
        <f>[3]Population!G14</f>
        <v>34100</v>
      </c>
      <c r="F114">
        <f>[3]Population!H14</f>
        <v>34000</v>
      </c>
      <c r="G114">
        <f>[3]Population!I14</f>
        <v>33700</v>
      </c>
      <c r="H114">
        <f>[3]Population!J14</f>
        <v>33200</v>
      </c>
    </row>
    <row r="115" spans="1:8" x14ac:dyDescent="0.2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</row>
    <row r="116" spans="1:8" x14ac:dyDescent="0.2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</row>
    <row r="117" spans="1:8" x14ac:dyDescent="0.2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</row>
    <row r="118" spans="1:8" x14ac:dyDescent="0.2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</row>
    <row r="119" spans="1:8" x14ac:dyDescent="0.2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</row>
    <row r="120" spans="1:8" x14ac:dyDescent="0.2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</row>
    <row r="121" spans="1:8" x14ac:dyDescent="0.2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</row>
    <row r="122" spans="1:8" x14ac:dyDescent="0.2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</row>
    <row r="123" spans="1:8" x14ac:dyDescent="0.2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</row>
    <row r="124" spans="1:8" x14ac:dyDescent="0.2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</row>
    <row r="125" spans="1:8" x14ac:dyDescent="0.2">
      <c r="A125" t="str">
        <f ca="1">OFFSET(Canterbury_Reference,0,0)</f>
        <v>13 CANTERBURY</v>
      </c>
      <c r="B125">
        <f>[3]Population!D15</f>
        <v>562900</v>
      </c>
      <c r="C125">
        <f>[3]Population!E15</f>
        <v>611900</v>
      </c>
      <c r="D125">
        <f>[3]Population!F15</f>
        <v>638900</v>
      </c>
      <c r="E125">
        <f>[3]Population!G15</f>
        <v>665000</v>
      </c>
      <c r="F125">
        <f>[3]Population!H15</f>
        <v>689000</v>
      </c>
      <c r="G125">
        <f>[3]Population!I15</f>
        <v>710300</v>
      </c>
      <c r="H125">
        <f>[3]Population!J15</f>
        <v>729200</v>
      </c>
    </row>
    <row r="126" spans="1:8" x14ac:dyDescent="0.2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</row>
    <row r="127" spans="1:8" x14ac:dyDescent="0.2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</row>
    <row r="128" spans="1:8" x14ac:dyDescent="0.2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</row>
    <row r="129" spans="1:8" x14ac:dyDescent="0.2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</row>
    <row r="130" spans="1:8" x14ac:dyDescent="0.2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</row>
    <row r="131" spans="1:8" x14ac:dyDescent="0.2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</row>
    <row r="132" spans="1:8" x14ac:dyDescent="0.2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</row>
    <row r="133" spans="1:8" x14ac:dyDescent="0.2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</row>
    <row r="134" spans="1:8" x14ac:dyDescent="0.2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</row>
    <row r="135" spans="1:8" x14ac:dyDescent="0.2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</row>
    <row r="136" spans="1:8" x14ac:dyDescent="0.2">
      <c r="A136" t="str">
        <f ca="1">OFFSET(Otago_Reference,0,0)</f>
        <v>14 OTAGO</v>
      </c>
      <c r="B136">
        <f>[3]Population!D16</f>
        <v>208800</v>
      </c>
      <c r="C136">
        <f>[3]Population!E16</f>
        <v>218000</v>
      </c>
      <c r="D136">
        <f>[3]Population!F16</f>
        <v>223800</v>
      </c>
      <c r="E136">
        <f>[3]Population!G16</f>
        <v>229100</v>
      </c>
      <c r="F136">
        <f>[3]Population!H16</f>
        <v>233600</v>
      </c>
      <c r="G136">
        <f>[3]Population!I16</f>
        <v>237100</v>
      </c>
      <c r="H136">
        <f>[3]Population!J16</f>
        <v>239800</v>
      </c>
    </row>
    <row r="137" spans="1:8" x14ac:dyDescent="0.2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</row>
    <row r="138" spans="1:8" x14ac:dyDescent="0.2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</row>
    <row r="139" spans="1:8" x14ac:dyDescent="0.2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</row>
    <row r="140" spans="1:8" x14ac:dyDescent="0.2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</row>
    <row r="141" spans="1:8" x14ac:dyDescent="0.2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</row>
    <row r="142" spans="1:8" x14ac:dyDescent="0.2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</row>
    <row r="143" spans="1:8" x14ac:dyDescent="0.2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</row>
    <row r="144" spans="1:8" x14ac:dyDescent="0.2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</row>
    <row r="145" spans="1:8" x14ac:dyDescent="0.2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</row>
    <row r="146" spans="1:8" x14ac:dyDescent="0.2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</row>
    <row r="147" spans="1:8" x14ac:dyDescent="0.2">
      <c r="A147" t="str">
        <f ca="1">OFFSET(Southland_Reference,0,0)</f>
        <v>15 SOUTHLAND</v>
      </c>
      <c r="B147">
        <f>[3]Population!D17</f>
        <v>96000</v>
      </c>
      <c r="C147">
        <f>[3]Population!E17</f>
        <v>98400</v>
      </c>
      <c r="D147">
        <f>[3]Population!F17</f>
        <v>98900</v>
      </c>
      <c r="E147">
        <f>[3]Population!G17</f>
        <v>99200</v>
      </c>
      <c r="F147">
        <f>[3]Population!H17</f>
        <v>98900</v>
      </c>
      <c r="G147">
        <f>[3]Population!I17</f>
        <v>98000</v>
      </c>
      <c r="H147">
        <f>[3]Population!J17</f>
        <v>96800</v>
      </c>
    </row>
    <row r="148" spans="1:8" x14ac:dyDescent="0.2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</row>
    <row r="149" spans="1:8" x14ac:dyDescent="0.2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</row>
    <row r="150" spans="1:8" x14ac:dyDescent="0.2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</row>
    <row r="151" spans="1:8" x14ac:dyDescent="0.2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</row>
    <row r="152" spans="1:8" x14ac:dyDescent="0.2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</row>
    <row r="153" spans="1:8" x14ac:dyDescent="0.2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</row>
    <row r="154" spans="1:8" x14ac:dyDescent="0.2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</row>
    <row r="155" spans="1:8" x14ac:dyDescent="0.2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</row>
    <row r="156" spans="1:8" x14ac:dyDescent="0.2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</row>
    <row r="157" spans="1:8" x14ac:dyDescent="0.2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</row>
    <row r="158" spans="1:8" x14ac:dyDescent="0.2">
      <c r="A158" t="s">
        <v>12</v>
      </c>
      <c r="B158">
        <f>[3]Population!D18</f>
        <v>4441600</v>
      </c>
      <c r="C158">
        <f>[3]Population!E18</f>
        <v>4771700</v>
      </c>
      <c r="D158">
        <f>[3]Population!F18</f>
        <v>5040799.9999999991</v>
      </c>
      <c r="E158">
        <f>[3]Population!G18</f>
        <v>5318200</v>
      </c>
      <c r="F158">
        <f>[3]Population!H18</f>
        <v>5588300</v>
      </c>
      <c r="G158">
        <f>[3]Population!I18</f>
        <v>5844200</v>
      </c>
      <c r="H158">
        <f>[3]Population!J18</f>
        <v>6100100</v>
      </c>
    </row>
    <row r="159" spans="1:8" x14ac:dyDescent="0.2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</row>
    <row r="160" spans="1:8" x14ac:dyDescent="0.2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</row>
    <row r="161" spans="1:8" x14ac:dyDescent="0.2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</row>
    <row r="162" spans="1:8" x14ac:dyDescent="0.2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</row>
    <row r="163" spans="1:8" x14ac:dyDescent="0.2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</row>
    <row r="164" spans="1:8" x14ac:dyDescent="0.2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</row>
    <row r="165" spans="1:8" x14ac:dyDescent="0.2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</row>
    <row r="166" spans="1:8" x14ac:dyDescent="0.2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</row>
    <row r="167" spans="1:8" x14ac:dyDescent="0.2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</row>
    <row r="168" spans="1:8" x14ac:dyDescent="0.2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</row>
    <row r="169" spans="1:8" x14ac:dyDescent="0.2">
      <c r="A169" t="s">
        <v>111</v>
      </c>
      <c r="B169" s="5">
        <f>B4+B26+B37+B48+B59+B70+B81+B103+B114+B136+B147</f>
        <v>1898800</v>
      </c>
      <c r="C169">
        <f t="shared" ref="C169:H169" si="1">C4+C26+C37+C48+C59+C70+C81+C103+C114+C136+C147</f>
        <v>2008931.8771331059</v>
      </c>
      <c r="D169">
        <f t="shared" si="1"/>
        <v>2097907.5449374286</v>
      </c>
      <c r="E169">
        <f t="shared" si="1"/>
        <v>2187398.4209328783</v>
      </c>
      <c r="F169">
        <f t="shared" si="1"/>
        <v>2270999.4994311719</v>
      </c>
      <c r="G169">
        <f t="shared" si="1"/>
        <v>2346444.1774744028</v>
      </c>
      <c r="H169">
        <f t="shared" si="1"/>
        <v>2419314.361774744</v>
      </c>
    </row>
    <row r="170" spans="1:8" x14ac:dyDescent="0.2">
      <c r="B170" s="4"/>
      <c r="C170" s="4"/>
      <c r="D170" s="4"/>
      <c r="E170" s="4"/>
      <c r="F170" s="4"/>
      <c r="G170" s="4"/>
      <c r="H170" s="4"/>
    </row>
    <row r="171" spans="1:8" x14ac:dyDescent="0.2">
      <c r="B171" s="4"/>
      <c r="C171" s="4"/>
      <c r="D171" s="4"/>
      <c r="E171" s="4"/>
      <c r="F171" s="4"/>
      <c r="G171" s="4"/>
      <c r="H171" s="4"/>
    </row>
    <row r="172" spans="1:8" x14ac:dyDescent="0.2">
      <c r="B172" s="4"/>
      <c r="C172" s="4"/>
      <c r="D172" s="4"/>
      <c r="E172" s="4"/>
      <c r="F172" s="4"/>
      <c r="G172" s="4"/>
      <c r="H172" s="4"/>
    </row>
    <row r="173" spans="1:8" x14ac:dyDescent="0.2">
      <c r="B173" s="4"/>
      <c r="C173" s="4"/>
      <c r="D173" s="4"/>
      <c r="E173" s="4"/>
      <c r="F173" s="4"/>
      <c r="G173" s="4"/>
      <c r="H173" s="4"/>
    </row>
    <row r="174" spans="1:8" x14ac:dyDescent="0.2">
      <c r="B174" s="4"/>
      <c r="C174" s="4"/>
      <c r="D174" s="4"/>
      <c r="E174" s="4"/>
      <c r="F174" s="4"/>
      <c r="G174" s="4"/>
      <c r="H174" s="4"/>
    </row>
    <row r="175" spans="1:8" x14ac:dyDescent="0.2">
      <c r="B175" s="4"/>
      <c r="C175" s="4"/>
      <c r="D175" s="4"/>
      <c r="E175" s="4"/>
      <c r="F175" s="4"/>
      <c r="G175" s="4"/>
      <c r="H175" s="4"/>
    </row>
    <row r="176" spans="1:8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K190"/>
  <sheetViews>
    <sheetView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H158" sqref="H158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15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  <c r="B4" s="5">
        <f>[4]Population!D4</f>
        <v>164700</v>
      </c>
      <c r="C4" s="5">
        <f>[4]Population!E4</f>
        <v>176100</v>
      </c>
      <c r="D4" s="5">
        <f>[4]Population!F4</f>
        <v>183300</v>
      </c>
      <c r="E4" s="5">
        <f>[4]Population!G4</f>
        <v>188600</v>
      </c>
      <c r="F4" s="5">
        <f>[4]Population!H4</f>
        <v>192500</v>
      </c>
      <c r="G4" s="5">
        <f>[4]Population!I4</f>
        <v>195100</v>
      </c>
      <c r="H4" s="5">
        <f>[4]Population!J4</f>
        <v>196700</v>
      </c>
      <c r="I4" s="5">
        <f>[4]Population!K4</f>
        <v>197632.92754735926</v>
      </c>
      <c r="J4" s="5">
        <f>[4]Population!L4</f>
        <v>197938.19645723698</v>
      </c>
      <c r="K4" s="5">
        <f>[4]Population!M4</f>
        <v>197817.89786960755</v>
      </c>
    </row>
    <row r="5" spans="1:11" x14ac:dyDescent="0.2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  <c r="I5" s="5"/>
      <c r="J5" s="5"/>
      <c r="K5" s="5"/>
    </row>
    <row r="6" spans="1:11" x14ac:dyDescent="0.2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  <c r="I6" s="5"/>
      <c r="J6" s="5"/>
      <c r="K6" s="5"/>
    </row>
    <row r="7" spans="1:11" x14ac:dyDescent="0.2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  <c r="I7" s="5"/>
      <c r="J7" s="5"/>
      <c r="K7" s="5"/>
    </row>
    <row r="8" spans="1:11" x14ac:dyDescent="0.2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  <c r="I8" s="5"/>
      <c r="J8" s="5"/>
      <c r="K8" s="5"/>
    </row>
    <row r="9" spans="1:11" x14ac:dyDescent="0.2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  <c r="I9" s="5"/>
      <c r="J9" s="5"/>
      <c r="K9" s="5"/>
    </row>
    <row r="10" spans="1:11" x14ac:dyDescent="0.2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  <c r="I10" s="5"/>
      <c r="J10" s="5"/>
      <c r="K10" s="5"/>
    </row>
    <row r="11" spans="1:11" x14ac:dyDescent="0.2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  <c r="I11" s="5"/>
      <c r="J11" s="5"/>
      <c r="K11" s="5"/>
    </row>
    <row r="12" spans="1:11" x14ac:dyDescent="0.2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  <c r="I12" s="5"/>
      <c r="J12" s="5"/>
      <c r="K12" s="5"/>
    </row>
    <row r="13" spans="1:11" x14ac:dyDescent="0.2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  <c r="I13" s="5"/>
      <c r="J13" s="5"/>
      <c r="K13" s="5"/>
    </row>
    <row r="14" spans="1:11" x14ac:dyDescent="0.2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  <c r="I14" s="5"/>
      <c r="J14" s="5"/>
      <c r="K14" s="5"/>
    </row>
    <row r="15" spans="1:11" x14ac:dyDescent="0.2">
      <c r="A15" t="str">
        <f ca="1">OFFSET(Auckland_Reference,0,0)</f>
        <v>02 AUCKLAND</v>
      </c>
      <c r="B15" s="5">
        <f>[4]Population!D5</f>
        <v>1493200</v>
      </c>
      <c r="C15" s="5">
        <f>[4]Population!E5</f>
        <v>1752361.0830489192</v>
      </c>
      <c r="D15" s="5">
        <f>[4]Population!F5</f>
        <v>1969461.1513083049</v>
      </c>
      <c r="E15" s="5">
        <f>[4]Population!G5</f>
        <v>2169913.4835039815</v>
      </c>
      <c r="F15" s="5">
        <f>[4]Population!H5</f>
        <v>2367715.7679180885</v>
      </c>
      <c r="G15" s="5">
        <f>[4]Population!I5</f>
        <v>2560353.8566552904</v>
      </c>
      <c r="H15" s="5">
        <f>[4]Population!J5</f>
        <v>2750817.5472127418</v>
      </c>
      <c r="I15" s="5">
        <f>[4]Population!K5</f>
        <v>2897459.5377513119</v>
      </c>
      <c r="J15" s="5">
        <f>[4]Population!L5</f>
        <v>3083611.8493312756</v>
      </c>
      <c r="K15" s="5">
        <f>[4]Population!M5</f>
        <v>3277133.4054458239</v>
      </c>
    </row>
    <row r="16" spans="1:11" x14ac:dyDescent="0.2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  <c r="I16" s="5"/>
      <c r="J16" s="5"/>
      <c r="K16" s="5"/>
    </row>
    <row r="17" spans="1:11" x14ac:dyDescent="0.2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  <c r="I17" s="5"/>
      <c r="J17" s="5"/>
      <c r="K17" s="5"/>
    </row>
    <row r="18" spans="1:11" x14ac:dyDescent="0.2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  <c r="I18" s="5"/>
      <c r="J18" s="5"/>
      <c r="K18" s="5"/>
    </row>
    <row r="19" spans="1:11" x14ac:dyDescent="0.2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  <c r="I19" s="5"/>
      <c r="J19" s="5"/>
      <c r="K19" s="5"/>
    </row>
    <row r="20" spans="1:11" x14ac:dyDescent="0.2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  <c r="I20" s="5"/>
      <c r="J20" s="5"/>
      <c r="K20" s="5"/>
    </row>
    <row r="21" spans="1:11" x14ac:dyDescent="0.2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  <c r="I21" s="5"/>
      <c r="J21" s="5"/>
      <c r="K21" s="5"/>
    </row>
    <row r="22" spans="1:11" x14ac:dyDescent="0.2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  <c r="I22" s="5"/>
      <c r="J22" s="5"/>
      <c r="K22" s="5"/>
    </row>
    <row r="23" spans="1:11" x14ac:dyDescent="0.2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  <c r="I23" s="5"/>
      <c r="J23" s="5"/>
      <c r="K23" s="5"/>
    </row>
    <row r="24" spans="1:11" x14ac:dyDescent="0.2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  <c r="I24" s="5"/>
      <c r="J24" s="5"/>
      <c r="K24" s="5"/>
    </row>
    <row r="25" spans="1:11" x14ac:dyDescent="0.2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  <c r="I25" s="5"/>
      <c r="J25" s="5"/>
      <c r="K25" s="5"/>
    </row>
    <row r="26" spans="1:11" x14ac:dyDescent="0.2">
      <c r="A26" t="str">
        <f ca="1">OFFSET(Waikato_Reference,0,0)</f>
        <v>03 WAIKATO</v>
      </c>
      <c r="B26" s="5">
        <f>[4]Population!D6</f>
        <v>424600</v>
      </c>
      <c r="C26" s="5">
        <f>[4]Population!E6</f>
        <v>498293.94311717863</v>
      </c>
      <c r="D26" s="5">
        <f>[4]Population!F6</f>
        <v>560027.59499431169</v>
      </c>
      <c r="E26" s="5">
        <f>[4]Population!G6</f>
        <v>617027.3674630262</v>
      </c>
      <c r="F26" s="5">
        <f>[4]Population!H6</f>
        <v>673273.58361774741</v>
      </c>
      <c r="G26" s="5">
        <f>[4]Population!I6</f>
        <v>728051.33105802047</v>
      </c>
      <c r="H26" s="5">
        <f>[4]Population!J6</f>
        <v>782210.77588168369</v>
      </c>
      <c r="I26" s="5">
        <f>[4]Population!K6</f>
        <v>823909.26850335323</v>
      </c>
      <c r="J26" s="5">
        <f>[4]Population!L6</f>
        <v>876842.74794137396</v>
      </c>
      <c r="K26" s="5">
        <f>[4]Population!M6</f>
        <v>931871.71440684225</v>
      </c>
    </row>
    <row r="27" spans="1:11" x14ac:dyDescent="0.2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  <c r="I27" s="5"/>
      <c r="J27" s="5"/>
      <c r="K27" s="5"/>
    </row>
    <row r="28" spans="1:11" x14ac:dyDescent="0.2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  <c r="I28" s="5"/>
      <c r="J28" s="5"/>
      <c r="K28" s="5"/>
    </row>
    <row r="29" spans="1:11" x14ac:dyDescent="0.2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  <c r="I29" s="5"/>
      <c r="J29" s="5"/>
      <c r="K29" s="5"/>
    </row>
    <row r="30" spans="1:11" x14ac:dyDescent="0.2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  <c r="I30" s="5"/>
      <c r="J30" s="5"/>
      <c r="K30" s="5"/>
    </row>
    <row r="31" spans="1:11" x14ac:dyDescent="0.2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  <c r="I31" s="5"/>
      <c r="J31" s="5"/>
      <c r="K31" s="5"/>
    </row>
    <row r="32" spans="1:11" x14ac:dyDescent="0.2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  <c r="I32" s="5"/>
      <c r="J32" s="5"/>
      <c r="K32" s="5"/>
    </row>
    <row r="33" spans="1:11" x14ac:dyDescent="0.2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  <c r="I33" s="5"/>
      <c r="J33" s="5"/>
      <c r="K33" s="5"/>
    </row>
    <row r="34" spans="1:11" x14ac:dyDescent="0.2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  <c r="I34" s="5"/>
      <c r="J34" s="5"/>
      <c r="K34" s="5"/>
    </row>
    <row r="35" spans="1:11" x14ac:dyDescent="0.2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  <c r="I35" s="5"/>
      <c r="J35" s="5"/>
      <c r="K35" s="5"/>
    </row>
    <row r="36" spans="1:11" x14ac:dyDescent="0.2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  <c r="I36" s="5"/>
      <c r="J36" s="5"/>
      <c r="K36" s="5"/>
    </row>
    <row r="37" spans="1:11" x14ac:dyDescent="0.2">
      <c r="A37" t="str">
        <f ca="1">OFFSET(BOP_Reference,0,0)</f>
        <v>04 BAY OF PLENTY</v>
      </c>
      <c r="B37" s="5">
        <f>[4]Population!D7</f>
        <v>279700</v>
      </c>
      <c r="C37" s="5">
        <f>[4]Population!E7</f>
        <v>328244.97383390216</v>
      </c>
      <c r="D37" s="5">
        <f>[4]Population!F7</f>
        <v>368911.25369738339</v>
      </c>
      <c r="E37" s="5">
        <f>[4]Population!G7</f>
        <v>406459.14903299202</v>
      </c>
      <c r="F37" s="5">
        <f>[4]Population!H7</f>
        <v>443510.64846416382</v>
      </c>
      <c r="G37" s="5">
        <f>[4]Population!I7</f>
        <v>479594.81228668947</v>
      </c>
      <c r="H37" s="5">
        <f>[4]Population!J7</f>
        <v>515271.67690557451</v>
      </c>
      <c r="I37" s="5">
        <f>[4]Population!K7</f>
        <v>542740.04333581706</v>
      </c>
      <c r="J37" s="5">
        <f>[4]Population!L7</f>
        <v>577609.31841545529</v>
      </c>
      <c r="K37" s="5">
        <f>[4]Population!M7</f>
        <v>613858.96966461092</v>
      </c>
    </row>
    <row r="38" spans="1:11" x14ac:dyDescent="0.2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  <c r="I38" s="5"/>
      <c r="J38" s="5"/>
      <c r="K38" s="5"/>
    </row>
    <row r="39" spans="1:11" x14ac:dyDescent="0.2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  <c r="I39" s="5"/>
      <c r="J39" s="5"/>
      <c r="K39" s="5"/>
    </row>
    <row r="40" spans="1:11" x14ac:dyDescent="0.2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  <c r="I40" s="5"/>
      <c r="J40" s="5"/>
      <c r="K40" s="5"/>
    </row>
    <row r="41" spans="1:11" x14ac:dyDescent="0.2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  <c r="I41" s="5"/>
      <c r="J41" s="5"/>
      <c r="K41" s="5"/>
    </row>
    <row r="42" spans="1:11" x14ac:dyDescent="0.2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  <c r="I42" s="5"/>
      <c r="J42" s="5"/>
      <c r="K42" s="5"/>
    </row>
    <row r="43" spans="1:11" x14ac:dyDescent="0.2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  <c r="I43" s="5"/>
      <c r="J43" s="5"/>
      <c r="K43" s="5"/>
    </row>
    <row r="44" spans="1:11" x14ac:dyDescent="0.2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  <c r="I44" s="5"/>
      <c r="J44" s="5"/>
      <c r="K44" s="5"/>
    </row>
    <row r="45" spans="1:11" x14ac:dyDescent="0.2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  <c r="I45" s="5"/>
      <c r="J45" s="5"/>
      <c r="K45" s="5"/>
    </row>
    <row r="46" spans="1:11" x14ac:dyDescent="0.2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  <c r="I46" s="5"/>
      <c r="J46" s="5"/>
      <c r="K46" s="5"/>
    </row>
    <row r="47" spans="1:11" x14ac:dyDescent="0.2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  <c r="I47" s="5"/>
      <c r="J47" s="5"/>
      <c r="K47" s="5"/>
    </row>
    <row r="48" spans="1:11" x14ac:dyDescent="0.2">
      <c r="A48" t="str">
        <f ca="1">OFFSET(Gisborne_Reference,0,0)</f>
        <v>05 GISBORNE</v>
      </c>
      <c r="B48" s="5">
        <f>[4]Population!D8</f>
        <v>47000</v>
      </c>
      <c r="C48" s="5">
        <f>[4]Population!E8</f>
        <v>48500</v>
      </c>
      <c r="D48" s="5">
        <f>[4]Population!F8</f>
        <v>49400</v>
      </c>
      <c r="E48" s="5">
        <f>[4]Population!G8</f>
        <v>50000</v>
      </c>
      <c r="F48" s="5">
        <f>[4]Population!H8</f>
        <v>50300</v>
      </c>
      <c r="G48" s="5">
        <f>[4]Population!I8</f>
        <v>50200</v>
      </c>
      <c r="H48" s="5">
        <f>[4]Population!J8</f>
        <v>49900</v>
      </c>
      <c r="I48" s="5">
        <f>[4]Population!K8</f>
        <v>49431.663701127458</v>
      </c>
      <c r="J48" s="5">
        <f>[4]Population!L8</f>
        <v>48811.850271600131</v>
      </c>
      <c r="K48" s="5">
        <f>[4]Population!M8</f>
        <v>48096.224053239421</v>
      </c>
    </row>
    <row r="49" spans="1:11" x14ac:dyDescent="0.2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  <c r="I49" s="5"/>
      <c r="J49" s="5"/>
      <c r="K49" s="5"/>
    </row>
    <row r="50" spans="1:11" x14ac:dyDescent="0.2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  <c r="I50" s="5"/>
      <c r="J50" s="5"/>
      <c r="K50" s="5"/>
    </row>
    <row r="51" spans="1:11" x14ac:dyDescent="0.2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  <c r="I51" s="5"/>
      <c r="J51" s="5"/>
      <c r="K51" s="5"/>
    </row>
    <row r="52" spans="1:11" x14ac:dyDescent="0.2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  <c r="I52" s="5"/>
      <c r="J52" s="5"/>
      <c r="K52" s="5"/>
    </row>
    <row r="53" spans="1:11" x14ac:dyDescent="0.2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  <c r="I53" s="5"/>
      <c r="J53" s="5"/>
      <c r="K53" s="5"/>
    </row>
    <row r="54" spans="1:11" x14ac:dyDescent="0.2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  <c r="I54" s="5"/>
      <c r="J54" s="5"/>
      <c r="K54" s="5"/>
    </row>
    <row r="55" spans="1:11" x14ac:dyDescent="0.2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  <c r="I55" s="5"/>
      <c r="J55" s="5"/>
      <c r="K55" s="5"/>
    </row>
    <row r="56" spans="1:11" x14ac:dyDescent="0.2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  <c r="I56" s="5"/>
      <c r="J56" s="5"/>
      <c r="K56" s="5"/>
    </row>
    <row r="57" spans="1:11" x14ac:dyDescent="0.2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  <c r="I57" s="5"/>
      <c r="J57" s="5"/>
      <c r="K57" s="5"/>
    </row>
    <row r="58" spans="1:11" x14ac:dyDescent="0.2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  <c r="I58" s="5"/>
      <c r="J58" s="5"/>
      <c r="K58" s="5"/>
    </row>
    <row r="59" spans="1:11" x14ac:dyDescent="0.2">
      <c r="A59" t="str">
        <f ca="1">OFFSET(Hawkes_Bay_Reference,0,0)</f>
        <v>06 HAWKE`S BAY</v>
      </c>
      <c r="B59" s="5">
        <f>[4]Population!D9</f>
        <v>158000</v>
      </c>
      <c r="C59" s="5">
        <f>[4]Population!E9</f>
        <v>164100</v>
      </c>
      <c r="D59" s="5">
        <f>[4]Population!F9</f>
        <v>167400</v>
      </c>
      <c r="E59" s="5">
        <f>[4]Population!G9</f>
        <v>169900</v>
      </c>
      <c r="F59" s="5">
        <f>[4]Population!H9</f>
        <v>171200</v>
      </c>
      <c r="G59" s="5">
        <f>[4]Population!I9</f>
        <v>171400</v>
      </c>
      <c r="H59" s="5">
        <f>[4]Population!J9</f>
        <v>170800</v>
      </c>
      <c r="I59" s="5">
        <f>[4]Population!K9</f>
        <v>169618.32437766416</v>
      </c>
      <c r="J59" s="5">
        <f>[4]Population!L9</f>
        <v>167908.6352501736</v>
      </c>
      <c r="K59" s="5">
        <f>[4]Population!M9</f>
        <v>165858.96984434372</v>
      </c>
    </row>
    <row r="60" spans="1:11" x14ac:dyDescent="0.2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  <c r="I60" s="5"/>
      <c r="J60" s="5"/>
      <c r="K60" s="5"/>
    </row>
    <row r="61" spans="1:11" x14ac:dyDescent="0.2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  <c r="I61" s="5"/>
      <c r="J61" s="5"/>
      <c r="K61" s="5"/>
    </row>
    <row r="62" spans="1:11" x14ac:dyDescent="0.2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  <c r="I62" s="5"/>
      <c r="J62" s="5"/>
      <c r="K62" s="5"/>
    </row>
    <row r="63" spans="1:11" x14ac:dyDescent="0.2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  <c r="I63" s="5"/>
      <c r="J63" s="5"/>
      <c r="K63" s="5"/>
    </row>
    <row r="64" spans="1:11" x14ac:dyDescent="0.2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  <c r="I64" s="5"/>
      <c r="J64" s="5"/>
      <c r="K64" s="5"/>
    </row>
    <row r="65" spans="1:11" x14ac:dyDescent="0.2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  <c r="I65" s="5"/>
      <c r="J65" s="5"/>
      <c r="K65" s="5"/>
    </row>
    <row r="66" spans="1:11" x14ac:dyDescent="0.2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  <c r="I66" s="5"/>
      <c r="J66" s="5"/>
      <c r="K66" s="5"/>
    </row>
    <row r="67" spans="1:11" x14ac:dyDescent="0.2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  <c r="I67" s="5"/>
      <c r="J67" s="5"/>
      <c r="K67" s="5"/>
    </row>
    <row r="68" spans="1:11" x14ac:dyDescent="0.2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  <c r="I68" s="5"/>
      <c r="J68" s="5"/>
      <c r="K68" s="5"/>
    </row>
    <row r="69" spans="1:11" x14ac:dyDescent="0.2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  <c r="I69" s="5"/>
      <c r="J69" s="5"/>
      <c r="K69" s="5"/>
    </row>
    <row r="70" spans="1:11" x14ac:dyDescent="0.2">
      <c r="A70" t="str">
        <f ca="1">OFFSET(Taranaki_Reference,0,0)</f>
        <v>07 TARANAKI</v>
      </c>
      <c r="B70" s="5">
        <f>[4]Population!D10</f>
        <v>113600</v>
      </c>
      <c r="C70" s="5">
        <f>[4]Population!E10</f>
        <v>119100</v>
      </c>
      <c r="D70" s="5">
        <f>[4]Population!F10</f>
        <v>122500</v>
      </c>
      <c r="E70" s="5">
        <f>[4]Population!G10</f>
        <v>125500</v>
      </c>
      <c r="F70" s="5">
        <f>[4]Population!H10</f>
        <v>127800</v>
      </c>
      <c r="G70" s="5">
        <f>[4]Population!I10</f>
        <v>129500</v>
      </c>
      <c r="H70" s="5">
        <f>[4]Population!J10</f>
        <v>130800</v>
      </c>
      <c r="I70" s="5">
        <f>[4]Population!K10</f>
        <v>131659.91580643697</v>
      </c>
      <c r="J70" s="5">
        <f>[4]Population!L10</f>
        <v>132103.63348676322</v>
      </c>
      <c r="K70" s="5">
        <f>[4]Population!M10</f>
        <v>132263.99054396391</v>
      </c>
    </row>
    <row r="71" spans="1:11" x14ac:dyDescent="0.2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  <c r="I71" s="5"/>
      <c r="J71" s="5"/>
      <c r="K71" s="5"/>
    </row>
    <row r="72" spans="1:11" x14ac:dyDescent="0.2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  <c r="I72" s="5"/>
      <c r="J72" s="5"/>
      <c r="K72" s="5"/>
    </row>
    <row r="73" spans="1:11" x14ac:dyDescent="0.2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  <c r="I73" s="5"/>
      <c r="J73" s="5"/>
      <c r="K73" s="5"/>
    </row>
    <row r="74" spans="1:11" x14ac:dyDescent="0.2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  <c r="I74" s="5"/>
      <c r="J74" s="5"/>
      <c r="K74" s="5"/>
    </row>
    <row r="75" spans="1:11" x14ac:dyDescent="0.2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  <c r="I75" s="5"/>
      <c r="J75" s="5"/>
      <c r="K75" s="5"/>
    </row>
    <row r="76" spans="1:11" x14ac:dyDescent="0.2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  <c r="I76" s="5"/>
      <c r="J76" s="5"/>
      <c r="K76" s="5"/>
    </row>
    <row r="77" spans="1:11" x14ac:dyDescent="0.2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  <c r="I77" s="5"/>
      <c r="J77" s="5"/>
      <c r="K77" s="5"/>
    </row>
    <row r="78" spans="1:11" x14ac:dyDescent="0.2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  <c r="I78" s="5"/>
      <c r="J78" s="5"/>
      <c r="K78" s="5"/>
    </row>
    <row r="79" spans="1:11" x14ac:dyDescent="0.2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  <c r="I79" s="5"/>
      <c r="J79" s="5"/>
      <c r="K79" s="5"/>
    </row>
    <row r="80" spans="1:11" x14ac:dyDescent="0.2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  <c r="I80" s="5"/>
      <c r="J80" s="5"/>
      <c r="K80" s="5"/>
    </row>
    <row r="81" spans="1:11" x14ac:dyDescent="0.2">
      <c r="A81" t="str">
        <f ca="1">OFFSET(Manawatu_Reference,0,0)</f>
        <v>08 MANAWATU-WANGANUI</v>
      </c>
      <c r="B81" s="5">
        <f>[4]Population!D11</f>
        <v>231200</v>
      </c>
      <c r="C81" s="5">
        <f>[4]Population!E11</f>
        <v>240500</v>
      </c>
      <c r="D81" s="5">
        <f>[4]Population!F11</f>
        <v>244600</v>
      </c>
      <c r="E81" s="5">
        <f>[4]Population!G11</f>
        <v>247500</v>
      </c>
      <c r="F81" s="5">
        <f>[4]Population!H11</f>
        <v>248900</v>
      </c>
      <c r="G81" s="5">
        <f>[4]Population!I11</f>
        <v>248800</v>
      </c>
      <c r="H81" s="5">
        <f>[4]Population!J11</f>
        <v>247600</v>
      </c>
      <c r="I81" s="5">
        <f>[4]Population!K11</f>
        <v>245560.64087617269</v>
      </c>
      <c r="J81" s="5">
        <f>[4]Population!L11</f>
        <v>242762.85528000264</v>
      </c>
      <c r="K81" s="5">
        <f>[4]Population!M11</f>
        <v>239481.17720785996</v>
      </c>
    </row>
    <row r="82" spans="1:11" x14ac:dyDescent="0.2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  <c r="I82" s="5"/>
      <c r="J82" s="5"/>
      <c r="K82" s="5"/>
    </row>
    <row r="83" spans="1:11" x14ac:dyDescent="0.2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  <c r="I83" s="5"/>
      <c r="J83" s="5"/>
      <c r="K83" s="5"/>
    </row>
    <row r="84" spans="1:11" x14ac:dyDescent="0.2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  <c r="I84" s="5"/>
      <c r="J84" s="5"/>
      <c r="K84" s="5"/>
    </row>
    <row r="85" spans="1:11" x14ac:dyDescent="0.2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  <c r="I85" s="5"/>
      <c r="J85" s="5"/>
      <c r="K85" s="5"/>
    </row>
    <row r="86" spans="1:11" x14ac:dyDescent="0.2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  <c r="I86" s="5"/>
      <c r="J86" s="5"/>
      <c r="K86" s="5"/>
    </row>
    <row r="87" spans="1:11" x14ac:dyDescent="0.2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  <c r="I87" s="5"/>
      <c r="J87" s="5"/>
      <c r="K87" s="5"/>
    </row>
    <row r="88" spans="1:11" x14ac:dyDescent="0.2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  <c r="I88" s="5"/>
      <c r="J88" s="5"/>
      <c r="K88" s="5"/>
    </row>
    <row r="89" spans="1:11" x14ac:dyDescent="0.2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  <c r="I89" s="5"/>
      <c r="J89" s="5"/>
      <c r="K89" s="5"/>
    </row>
    <row r="90" spans="1:11" x14ac:dyDescent="0.2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  <c r="I90" s="5"/>
      <c r="J90" s="5"/>
      <c r="K90" s="5"/>
    </row>
    <row r="91" spans="1:11" x14ac:dyDescent="0.2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  <c r="I91" s="5"/>
      <c r="J91" s="5"/>
      <c r="K91" s="5"/>
    </row>
    <row r="92" spans="1:11" x14ac:dyDescent="0.2">
      <c r="A92" t="str">
        <f ca="1">OFFSET(Wellington_Reference,0,0)</f>
        <v>09 WELLINGTON</v>
      </c>
      <c r="B92" s="5">
        <f>[4]Population!D12</f>
        <v>486700</v>
      </c>
      <c r="C92" s="5">
        <f>[4]Population!E12</f>
        <v>515200</v>
      </c>
      <c r="D92" s="5">
        <f>[4]Population!F12</f>
        <v>532500</v>
      </c>
      <c r="E92" s="5">
        <f>[4]Population!G12</f>
        <v>546200</v>
      </c>
      <c r="F92" s="5">
        <f>[4]Population!H12</f>
        <v>557400</v>
      </c>
      <c r="G92" s="5">
        <f>[4]Population!I12</f>
        <v>565600</v>
      </c>
      <c r="H92" s="5">
        <f>[4]Population!J12</f>
        <v>571300</v>
      </c>
      <c r="I92" s="5">
        <f>[4]Population!K12</f>
        <v>575078.1948151195</v>
      </c>
      <c r="J92" s="5">
        <f>[4]Population!L12</f>
        <v>577038.69691146258</v>
      </c>
      <c r="K92" s="5">
        <f>[4]Population!M12</f>
        <v>577761.56152978097</v>
      </c>
    </row>
    <row r="93" spans="1:11" x14ac:dyDescent="0.2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  <c r="I93" s="5"/>
      <c r="J93" s="5"/>
      <c r="K93" s="5"/>
    </row>
    <row r="94" spans="1:11" x14ac:dyDescent="0.2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  <c r="I94" s="5"/>
      <c r="J94" s="5"/>
      <c r="K94" s="5"/>
    </row>
    <row r="95" spans="1:11" x14ac:dyDescent="0.2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  <c r="I95" s="5"/>
      <c r="J95" s="5"/>
      <c r="K95" s="5"/>
    </row>
    <row r="96" spans="1:11" x14ac:dyDescent="0.2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  <c r="I96" s="5"/>
      <c r="J96" s="5"/>
      <c r="K96" s="5"/>
    </row>
    <row r="97" spans="1:11" x14ac:dyDescent="0.2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  <c r="I97" s="5"/>
      <c r="J97" s="5"/>
      <c r="K97" s="5"/>
    </row>
    <row r="98" spans="1:11" x14ac:dyDescent="0.2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  <c r="I98" s="5"/>
      <c r="J98" s="5"/>
      <c r="K98" s="5"/>
    </row>
    <row r="99" spans="1:11" x14ac:dyDescent="0.2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  <c r="I99" s="5"/>
      <c r="J99" s="5"/>
      <c r="K99" s="5"/>
    </row>
    <row r="100" spans="1:11" x14ac:dyDescent="0.2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  <c r="I100" s="5"/>
      <c r="J100" s="5"/>
      <c r="K100" s="5"/>
    </row>
    <row r="101" spans="1:11" x14ac:dyDescent="0.2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  <c r="I101" s="5"/>
      <c r="J101" s="5"/>
      <c r="K101" s="5"/>
    </row>
    <row r="102" spans="1:11" x14ac:dyDescent="0.2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  <c r="I102" s="5"/>
      <c r="J102" s="5"/>
      <c r="K102" s="5"/>
    </row>
    <row r="103" spans="1:11" x14ac:dyDescent="0.2">
      <c r="A103" t="str">
        <f ca="1">OFFSET(Nelson_Reference,0,0)</f>
        <v>10 NELS-MARLB-TAS</v>
      </c>
      <c r="B103" s="5">
        <f>[4]Population!D13</f>
        <v>142200</v>
      </c>
      <c r="C103" s="5">
        <f>[4]Population!E13</f>
        <v>149100</v>
      </c>
      <c r="D103" s="5">
        <f>[4]Population!F13</f>
        <v>153600</v>
      </c>
      <c r="E103" s="5">
        <f>[4]Population!G13</f>
        <v>157000</v>
      </c>
      <c r="F103" s="5">
        <f>[4]Population!H13</f>
        <v>159400</v>
      </c>
      <c r="G103" s="5">
        <f>[4]Population!I13</f>
        <v>160700</v>
      </c>
      <c r="H103" s="5">
        <f>[4]Population!J13</f>
        <v>161000</v>
      </c>
      <c r="I103" s="5">
        <f>[4]Population!K13</f>
        <v>160754.89583405922</v>
      </c>
      <c r="J103" s="5">
        <f>[4]Population!L13</f>
        <v>160006.7871768855</v>
      </c>
      <c r="K103" s="5">
        <f>[4]Population!M13</f>
        <v>158927.40643210392</v>
      </c>
    </row>
    <row r="104" spans="1:11" x14ac:dyDescent="0.2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  <c r="I104" s="5"/>
      <c r="J104" s="5"/>
      <c r="K104" s="5"/>
    </row>
    <row r="105" spans="1:11" x14ac:dyDescent="0.2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  <c r="I105" s="5"/>
      <c r="J105" s="5"/>
      <c r="K105" s="5"/>
    </row>
    <row r="106" spans="1:11" x14ac:dyDescent="0.2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  <c r="I106" s="5"/>
      <c r="J106" s="5"/>
      <c r="K106" s="5"/>
    </row>
    <row r="107" spans="1:11" x14ac:dyDescent="0.2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  <c r="I107" s="5"/>
      <c r="J107" s="5"/>
      <c r="K107" s="5"/>
    </row>
    <row r="108" spans="1:11" x14ac:dyDescent="0.2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  <c r="I108" s="5"/>
      <c r="J108" s="5"/>
      <c r="K108" s="5"/>
    </row>
    <row r="109" spans="1:11" x14ac:dyDescent="0.2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  <c r="I109" s="5"/>
      <c r="J109" s="5"/>
      <c r="K109" s="5"/>
    </row>
    <row r="110" spans="1:11" x14ac:dyDescent="0.2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  <c r="I110" s="5"/>
      <c r="J110" s="5"/>
      <c r="K110" s="5"/>
    </row>
    <row r="111" spans="1:11" x14ac:dyDescent="0.2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  <c r="I111" s="5"/>
      <c r="J111" s="5"/>
      <c r="K111" s="5"/>
    </row>
    <row r="112" spans="1:11" x14ac:dyDescent="0.2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  <c r="I112" s="5"/>
      <c r="J112" s="5"/>
      <c r="K112" s="5"/>
    </row>
    <row r="113" spans="1:11" x14ac:dyDescent="0.2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  <c r="I113" s="5"/>
      <c r="J113" s="5"/>
      <c r="K113" s="5"/>
    </row>
    <row r="114" spans="1:11" x14ac:dyDescent="0.2">
      <c r="A114" t="str">
        <f ca="1">OFFSET(West_Coast_Reference,0,0)</f>
        <v>12 WEST COAST</v>
      </c>
      <c r="B114" s="5">
        <f>[4]Population!D14</f>
        <v>33000</v>
      </c>
      <c r="C114" s="5">
        <f>[4]Population!E14</f>
        <v>32500</v>
      </c>
      <c r="D114" s="5">
        <f>[4]Population!F14</f>
        <v>32500</v>
      </c>
      <c r="E114" s="5">
        <f>[4]Population!G14</f>
        <v>32300</v>
      </c>
      <c r="F114" s="5">
        <f>[4]Population!H14</f>
        <v>31900</v>
      </c>
      <c r="G114" s="5">
        <f>[4]Population!I14</f>
        <v>31300</v>
      </c>
      <c r="H114" s="5">
        <f>[4]Population!J14</f>
        <v>30600</v>
      </c>
      <c r="I114" s="5">
        <f>[4]Population!K14</f>
        <v>29813.047284347907</v>
      </c>
      <c r="J114" s="5">
        <f>[4]Population!L14</f>
        <v>28953.873470953382</v>
      </c>
      <c r="K114" s="5">
        <f>[4]Population!M14</f>
        <v>28059.029410232182</v>
      </c>
    </row>
    <row r="115" spans="1:11" x14ac:dyDescent="0.2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  <c r="I115" s="5"/>
      <c r="J115" s="5"/>
      <c r="K115" s="5"/>
    </row>
    <row r="116" spans="1:11" x14ac:dyDescent="0.2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  <c r="I116" s="5"/>
      <c r="J116" s="5"/>
      <c r="K116" s="5"/>
    </row>
    <row r="117" spans="1:11" x14ac:dyDescent="0.2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  <c r="I117" s="5"/>
      <c r="J117" s="5"/>
      <c r="K117" s="5"/>
    </row>
    <row r="118" spans="1:11" x14ac:dyDescent="0.2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  <c r="I118" s="5"/>
      <c r="J118" s="5"/>
      <c r="K118" s="5"/>
    </row>
    <row r="119" spans="1:11" x14ac:dyDescent="0.2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  <c r="I119" s="5"/>
      <c r="J119" s="5"/>
      <c r="K119" s="5"/>
    </row>
    <row r="120" spans="1:11" x14ac:dyDescent="0.2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  <c r="I120" s="5"/>
      <c r="J120" s="5"/>
      <c r="K120" s="5"/>
    </row>
    <row r="121" spans="1:11" x14ac:dyDescent="0.2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  <c r="I121" s="5"/>
      <c r="J121" s="5"/>
      <c r="K121" s="5"/>
    </row>
    <row r="122" spans="1:11" x14ac:dyDescent="0.2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  <c r="I122" s="5"/>
      <c r="J122" s="5"/>
      <c r="K122" s="5"/>
    </row>
    <row r="123" spans="1:11" x14ac:dyDescent="0.2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  <c r="I123" s="5"/>
      <c r="J123" s="5"/>
      <c r="K123" s="5"/>
    </row>
    <row r="124" spans="1:11" x14ac:dyDescent="0.2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  <c r="I124" s="5"/>
      <c r="J124" s="5"/>
      <c r="K124" s="5"/>
    </row>
    <row r="125" spans="1:11" x14ac:dyDescent="0.2">
      <c r="A125" t="str">
        <f ca="1">OFFSET(Canterbury_Reference,0,0)</f>
        <v>13 CANTERBURY</v>
      </c>
      <c r="B125" s="5">
        <f>[4]Population!D15</f>
        <v>562900</v>
      </c>
      <c r="C125" s="5">
        <f>[4]Population!E15</f>
        <v>623200</v>
      </c>
      <c r="D125" s="5">
        <f>[4]Population!F15</f>
        <v>664200</v>
      </c>
      <c r="E125" s="5">
        <f>[4]Population!G15</f>
        <v>694300</v>
      </c>
      <c r="F125" s="5">
        <f>[4]Population!H15</f>
        <v>721700</v>
      </c>
      <c r="G125" s="5">
        <f>[4]Population!I15</f>
        <v>745800</v>
      </c>
      <c r="H125" s="5">
        <f>[4]Population!J15</f>
        <v>767300</v>
      </c>
      <c r="I125" s="5">
        <f>[4]Population!K15</f>
        <v>786712.17423192051</v>
      </c>
      <c r="J125" s="5">
        <f>[4]Population!L15</f>
        <v>804047.86741988454</v>
      </c>
      <c r="K125" s="5">
        <f>[4]Population!M15</f>
        <v>819999.53614564182</v>
      </c>
    </row>
    <row r="126" spans="1:11" x14ac:dyDescent="0.2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  <c r="I126" s="5"/>
      <c r="J126" s="5"/>
      <c r="K126" s="5"/>
    </row>
    <row r="127" spans="1:11" x14ac:dyDescent="0.2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  <c r="I127" s="5"/>
      <c r="J127" s="5"/>
      <c r="K127" s="5"/>
    </row>
    <row r="128" spans="1:11" x14ac:dyDescent="0.2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  <c r="I128" s="5"/>
      <c r="J128" s="5"/>
      <c r="K128" s="5"/>
    </row>
    <row r="129" spans="1:11" x14ac:dyDescent="0.2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  <c r="I129" s="5"/>
      <c r="J129" s="5"/>
      <c r="K129" s="5"/>
    </row>
    <row r="130" spans="1:11" x14ac:dyDescent="0.2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  <c r="I130" s="5"/>
      <c r="J130" s="5"/>
      <c r="K130" s="5"/>
    </row>
    <row r="131" spans="1:11" x14ac:dyDescent="0.2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  <c r="I131" s="5"/>
      <c r="J131" s="5"/>
      <c r="K131" s="5"/>
    </row>
    <row r="132" spans="1:11" x14ac:dyDescent="0.2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  <c r="I132" s="5"/>
      <c r="J132" s="5"/>
      <c r="K132" s="5"/>
    </row>
    <row r="133" spans="1:11" x14ac:dyDescent="0.2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  <c r="I133" s="5"/>
      <c r="J133" s="5"/>
      <c r="K133" s="5"/>
    </row>
    <row r="134" spans="1:11" x14ac:dyDescent="0.2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  <c r="I134" s="5"/>
      <c r="J134" s="5"/>
      <c r="K134" s="5"/>
    </row>
    <row r="135" spans="1:11" x14ac:dyDescent="0.2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  <c r="I135" s="5"/>
      <c r="J135" s="5"/>
      <c r="K135" s="5"/>
    </row>
    <row r="136" spans="1:11" x14ac:dyDescent="0.2">
      <c r="A136" t="str">
        <f ca="1">OFFSET(Otago_Reference,0,0)</f>
        <v>14 OTAGO</v>
      </c>
      <c r="B136" s="5">
        <f>[4]Population!D16</f>
        <v>208800</v>
      </c>
      <c r="C136" s="5">
        <f>[4]Population!E16</f>
        <v>225800</v>
      </c>
      <c r="D136" s="5">
        <f>[4]Population!F16</f>
        <v>236000</v>
      </c>
      <c r="E136" s="5">
        <f>[4]Population!G16</f>
        <v>242700</v>
      </c>
      <c r="F136" s="5">
        <f>[4]Population!H16</f>
        <v>248300</v>
      </c>
      <c r="G136" s="5">
        <f>[4]Population!I16</f>
        <v>252700</v>
      </c>
      <c r="H136" s="5">
        <f>[4]Population!J16</f>
        <v>256100</v>
      </c>
      <c r="I136" s="5">
        <f>[4]Population!K16</f>
        <v>258655.53031246335</v>
      </c>
      <c r="J136" s="5">
        <f>[4]Population!L16</f>
        <v>260405.000361026</v>
      </c>
      <c r="K136" s="5">
        <f>[4]Population!M16</f>
        <v>261602.89099372854</v>
      </c>
    </row>
    <row r="137" spans="1:11" x14ac:dyDescent="0.2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  <c r="I137" s="5"/>
      <c r="J137" s="5"/>
      <c r="K137" s="5"/>
    </row>
    <row r="138" spans="1:11" x14ac:dyDescent="0.2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  <c r="I138" s="5"/>
      <c r="J138" s="5"/>
      <c r="K138" s="5"/>
    </row>
    <row r="139" spans="1:11" x14ac:dyDescent="0.2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  <c r="I139" s="5"/>
      <c r="J139" s="5"/>
      <c r="K139" s="5"/>
    </row>
    <row r="140" spans="1:11" x14ac:dyDescent="0.2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  <c r="I140" s="5"/>
      <c r="J140" s="5"/>
      <c r="K140" s="5"/>
    </row>
    <row r="141" spans="1:11" x14ac:dyDescent="0.2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  <c r="I141" s="5"/>
      <c r="J141" s="5"/>
      <c r="K141" s="5"/>
    </row>
    <row r="142" spans="1:11" x14ac:dyDescent="0.2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  <c r="I142" s="5"/>
      <c r="J142" s="5"/>
      <c r="K142" s="5"/>
    </row>
    <row r="143" spans="1:11" x14ac:dyDescent="0.2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  <c r="I143" s="5"/>
      <c r="J143" s="5"/>
      <c r="K143" s="5"/>
    </row>
    <row r="144" spans="1:11" x14ac:dyDescent="0.2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  <c r="I144" s="5"/>
      <c r="J144" s="5"/>
      <c r="K144" s="5"/>
    </row>
    <row r="145" spans="1:11" x14ac:dyDescent="0.2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  <c r="I145" s="5"/>
      <c r="J145" s="5"/>
      <c r="K145" s="5"/>
    </row>
    <row r="146" spans="1:11" x14ac:dyDescent="0.2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  <c r="I146" s="5"/>
      <c r="J146" s="5"/>
      <c r="K146" s="5"/>
    </row>
    <row r="147" spans="1:11" x14ac:dyDescent="0.2">
      <c r="A147" t="str">
        <f ca="1">OFFSET(Southland_Reference,0,0)</f>
        <v>15 SOUTHLAND</v>
      </c>
      <c r="B147" s="5">
        <f>[4]Population!D17</f>
        <v>96000</v>
      </c>
      <c r="C147" s="5">
        <f>[4]Population!E17</f>
        <v>99200</v>
      </c>
      <c r="D147" s="5">
        <f>[4]Population!F17</f>
        <v>100100</v>
      </c>
      <c r="E147" s="5">
        <f>[4]Population!G17</f>
        <v>100600</v>
      </c>
      <c r="F147" s="5">
        <f>[4]Population!H17</f>
        <v>100600</v>
      </c>
      <c r="G147" s="5">
        <f>[4]Population!I17</f>
        <v>100000</v>
      </c>
      <c r="H147" s="5">
        <f>[4]Population!J17</f>
        <v>99000</v>
      </c>
      <c r="I147" s="5">
        <f>[4]Population!K17</f>
        <v>97673.835622846746</v>
      </c>
      <c r="J147" s="5">
        <f>[4]Population!L17</f>
        <v>96058.688225904029</v>
      </c>
      <c r="K147" s="5">
        <f>[4]Population!M17</f>
        <v>94267.226452221803</v>
      </c>
    </row>
    <row r="148" spans="1:11" x14ac:dyDescent="0.2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  <c r="I148" s="5"/>
      <c r="J148" s="5"/>
      <c r="K148" s="5"/>
    </row>
    <row r="149" spans="1:11" x14ac:dyDescent="0.2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  <c r="I149" s="5"/>
      <c r="J149" s="5"/>
      <c r="K149" s="5"/>
    </row>
    <row r="150" spans="1:11" x14ac:dyDescent="0.2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  <c r="I150" s="5"/>
      <c r="J150" s="5"/>
      <c r="K150" s="5"/>
    </row>
    <row r="151" spans="1:11" x14ac:dyDescent="0.2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  <c r="I151" s="5"/>
      <c r="J151" s="5"/>
      <c r="K151" s="5"/>
    </row>
    <row r="152" spans="1:11" x14ac:dyDescent="0.2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  <c r="I152" s="5"/>
      <c r="J152" s="5"/>
      <c r="K152" s="5"/>
    </row>
    <row r="153" spans="1:11" x14ac:dyDescent="0.2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  <c r="I153" s="5"/>
      <c r="J153" s="5"/>
      <c r="K153" s="5"/>
    </row>
    <row r="154" spans="1:11" x14ac:dyDescent="0.2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  <c r="I154" s="5"/>
      <c r="J154" s="5"/>
      <c r="K154" s="5"/>
    </row>
    <row r="155" spans="1:11" x14ac:dyDescent="0.2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  <c r="I155" s="5"/>
      <c r="J155" s="5"/>
      <c r="K155" s="5"/>
    </row>
    <row r="156" spans="1:11" x14ac:dyDescent="0.2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  <c r="I156" s="5"/>
      <c r="J156" s="5"/>
      <c r="K156" s="5"/>
    </row>
    <row r="157" spans="1:11" x14ac:dyDescent="0.2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  <c r="I157" s="5"/>
      <c r="J157" s="5"/>
      <c r="K157" s="5"/>
    </row>
    <row r="158" spans="1:11" x14ac:dyDescent="0.2">
      <c r="A158" t="s">
        <v>12</v>
      </c>
      <c r="B158" s="5">
        <f>[4]Population!D18</f>
        <v>4441600</v>
      </c>
      <c r="C158" s="5">
        <f>[4]Population!E18</f>
        <v>4972200</v>
      </c>
      <c r="D158" s="5">
        <f>[4]Population!F18</f>
        <v>5384500</v>
      </c>
      <c r="E158" s="5">
        <f>[4]Population!G18</f>
        <v>5748000</v>
      </c>
      <c r="F158" s="5">
        <f>[4]Population!H18</f>
        <v>6094500</v>
      </c>
      <c r="G158" s="5">
        <f>[4]Population!I18</f>
        <v>6419100</v>
      </c>
      <c r="H158" s="5">
        <f>[4]Population!J18</f>
        <v>6729400</v>
      </c>
      <c r="I158" s="5">
        <f>[4]Population!K18</f>
        <v>6966700.0000000009</v>
      </c>
      <c r="J158" s="5">
        <f>[4]Population!L18</f>
        <v>7254099.9999999991</v>
      </c>
      <c r="K158" s="5">
        <f>[4]Population!M18</f>
        <v>7547000.0000000009</v>
      </c>
    </row>
    <row r="159" spans="1:11" x14ac:dyDescent="0.2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  <c r="I159" s="5"/>
      <c r="J159" s="5"/>
      <c r="K159" s="5"/>
    </row>
    <row r="160" spans="1:11" x14ac:dyDescent="0.2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  <c r="I160" s="5"/>
      <c r="J160" s="5"/>
      <c r="K160" s="5"/>
    </row>
    <row r="161" spans="1:11" x14ac:dyDescent="0.2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  <c r="I161" s="5"/>
      <c r="J161" s="5"/>
      <c r="K161" s="5"/>
    </row>
    <row r="162" spans="1:11" x14ac:dyDescent="0.2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  <c r="I162" s="5"/>
      <c r="J162" s="5"/>
      <c r="K162" s="5"/>
    </row>
    <row r="163" spans="1:11" x14ac:dyDescent="0.2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  <c r="I163" s="5"/>
      <c r="J163" s="5"/>
      <c r="K163" s="5"/>
    </row>
    <row r="164" spans="1:11" x14ac:dyDescent="0.2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  <c r="I164" s="5"/>
      <c r="J164" s="5"/>
      <c r="K164" s="5"/>
    </row>
    <row r="165" spans="1:11" x14ac:dyDescent="0.2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  <c r="I165" s="5"/>
      <c r="J165" s="5"/>
      <c r="K165" s="5"/>
    </row>
    <row r="166" spans="1:11" x14ac:dyDescent="0.2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  <c r="I166" s="5"/>
      <c r="J166" s="5"/>
      <c r="K166" s="5"/>
    </row>
    <row r="167" spans="1:11" x14ac:dyDescent="0.2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  <c r="I167" s="5"/>
      <c r="J167" s="5"/>
      <c r="K167" s="5"/>
    </row>
    <row r="168" spans="1:11" x14ac:dyDescent="0.2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  <c r="I168" s="5"/>
      <c r="J168" s="5"/>
      <c r="K168" s="5"/>
    </row>
    <row r="169" spans="1:11" x14ac:dyDescent="0.2">
      <c r="A169" t="s">
        <v>111</v>
      </c>
      <c r="B169" s="5">
        <f>B4+B26+B37+B48+B59+B70+B81+B103+B114+B136+B147</f>
        <v>1898800</v>
      </c>
      <c r="C169">
        <f t="shared" ref="C169:K169" si="1">C4+C26+C37+C48+C59+C70+C81+C103+C114+C136+C147</f>
        <v>2081438.9169510808</v>
      </c>
      <c r="D169">
        <f t="shared" si="1"/>
        <v>2218338.8486916954</v>
      </c>
      <c r="E169">
        <f t="shared" si="1"/>
        <v>2337586.5164960185</v>
      </c>
      <c r="F169">
        <f t="shared" si="1"/>
        <v>2447684.2320819115</v>
      </c>
      <c r="G169">
        <f t="shared" si="1"/>
        <v>2547346.1433447096</v>
      </c>
      <c r="H169">
        <f t="shared" si="1"/>
        <v>2639982.4527872582</v>
      </c>
      <c r="I169" s="5">
        <f t="shared" si="1"/>
        <v>2707450.0932016475</v>
      </c>
      <c r="J169" s="5">
        <f t="shared" si="1"/>
        <v>2789401.5863373741</v>
      </c>
      <c r="K169" s="5">
        <f t="shared" si="1"/>
        <v>2872105.4968787539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074"/>
  <sheetViews>
    <sheetView workbookViewId="0">
      <pane ySplit="2" topLeftCell="A620" activePane="bottomLeft" state="frozen"/>
      <selection pane="bottomLeft" activeCell="A627" sqref="A627"/>
    </sheetView>
  </sheetViews>
  <sheetFormatPr defaultRowHeight="12.75" x14ac:dyDescent="0.2"/>
  <cols>
    <col min="1" max="1" width="26.140625" customWidth="1"/>
    <col min="2" max="2" width="10.42578125" customWidth="1"/>
    <col min="3" max="3" width="26.85546875" customWidth="1"/>
    <col min="4" max="8" width="18.5703125" customWidth="1"/>
  </cols>
  <sheetData>
    <row r="1" spans="1: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9</v>
      </c>
      <c r="I1" s="2"/>
    </row>
    <row r="2" spans="1:9" x14ac:dyDescent="0.2">
      <c r="A2" s="2"/>
      <c r="B2" s="2"/>
      <c r="C2" s="2"/>
      <c r="D2" s="2"/>
      <c r="E2" s="2"/>
      <c r="F2" s="2" t="s">
        <v>6</v>
      </c>
      <c r="G2" s="2" t="s">
        <v>8</v>
      </c>
      <c r="H2" s="2" t="s">
        <v>10</v>
      </c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t="str">
        <f>'Unformatted Trip Summary'!A2</f>
        <v>01 NORTHLAND</v>
      </c>
      <c r="B4" t="str">
        <f>'Unformatted Trip Summary'!J2</f>
        <v>2012/13</v>
      </c>
      <c r="C4" t="str">
        <f>'Unformatted Trip Summary'!I2</f>
        <v>Pedestrian</v>
      </c>
      <c r="D4">
        <f>'Unformatted Trip Summary'!D2</f>
        <v>259</v>
      </c>
      <c r="E4">
        <f>'Unformatted Trip Summary'!E2</f>
        <v>844</v>
      </c>
      <c r="F4" s="1">
        <f>'Unformatted Trip Summary'!F2</f>
        <v>23.706864376999999</v>
      </c>
      <c r="G4" s="1">
        <f>'Unformatted Trip Summary'!G2</f>
        <v>17.849116999</v>
      </c>
      <c r="H4" s="1">
        <f>'Unformatted Trip Summary'!H2</f>
        <v>5.0772161771000004</v>
      </c>
    </row>
    <row r="5" spans="1:9" x14ac:dyDescent="0.2">
      <c r="A5" t="str">
        <f>'Unformatted Trip Summary'!A3</f>
        <v>01 NORTHLAND</v>
      </c>
      <c r="B5" t="str">
        <f>'Unformatted Trip Summary'!J3</f>
        <v>2017/18</v>
      </c>
      <c r="C5" t="str">
        <f>'Unformatted Trip Summary'!I3</f>
        <v>Pedestrian</v>
      </c>
      <c r="D5">
        <f>'Unformatted Trip Summary'!D3</f>
        <v>259</v>
      </c>
      <c r="E5">
        <f>'Unformatted Trip Summary'!E3</f>
        <v>844</v>
      </c>
      <c r="F5" s="1">
        <f>'Unformatted Trip Summary'!F3</f>
        <v>21.952727676999999</v>
      </c>
      <c r="G5" s="1">
        <f>'Unformatted Trip Summary'!G3</f>
        <v>16.287674259999999</v>
      </c>
      <c r="H5" s="1">
        <f>'Unformatted Trip Summary'!H3</f>
        <v>4.6406849414</v>
      </c>
    </row>
    <row r="6" spans="1:9" x14ac:dyDescent="0.2">
      <c r="A6" t="str">
        <f>'Unformatted Trip Summary'!A4</f>
        <v>01 NORTHLAND</v>
      </c>
      <c r="B6" t="str">
        <f>'Unformatted Trip Summary'!J4</f>
        <v>2022/23</v>
      </c>
      <c r="C6" t="str">
        <f>'Unformatted Trip Summary'!I4</f>
        <v>Pedestrian</v>
      </c>
      <c r="D6">
        <f>'Unformatted Trip Summary'!D4</f>
        <v>259</v>
      </c>
      <c r="E6">
        <f>'Unformatted Trip Summary'!E4</f>
        <v>844</v>
      </c>
      <c r="F6" s="1">
        <f>'Unformatted Trip Summary'!F4</f>
        <v>21.964663739999999</v>
      </c>
      <c r="G6" s="1">
        <f>'Unformatted Trip Summary'!G4</f>
        <v>16.015147476999999</v>
      </c>
      <c r="H6" s="1">
        <f>'Unformatted Trip Summary'!H4</f>
        <v>4.5734702428</v>
      </c>
    </row>
    <row r="7" spans="1:9" x14ac:dyDescent="0.2">
      <c r="A7" t="str">
        <f>'Unformatted Trip Summary'!A5</f>
        <v>01 NORTHLAND</v>
      </c>
      <c r="B7" t="str">
        <f>'Unformatted Trip Summary'!J5</f>
        <v>2027/28</v>
      </c>
      <c r="C7" t="str">
        <f>'Unformatted Trip Summary'!I5</f>
        <v>Pedestrian</v>
      </c>
      <c r="D7">
        <f>'Unformatted Trip Summary'!D5</f>
        <v>259</v>
      </c>
      <c r="E7">
        <f>'Unformatted Trip Summary'!E5</f>
        <v>844</v>
      </c>
      <c r="F7" s="1">
        <f>'Unformatted Trip Summary'!F5</f>
        <v>20.955878895000001</v>
      </c>
      <c r="G7" s="1">
        <f>'Unformatted Trip Summary'!G5</f>
        <v>15.006773715</v>
      </c>
      <c r="H7" s="1">
        <f>'Unformatted Trip Summary'!H5</f>
        <v>4.2682686530999998</v>
      </c>
    </row>
    <row r="8" spans="1:9" x14ac:dyDescent="0.2">
      <c r="A8" t="str">
        <f>'Unformatted Trip Summary'!A6</f>
        <v>01 NORTHLAND</v>
      </c>
      <c r="B8" t="str">
        <f>'Unformatted Trip Summary'!J6</f>
        <v>2032/33</v>
      </c>
      <c r="C8" t="str">
        <f>'Unformatted Trip Summary'!I6</f>
        <v>Pedestrian</v>
      </c>
      <c r="D8">
        <f>'Unformatted Trip Summary'!D6</f>
        <v>259</v>
      </c>
      <c r="E8">
        <f>'Unformatted Trip Summary'!E6</f>
        <v>844</v>
      </c>
      <c r="F8" s="1">
        <f>'Unformatted Trip Summary'!F6</f>
        <v>19.861789483999999</v>
      </c>
      <c r="G8" s="1">
        <f>'Unformatted Trip Summary'!G6</f>
        <v>13.867542179000001</v>
      </c>
      <c r="H8" s="1">
        <f>'Unformatted Trip Summary'!H6</f>
        <v>3.9386565709000001</v>
      </c>
    </row>
    <row r="9" spans="1:9" x14ac:dyDescent="0.2">
      <c r="A9" t="str">
        <f>'Unformatted Trip Summary'!A7</f>
        <v>01 NORTHLAND</v>
      </c>
      <c r="B9" t="str">
        <f>'Unformatted Trip Summary'!J7</f>
        <v>2037/38</v>
      </c>
      <c r="C9" t="str">
        <f>'Unformatted Trip Summary'!I7</f>
        <v>Pedestrian</v>
      </c>
      <c r="D9">
        <f>'Unformatted Trip Summary'!D7</f>
        <v>259</v>
      </c>
      <c r="E9">
        <f>'Unformatted Trip Summary'!E7</f>
        <v>844</v>
      </c>
      <c r="F9" s="1">
        <f>'Unformatted Trip Summary'!F7</f>
        <v>18.660588799999999</v>
      </c>
      <c r="G9" s="1">
        <f>'Unformatted Trip Summary'!G7</f>
        <v>12.622053044999999</v>
      </c>
      <c r="H9" s="1">
        <f>'Unformatted Trip Summary'!H7</f>
        <v>3.5826017528</v>
      </c>
    </row>
    <row r="10" spans="1:9" x14ac:dyDescent="0.2">
      <c r="A10" t="str">
        <f>'Unformatted Trip Summary'!A8</f>
        <v>01 NORTHLAND</v>
      </c>
      <c r="B10" t="str">
        <f>'Unformatted Trip Summary'!J8</f>
        <v>2042/43</v>
      </c>
      <c r="C10" t="str">
        <f>'Unformatted Trip Summary'!I8</f>
        <v>Pedestrian</v>
      </c>
      <c r="D10">
        <f>'Unformatted Trip Summary'!D8</f>
        <v>259</v>
      </c>
      <c r="E10">
        <f>'Unformatted Trip Summary'!E8</f>
        <v>844</v>
      </c>
      <c r="F10" s="1">
        <f>'Unformatted Trip Summary'!F8</f>
        <v>17.511807036</v>
      </c>
      <c r="G10" s="1">
        <f>'Unformatted Trip Summary'!G8</f>
        <v>11.44996671</v>
      </c>
      <c r="H10" s="1">
        <f>'Unformatted Trip Summary'!H8</f>
        <v>3.2486232056</v>
      </c>
    </row>
    <row r="11" spans="1:9" x14ac:dyDescent="0.2">
      <c r="A11" t="str">
        <f>'Unformatted Trip Summary'!A9</f>
        <v>01 NORTHLAND</v>
      </c>
      <c r="B11" t="str">
        <f>'Unformatted Trip Summary'!J9</f>
        <v>2012/13</v>
      </c>
      <c r="C11" t="str">
        <f>'Unformatted Trip Summary'!I9</f>
        <v>Cyclist</v>
      </c>
      <c r="D11">
        <f>'Unformatted Trip Summary'!D9</f>
        <v>5</v>
      </c>
      <c r="E11">
        <f>'Unformatted Trip Summary'!E9</f>
        <v>19</v>
      </c>
      <c r="F11" s="1">
        <f>'Unformatted Trip Summary'!F9</f>
        <v>0.66592947719999995</v>
      </c>
      <c r="G11" s="1">
        <f>'Unformatted Trip Summary'!G9</f>
        <v>1.0072239942000001</v>
      </c>
      <c r="H11" s="1">
        <f>'Unformatted Trip Summary'!H9</f>
        <v>0.15772883609999999</v>
      </c>
    </row>
    <row r="12" spans="1:9" x14ac:dyDescent="0.2">
      <c r="A12" t="str">
        <f>'Unformatted Trip Summary'!A10</f>
        <v>01 NORTHLAND</v>
      </c>
      <c r="B12" t="str">
        <f>'Unformatted Trip Summary'!J10</f>
        <v>2017/18</v>
      </c>
      <c r="C12" t="str">
        <f>'Unformatted Trip Summary'!I10</f>
        <v>Cyclist</v>
      </c>
      <c r="D12">
        <f>'Unformatted Trip Summary'!D10</f>
        <v>5</v>
      </c>
      <c r="E12">
        <f>'Unformatted Trip Summary'!E10</f>
        <v>19</v>
      </c>
      <c r="F12" s="1">
        <f>'Unformatted Trip Summary'!F10</f>
        <v>0.59247920750000005</v>
      </c>
      <c r="G12" s="1">
        <f>'Unformatted Trip Summary'!G10</f>
        <v>0.91412754689999998</v>
      </c>
      <c r="H12" s="1">
        <f>'Unformatted Trip Summary'!H10</f>
        <v>0.14327489290000001</v>
      </c>
    </row>
    <row r="13" spans="1:9" x14ac:dyDescent="0.2">
      <c r="A13" t="str">
        <f>'Unformatted Trip Summary'!A11</f>
        <v>01 NORTHLAND</v>
      </c>
      <c r="B13" t="str">
        <f>'Unformatted Trip Summary'!J11</f>
        <v>2022/23</v>
      </c>
      <c r="C13" t="str">
        <f>'Unformatted Trip Summary'!I11</f>
        <v>Cyclist</v>
      </c>
      <c r="D13">
        <f>'Unformatted Trip Summary'!D11</f>
        <v>5</v>
      </c>
      <c r="E13">
        <f>'Unformatted Trip Summary'!E11</f>
        <v>19</v>
      </c>
      <c r="F13" s="1">
        <f>'Unformatted Trip Summary'!F11</f>
        <v>0.58956368579999996</v>
      </c>
      <c r="G13" s="1">
        <f>'Unformatted Trip Summary'!G11</f>
        <v>0.92269632989999995</v>
      </c>
      <c r="H13" s="1">
        <f>'Unformatted Trip Summary'!H11</f>
        <v>0.14432525830000001</v>
      </c>
    </row>
    <row r="14" spans="1:9" x14ac:dyDescent="0.2">
      <c r="A14" t="str">
        <f>'Unformatted Trip Summary'!A12</f>
        <v>01 NORTHLAND</v>
      </c>
      <c r="B14" t="str">
        <f>'Unformatted Trip Summary'!J12</f>
        <v>2027/28</v>
      </c>
      <c r="C14" t="str">
        <f>'Unformatted Trip Summary'!I12</f>
        <v>Cyclist</v>
      </c>
      <c r="D14">
        <f>'Unformatted Trip Summary'!D12</f>
        <v>5</v>
      </c>
      <c r="E14">
        <f>'Unformatted Trip Summary'!E12</f>
        <v>19</v>
      </c>
      <c r="F14" s="1">
        <f>'Unformatted Trip Summary'!F12</f>
        <v>0.52850230860000003</v>
      </c>
      <c r="G14" s="1">
        <f>'Unformatted Trip Summary'!G12</f>
        <v>0.83605250600000003</v>
      </c>
      <c r="H14" s="1">
        <f>'Unformatted Trip Summary'!H12</f>
        <v>0.13111751420000001</v>
      </c>
    </row>
    <row r="15" spans="1:9" x14ac:dyDescent="0.2">
      <c r="A15" t="str">
        <f>'Unformatted Trip Summary'!A13</f>
        <v>01 NORTHLAND</v>
      </c>
      <c r="B15" t="str">
        <f>'Unformatted Trip Summary'!J13</f>
        <v>2032/33</v>
      </c>
      <c r="C15" t="str">
        <f>'Unformatted Trip Summary'!I13</f>
        <v>Cyclist</v>
      </c>
      <c r="D15">
        <f>'Unformatted Trip Summary'!D13</f>
        <v>5</v>
      </c>
      <c r="E15">
        <f>'Unformatted Trip Summary'!E13</f>
        <v>19</v>
      </c>
      <c r="F15" s="1">
        <f>'Unformatted Trip Summary'!F13</f>
        <v>0.44584004030000002</v>
      </c>
      <c r="G15" s="1">
        <f>'Unformatted Trip Summary'!G13</f>
        <v>0.71153155840000004</v>
      </c>
      <c r="H15" s="1">
        <f>'Unformatted Trip Summary'!H13</f>
        <v>0.11178205400000001</v>
      </c>
    </row>
    <row r="16" spans="1:9" x14ac:dyDescent="0.2">
      <c r="A16" t="str">
        <f>'Unformatted Trip Summary'!A14</f>
        <v>01 NORTHLAND</v>
      </c>
      <c r="B16" t="str">
        <f>'Unformatted Trip Summary'!J14</f>
        <v>2037/38</v>
      </c>
      <c r="C16" t="str">
        <f>'Unformatted Trip Summary'!I14</f>
        <v>Cyclist</v>
      </c>
      <c r="D16">
        <f>'Unformatted Trip Summary'!D14</f>
        <v>5</v>
      </c>
      <c r="E16">
        <f>'Unformatted Trip Summary'!E14</f>
        <v>19</v>
      </c>
      <c r="F16" s="1">
        <f>'Unformatted Trip Summary'!F14</f>
        <v>0.32374908000000002</v>
      </c>
      <c r="G16" s="1">
        <f>'Unformatted Trip Summary'!G14</f>
        <v>0.52121459130000003</v>
      </c>
      <c r="H16" s="1">
        <f>'Unformatted Trip Summary'!H14</f>
        <v>8.1804211799999998E-2</v>
      </c>
    </row>
    <row r="17" spans="1:8" x14ac:dyDescent="0.2">
      <c r="A17" t="str">
        <f>'Unformatted Trip Summary'!A15</f>
        <v>01 NORTHLAND</v>
      </c>
      <c r="B17" t="str">
        <f>'Unformatted Trip Summary'!J15</f>
        <v>2042/43</v>
      </c>
      <c r="C17" t="str">
        <f>'Unformatted Trip Summary'!I15</f>
        <v>Cyclist</v>
      </c>
      <c r="D17">
        <f>'Unformatted Trip Summary'!D15</f>
        <v>5</v>
      </c>
      <c r="E17">
        <f>'Unformatted Trip Summary'!E15</f>
        <v>19</v>
      </c>
      <c r="F17" s="1">
        <f>'Unformatted Trip Summary'!F15</f>
        <v>0.21835749469999999</v>
      </c>
      <c r="G17" s="1">
        <f>'Unformatted Trip Summary'!G15</f>
        <v>0.35445561450000002</v>
      </c>
      <c r="H17" s="1">
        <f>'Unformatted Trip Summary'!H15</f>
        <v>5.5584665300000002E-2</v>
      </c>
    </row>
    <row r="18" spans="1:8" x14ac:dyDescent="0.2">
      <c r="A18" t="str">
        <f>'Unformatted Trip Summary'!A16</f>
        <v>01 NORTHLAND</v>
      </c>
      <c r="B18" t="str">
        <f>'Unformatted Trip Summary'!J16</f>
        <v>2012/13</v>
      </c>
      <c r="C18" t="str">
        <f>'Unformatted Trip Summary'!I16</f>
        <v>Light Vehicle Driver</v>
      </c>
      <c r="D18">
        <f>'Unformatted Trip Summary'!D16</f>
        <v>476</v>
      </c>
      <c r="E18">
        <f>'Unformatted Trip Summary'!E16</f>
        <v>2980</v>
      </c>
      <c r="F18" s="1">
        <f>'Unformatted Trip Summary'!F16</f>
        <v>86.333691700000003</v>
      </c>
      <c r="G18" s="1">
        <f>'Unformatted Trip Summary'!G16</f>
        <v>1011.4273062</v>
      </c>
      <c r="H18" s="1">
        <f>'Unformatted Trip Summary'!H16</f>
        <v>23.421840091</v>
      </c>
    </row>
    <row r="19" spans="1:8" x14ac:dyDescent="0.2">
      <c r="A19" t="str">
        <f>'Unformatted Trip Summary'!A17</f>
        <v>01 NORTHLAND</v>
      </c>
      <c r="B19" t="str">
        <f>'Unformatted Trip Summary'!J17</f>
        <v>2017/18</v>
      </c>
      <c r="C19" t="str">
        <f>'Unformatted Trip Summary'!I17</f>
        <v>Light Vehicle Driver</v>
      </c>
      <c r="D19">
        <f>'Unformatted Trip Summary'!D17</f>
        <v>476</v>
      </c>
      <c r="E19">
        <f>'Unformatted Trip Summary'!E17</f>
        <v>2980</v>
      </c>
      <c r="F19" s="1">
        <f>'Unformatted Trip Summary'!F17</f>
        <v>82.587707332999997</v>
      </c>
      <c r="G19" s="1">
        <f>'Unformatted Trip Summary'!G17</f>
        <v>979.62097317999996</v>
      </c>
      <c r="H19" s="1">
        <f>'Unformatted Trip Summary'!H17</f>
        <v>22.626610604</v>
      </c>
    </row>
    <row r="20" spans="1:8" x14ac:dyDescent="0.2">
      <c r="A20" t="str">
        <f>'Unformatted Trip Summary'!A18</f>
        <v>01 NORTHLAND</v>
      </c>
      <c r="B20" t="str">
        <f>'Unformatted Trip Summary'!J18</f>
        <v>2022/23</v>
      </c>
      <c r="C20" t="str">
        <f>'Unformatted Trip Summary'!I18</f>
        <v>Light Vehicle Driver</v>
      </c>
      <c r="D20">
        <f>'Unformatted Trip Summary'!D18</f>
        <v>476</v>
      </c>
      <c r="E20">
        <f>'Unformatted Trip Summary'!E18</f>
        <v>2980</v>
      </c>
      <c r="F20" s="1">
        <f>'Unformatted Trip Summary'!F18</f>
        <v>85.163748853000001</v>
      </c>
      <c r="G20" s="1">
        <f>'Unformatted Trip Summary'!G18</f>
        <v>1020.5107126</v>
      </c>
      <c r="H20" s="1">
        <f>'Unformatted Trip Summary'!H18</f>
        <v>23.449053301999999</v>
      </c>
    </row>
    <row r="21" spans="1:8" x14ac:dyDescent="0.2">
      <c r="A21" t="str">
        <f>'Unformatted Trip Summary'!A19</f>
        <v>01 NORTHLAND</v>
      </c>
      <c r="B21" t="str">
        <f>'Unformatted Trip Summary'!J19</f>
        <v>2027/28</v>
      </c>
      <c r="C21" t="str">
        <f>'Unformatted Trip Summary'!I19</f>
        <v>Light Vehicle Driver</v>
      </c>
      <c r="D21">
        <f>'Unformatted Trip Summary'!D19</f>
        <v>476</v>
      </c>
      <c r="E21">
        <f>'Unformatted Trip Summary'!E19</f>
        <v>2980</v>
      </c>
      <c r="F21" s="1">
        <f>'Unformatted Trip Summary'!F19</f>
        <v>85.187123835999998</v>
      </c>
      <c r="G21" s="1">
        <f>'Unformatted Trip Summary'!G19</f>
        <v>1022.0614009</v>
      </c>
      <c r="H21" s="1">
        <f>'Unformatted Trip Summary'!H19</f>
        <v>23.336826415000001</v>
      </c>
    </row>
    <row r="22" spans="1:8" x14ac:dyDescent="0.2">
      <c r="A22" t="str">
        <f>'Unformatted Trip Summary'!A20</f>
        <v>01 NORTHLAND</v>
      </c>
      <c r="B22" t="str">
        <f>'Unformatted Trip Summary'!J20</f>
        <v>2032/33</v>
      </c>
      <c r="C22" t="str">
        <f>'Unformatted Trip Summary'!I20</f>
        <v>Light Vehicle Driver</v>
      </c>
      <c r="D22">
        <f>'Unformatted Trip Summary'!D20</f>
        <v>476</v>
      </c>
      <c r="E22">
        <f>'Unformatted Trip Summary'!E20</f>
        <v>2980</v>
      </c>
      <c r="F22" s="1">
        <f>'Unformatted Trip Summary'!F20</f>
        <v>84.770374771999997</v>
      </c>
      <c r="G22" s="1">
        <f>'Unformatted Trip Summary'!G20</f>
        <v>1019.0959518</v>
      </c>
      <c r="H22" s="1">
        <f>'Unformatted Trip Summary'!H20</f>
        <v>23.181106792000001</v>
      </c>
    </row>
    <row r="23" spans="1:8" x14ac:dyDescent="0.2">
      <c r="A23" t="str">
        <f>'Unformatted Trip Summary'!A21</f>
        <v>01 NORTHLAND</v>
      </c>
      <c r="B23" t="str">
        <f>'Unformatted Trip Summary'!J21</f>
        <v>2037/38</v>
      </c>
      <c r="C23" t="str">
        <f>'Unformatted Trip Summary'!I21</f>
        <v>Light Vehicle Driver</v>
      </c>
      <c r="D23">
        <f>'Unformatted Trip Summary'!D21</f>
        <v>476</v>
      </c>
      <c r="E23">
        <f>'Unformatted Trip Summary'!E21</f>
        <v>2980</v>
      </c>
      <c r="F23" s="1">
        <f>'Unformatted Trip Summary'!F21</f>
        <v>82.865942935000007</v>
      </c>
      <c r="G23" s="1">
        <f>'Unformatted Trip Summary'!G21</f>
        <v>1000.5854423</v>
      </c>
      <c r="H23" s="1">
        <f>'Unformatted Trip Summary'!H21</f>
        <v>22.699583088000001</v>
      </c>
    </row>
    <row r="24" spans="1:8" x14ac:dyDescent="0.2">
      <c r="A24" t="str">
        <f>'Unformatted Trip Summary'!A22</f>
        <v>01 NORTHLAND</v>
      </c>
      <c r="B24" t="str">
        <f>'Unformatted Trip Summary'!J22</f>
        <v>2042/43</v>
      </c>
      <c r="C24" t="str">
        <f>'Unformatted Trip Summary'!I22</f>
        <v>Light Vehicle Driver</v>
      </c>
      <c r="D24">
        <f>'Unformatted Trip Summary'!D22</f>
        <v>476</v>
      </c>
      <c r="E24">
        <f>'Unformatted Trip Summary'!E22</f>
        <v>2980</v>
      </c>
      <c r="F24" s="1">
        <f>'Unformatted Trip Summary'!F22</f>
        <v>80.958199407999999</v>
      </c>
      <c r="G24" s="1">
        <f>'Unformatted Trip Summary'!G22</f>
        <v>978.35266875000002</v>
      </c>
      <c r="H24" s="1">
        <f>'Unformatted Trip Summary'!H22</f>
        <v>22.145916459999999</v>
      </c>
    </row>
    <row r="25" spans="1:8" x14ac:dyDescent="0.2">
      <c r="A25" t="str">
        <f>'Unformatted Trip Summary'!A23</f>
        <v>01 NORTHLAND</v>
      </c>
      <c r="B25" t="str">
        <f>'Unformatted Trip Summary'!J23</f>
        <v>2012/13</v>
      </c>
      <c r="C25" t="str">
        <f>'Unformatted Trip Summary'!I23</f>
        <v>Light Vehicle Passenger</v>
      </c>
      <c r="D25">
        <f>'Unformatted Trip Summary'!D23</f>
        <v>380</v>
      </c>
      <c r="E25">
        <f>'Unformatted Trip Summary'!E23</f>
        <v>1743</v>
      </c>
      <c r="F25" s="1">
        <f>'Unformatted Trip Summary'!F23</f>
        <v>50.299563868</v>
      </c>
      <c r="G25" s="1">
        <f>'Unformatted Trip Summary'!G23</f>
        <v>666.23785996000004</v>
      </c>
      <c r="H25" s="1">
        <f>'Unformatted Trip Summary'!H23</f>
        <v>15.174949781</v>
      </c>
    </row>
    <row r="26" spans="1:8" x14ac:dyDescent="0.2">
      <c r="A26" t="str">
        <f>'Unformatted Trip Summary'!A24</f>
        <v>01 NORTHLAND</v>
      </c>
      <c r="B26" t="str">
        <f>'Unformatted Trip Summary'!J24</f>
        <v>2017/18</v>
      </c>
      <c r="C26" t="str">
        <f>'Unformatted Trip Summary'!I24</f>
        <v>Light Vehicle Passenger</v>
      </c>
      <c r="D26">
        <f>'Unformatted Trip Summary'!D24</f>
        <v>380</v>
      </c>
      <c r="E26">
        <f>'Unformatted Trip Summary'!E24</f>
        <v>1743</v>
      </c>
      <c r="F26" s="1">
        <f>'Unformatted Trip Summary'!F24</f>
        <v>45.432196021999999</v>
      </c>
      <c r="G26" s="1">
        <f>'Unformatted Trip Summary'!G24</f>
        <v>617.22502659999998</v>
      </c>
      <c r="H26" s="1">
        <f>'Unformatted Trip Summary'!H24</f>
        <v>13.951675757</v>
      </c>
    </row>
    <row r="27" spans="1:8" x14ac:dyDescent="0.2">
      <c r="A27" t="str">
        <f>'Unformatted Trip Summary'!A25</f>
        <v>01 NORTHLAND</v>
      </c>
      <c r="B27" t="str">
        <f>'Unformatted Trip Summary'!J25</f>
        <v>2022/23</v>
      </c>
      <c r="C27" t="str">
        <f>'Unformatted Trip Summary'!I25</f>
        <v>Light Vehicle Passenger</v>
      </c>
      <c r="D27">
        <f>'Unformatted Trip Summary'!D25</f>
        <v>380</v>
      </c>
      <c r="E27">
        <f>'Unformatted Trip Summary'!E25</f>
        <v>1743</v>
      </c>
      <c r="F27" s="1">
        <f>'Unformatted Trip Summary'!F25</f>
        <v>45.202688017</v>
      </c>
      <c r="G27" s="1">
        <f>'Unformatted Trip Summary'!G25</f>
        <v>627.50926823999998</v>
      </c>
      <c r="H27" s="1">
        <f>'Unformatted Trip Summary'!H25</f>
        <v>14.053951968</v>
      </c>
    </row>
    <row r="28" spans="1:8" x14ac:dyDescent="0.2">
      <c r="A28" t="str">
        <f>'Unformatted Trip Summary'!A26</f>
        <v>01 NORTHLAND</v>
      </c>
      <c r="B28" t="str">
        <f>'Unformatted Trip Summary'!J26</f>
        <v>2027/28</v>
      </c>
      <c r="C28" t="str">
        <f>'Unformatted Trip Summary'!I26</f>
        <v>Light Vehicle Passenger</v>
      </c>
      <c r="D28">
        <f>'Unformatted Trip Summary'!D26</f>
        <v>380</v>
      </c>
      <c r="E28">
        <f>'Unformatted Trip Summary'!E26</f>
        <v>1743</v>
      </c>
      <c r="F28" s="1">
        <f>'Unformatted Trip Summary'!F26</f>
        <v>43.895894955999999</v>
      </c>
      <c r="G28" s="1">
        <f>'Unformatted Trip Summary'!G26</f>
        <v>622.67475233000005</v>
      </c>
      <c r="H28" s="1">
        <f>'Unformatted Trip Summary'!H26</f>
        <v>13.770842062</v>
      </c>
    </row>
    <row r="29" spans="1:8" x14ac:dyDescent="0.2">
      <c r="A29" t="str">
        <f>'Unformatted Trip Summary'!A27</f>
        <v>01 NORTHLAND</v>
      </c>
      <c r="B29" t="str">
        <f>'Unformatted Trip Summary'!J27</f>
        <v>2032/33</v>
      </c>
      <c r="C29" t="str">
        <f>'Unformatted Trip Summary'!I27</f>
        <v>Light Vehicle Passenger</v>
      </c>
      <c r="D29">
        <f>'Unformatted Trip Summary'!D27</f>
        <v>380</v>
      </c>
      <c r="E29">
        <f>'Unformatted Trip Summary'!E27</f>
        <v>1743</v>
      </c>
      <c r="F29" s="1">
        <f>'Unformatted Trip Summary'!F27</f>
        <v>42.854037658999999</v>
      </c>
      <c r="G29" s="1">
        <f>'Unformatted Trip Summary'!G27</f>
        <v>616.53674136999996</v>
      </c>
      <c r="H29" s="1">
        <f>'Unformatted Trip Summary'!H27</f>
        <v>13.507451356000001</v>
      </c>
    </row>
    <row r="30" spans="1:8" x14ac:dyDescent="0.2">
      <c r="A30" t="str">
        <f>'Unformatted Trip Summary'!A28</f>
        <v>01 NORTHLAND</v>
      </c>
      <c r="B30" t="str">
        <f>'Unformatted Trip Summary'!J28</f>
        <v>2037/38</v>
      </c>
      <c r="C30" t="str">
        <f>'Unformatted Trip Summary'!I28</f>
        <v>Light Vehicle Passenger</v>
      </c>
      <c r="D30">
        <f>'Unformatted Trip Summary'!D28</f>
        <v>380</v>
      </c>
      <c r="E30">
        <f>'Unformatted Trip Summary'!E28</f>
        <v>1743</v>
      </c>
      <c r="F30" s="1">
        <f>'Unformatted Trip Summary'!F28</f>
        <v>41.417989953999999</v>
      </c>
      <c r="G30" s="1">
        <f>'Unformatted Trip Summary'!G28</f>
        <v>608.74768255000004</v>
      </c>
      <c r="H30" s="1">
        <f>'Unformatted Trip Summary'!H28</f>
        <v>13.192181435</v>
      </c>
    </row>
    <row r="31" spans="1:8" x14ac:dyDescent="0.2">
      <c r="A31" t="str">
        <f>'Unformatted Trip Summary'!A29</f>
        <v>01 NORTHLAND</v>
      </c>
      <c r="B31" t="str">
        <f>'Unformatted Trip Summary'!J29</f>
        <v>2042/43</v>
      </c>
      <c r="C31" t="str">
        <f>'Unformatted Trip Summary'!I29</f>
        <v>Light Vehicle Passenger</v>
      </c>
      <c r="D31">
        <f>'Unformatted Trip Summary'!D29</f>
        <v>380</v>
      </c>
      <c r="E31">
        <f>'Unformatted Trip Summary'!E29</f>
        <v>1743</v>
      </c>
      <c r="F31" s="1">
        <f>'Unformatted Trip Summary'!F29</f>
        <v>40.110688994</v>
      </c>
      <c r="G31" s="1">
        <f>'Unformatted Trip Summary'!G29</f>
        <v>599.76318430000003</v>
      </c>
      <c r="H31" s="1">
        <f>'Unformatted Trip Summary'!H29</f>
        <v>12.875185608000001</v>
      </c>
    </row>
    <row r="32" spans="1:8" x14ac:dyDescent="0.2">
      <c r="A32" t="str">
        <f>'Unformatted Trip Summary'!A30</f>
        <v>01 NORTHLAND</v>
      </c>
      <c r="B32" t="str">
        <f>'Unformatted Trip Summary'!J30</f>
        <v>2012/13</v>
      </c>
      <c r="C32" t="str">
        <f>'Unformatted Trip Summary'!I30</f>
        <v>Taxi/Vehicle Share</v>
      </c>
      <c r="D32">
        <f>'Unformatted Trip Summary'!D30</f>
        <v>4</v>
      </c>
      <c r="E32">
        <f>'Unformatted Trip Summary'!E30</f>
        <v>6</v>
      </c>
      <c r="F32" s="1">
        <f>'Unformatted Trip Summary'!F30</f>
        <v>0.18126348840000001</v>
      </c>
      <c r="G32" s="1">
        <f>'Unformatted Trip Summary'!G30</f>
        <v>0.75976041549999995</v>
      </c>
      <c r="H32" s="1">
        <f>'Unformatted Trip Summary'!H30</f>
        <v>2.5131369800000001E-2</v>
      </c>
    </row>
    <row r="33" spans="1:8" x14ac:dyDescent="0.2">
      <c r="A33" t="str">
        <f>'Unformatted Trip Summary'!A31</f>
        <v>01 NORTHLAND</v>
      </c>
      <c r="B33" t="str">
        <f>'Unformatted Trip Summary'!J31</f>
        <v>2017/18</v>
      </c>
      <c r="C33" t="str">
        <f>'Unformatted Trip Summary'!I31</f>
        <v>Taxi/Vehicle Share</v>
      </c>
      <c r="D33">
        <f>'Unformatted Trip Summary'!D31</f>
        <v>4</v>
      </c>
      <c r="E33">
        <f>'Unformatted Trip Summary'!E31</f>
        <v>6</v>
      </c>
      <c r="F33" s="1">
        <f>'Unformatted Trip Summary'!F31</f>
        <v>0.1728324074</v>
      </c>
      <c r="G33" s="1">
        <f>'Unformatted Trip Summary'!G31</f>
        <v>0.72084069399999995</v>
      </c>
      <c r="H33" s="1">
        <f>'Unformatted Trip Summary'!H31</f>
        <v>2.3381072199999998E-2</v>
      </c>
    </row>
    <row r="34" spans="1:8" x14ac:dyDescent="0.2">
      <c r="A34" t="str">
        <f>'Unformatted Trip Summary'!A32</f>
        <v>01 NORTHLAND</v>
      </c>
      <c r="B34" t="str">
        <f>'Unformatted Trip Summary'!J32</f>
        <v>2022/23</v>
      </c>
      <c r="C34" t="str">
        <f>'Unformatted Trip Summary'!I32</f>
        <v>Taxi/Vehicle Share</v>
      </c>
      <c r="D34">
        <f>'Unformatted Trip Summary'!D32</f>
        <v>4</v>
      </c>
      <c r="E34">
        <f>'Unformatted Trip Summary'!E32</f>
        <v>6</v>
      </c>
      <c r="F34" s="1">
        <f>'Unformatted Trip Summary'!F32</f>
        <v>0.17403427390000001</v>
      </c>
      <c r="G34" s="1">
        <f>'Unformatted Trip Summary'!G32</f>
        <v>0.80620093960000005</v>
      </c>
      <c r="H34" s="1">
        <f>'Unformatted Trip Summary'!H32</f>
        <v>2.4233445100000001E-2</v>
      </c>
    </row>
    <row r="35" spans="1:8" x14ac:dyDescent="0.2">
      <c r="A35" t="str">
        <f>'Unformatted Trip Summary'!A33</f>
        <v>01 NORTHLAND</v>
      </c>
      <c r="B35" t="str">
        <f>'Unformatted Trip Summary'!J33</f>
        <v>2027/28</v>
      </c>
      <c r="C35" t="str">
        <f>'Unformatted Trip Summary'!I33</f>
        <v>Taxi/Vehicle Share</v>
      </c>
      <c r="D35">
        <f>'Unformatted Trip Summary'!D33</f>
        <v>4</v>
      </c>
      <c r="E35">
        <f>'Unformatted Trip Summary'!E33</f>
        <v>6</v>
      </c>
      <c r="F35" s="1">
        <f>'Unformatted Trip Summary'!F33</f>
        <v>0.1750242803</v>
      </c>
      <c r="G35" s="1">
        <f>'Unformatted Trip Summary'!G33</f>
        <v>0.93070394209999996</v>
      </c>
      <c r="H35" s="1">
        <f>'Unformatted Trip Summary'!H33</f>
        <v>2.5646444300000001E-2</v>
      </c>
    </row>
    <row r="36" spans="1:8" x14ac:dyDescent="0.2">
      <c r="A36" t="str">
        <f>'Unformatted Trip Summary'!A34</f>
        <v>01 NORTHLAND</v>
      </c>
      <c r="B36" t="str">
        <f>'Unformatted Trip Summary'!J34</f>
        <v>2032/33</v>
      </c>
      <c r="C36" t="str">
        <f>'Unformatted Trip Summary'!I34</f>
        <v>Taxi/Vehicle Share</v>
      </c>
      <c r="D36">
        <f>'Unformatted Trip Summary'!D34</f>
        <v>4</v>
      </c>
      <c r="E36">
        <f>'Unformatted Trip Summary'!E34</f>
        <v>6</v>
      </c>
      <c r="F36" s="1">
        <f>'Unformatted Trip Summary'!F34</f>
        <v>0.16511348770000001</v>
      </c>
      <c r="G36" s="1">
        <f>'Unformatted Trip Summary'!G34</f>
        <v>1.0030765751999999</v>
      </c>
      <c r="H36" s="1">
        <f>'Unformatted Trip Summary'!H34</f>
        <v>2.5531852800000001E-2</v>
      </c>
    </row>
    <row r="37" spans="1:8" x14ac:dyDescent="0.2">
      <c r="A37" t="str">
        <f>'Unformatted Trip Summary'!A35</f>
        <v>01 NORTHLAND</v>
      </c>
      <c r="B37" t="str">
        <f>'Unformatted Trip Summary'!J35</f>
        <v>2037/38</v>
      </c>
      <c r="C37" t="str">
        <f>'Unformatted Trip Summary'!I35</f>
        <v>Taxi/Vehicle Share</v>
      </c>
      <c r="D37">
        <f>'Unformatted Trip Summary'!D35</f>
        <v>4</v>
      </c>
      <c r="E37">
        <f>'Unformatted Trip Summary'!E35</f>
        <v>6</v>
      </c>
      <c r="F37" s="1">
        <f>'Unformatted Trip Summary'!F35</f>
        <v>0.15083386909999999</v>
      </c>
      <c r="G37" s="1">
        <f>'Unformatted Trip Summary'!G35</f>
        <v>0.97754679119999999</v>
      </c>
      <c r="H37" s="1">
        <f>'Unformatted Trip Summary'!H35</f>
        <v>2.38078901E-2</v>
      </c>
    </row>
    <row r="38" spans="1:8" x14ac:dyDescent="0.2">
      <c r="A38" t="str">
        <f>'Unformatted Trip Summary'!A36</f>
        <v>01 NORTHLAND</v>
      </c>
      <c r="B38" t="str">
        <f>'Unformatted Trip Summary'!J36</f>
        <v>2042/43</v>
      </c>
      <c r="C38" t="str">
        <f>'Unformatted Trip Summary'!I36</f>
        <v>Taxi/Vehicle Share</v>
      </c>
      <c r="D38">
        <f>'Unformatted Trip Summary'!D36</f>
        <v>4</v>
      </c>
      <c r="E38">
        <f>'Unformatted Trip Summary'!E36</f>
        <v>6</v>
      </c>
      <c r="F38" s="1">
        <f>'Unformatted Trip Summary'!F36</f>
        <v>0.1366762664</v>
      </c>
      <c r="G38" s="1">
        <f>'Unformatted Trip Summary'!G36</f>
        <v>0.94618356910000001</v>
      </c>
      <c r="H38" s="1">
        <f>'Unformatted Trip Summary'!H36</f>
        <v>2.2074832199999998E-2</v>
      </c>
    </row>
    <row r="39" spans="1:8" x14ac:dyDescent="0.2">
      <c r="A39" t="str">
        <f>'Unformatted Trip Summary'!A37</f>
        <v>01 NORTHLAND</v>
      </c>
      <c r="B39" t="str">
        <f>'Unformatted Trip Summary'!J37</f>
        <v>2012/13</v>
      </c>
      <c r="C39" t="str">
        <f>'Unformatted Trip Summary'!I37</f>
        <v>Motorcyclist</v>
      </c>
      <c r="D39">
        <f>'Unformatted Trip Summary'!D37</f>
        <v>5</v>
      </c>
      <c r="E39">
        <f>'Unformatted Trip Summary'!E37</f>
        <v>28</v>
      </c>
      <c r="F39" s="1">
        <f>'Unformatted Trip Summary'!F37</f>
        <v>1.4141085707000001</v>
      </c>
      <c r="G39" s="1">
        <f>'Unformatted Trip Summary'!G37</f>
        <v>9.2423909657000003</v>
      </c>
      <c r="H39" s="1">
        <f>'Unformatted Trip Summary'!H37</f>
        <v>0.28382488960000002</v>
      </c>
    </row>
    <row r="40" spans="1:8" x14ac:dyDescent="0.2">
      <c r="A40" t="str">
        <f>'Unformatted Trip Summary'!A38</f>
        <v>01 NORTHLAND</v>
      </c>
      <c r="B40" t="str">
        <f>'Unformatted Trip Summary'!J38</f>
        <v>2017/18</v>
      </c>
      <c r="C40" t="str">
        <f>'Unformatted Trip Summary'!I38</f>
        <v>Motorcyclist</v>
      </c>
      <c r="D40">
        <f>'Unformatted Trip Summary'!D38</f>
        <v>5</v>
      </c>
      <c r="E40">
        <f>'Unformatted Trip Summary'!E38</f>
        <v>28</v>
      </c>
      <c r="F40" s="1">
        <f>'Unformatted Trip Summary'!F38</f>
        <v>1.2831617314999999</v>
      </c>
      <c r="G40" s="1">
        <f>'Unformatted Trip Summary'!G38</f>
        <v>8.6137890520999996</v>
      </c>
      <c r="H40" s="1">
        <f>'Unformatted Trip Summary'!H38</f>
        <v>0.26366302209999998</v>
      </c>
    </row>
    <row r="41" spans="1:8" x14ac:dyDescent="0.2">
      <c r="A41" t="str">
        <f>'Unformatted Trip Summary'!A39</f>
        <v>01 NORTHLAND</v>
      </c>
      <c r="B41" t="str">
        <f>'Unformatted Trip Summary'!J39</f>
        <v>2022/23</v>
      </c>
      <c r="C41" t="str">
        <f>'Unformatted Trip Summary'!I39</f>
        <v>Motorcyclist</v>
      </c>
      <c r="D41">
        <f>'Unformatted Trip Summary'!D39</f>
        <v>5</v>
      </c>
      <c r="E41">
        <f>'Unformatted Trip Summary'!E39</f>
        <v>28</v>
      </c>
      <c r="F41" s="1">
        <f>'Unformatted Trip Summary'!F39</f>
        <v>1.2551150879999999</v>
      </c>
      <c r="G41" s="1">
        <f>'Unformatted Trip Summary'!G39</f>
        <v>8.2723490345999995</v>
      </c>
      <c r="H41" s="1">
        <f>'Unformatted Trip Summary'!H39</f>
        <v>0.25701676400000001</v>
      </c>
    </row>
    <row r="42" spans="1:8" x14ac:dyDescent="0.2">
      <c r="A42" t="str">
        <f>'Unformatted Trip Summary'!A40</f>
        <v>01 NORTHLAND</v>
      </c>
      <c r="B42" t="str">
        <f>'Unformatted Trip Summary'!J40</f>
        <v>2027/28</v>
      </c>
      <c r="C42" t="str">
        <f>'Unformatted Trip Summary'!I40</f>
        <v>Motorcyclist</v>
      </c>
      <c r="D42">
        <f>'Unformatted Trip Summary'!D40</f>
        <v>5</v>
      </c>
      <c r="E42">
        <f>'Unformatted Trip Summary'!E40</f>
        <v>28</v>
      </c>
      <c r="F42" s="1">
        <f>'Unformatted Trip Summary'!F40</f>
        <v>1.1458003323999999</v>
      </c>
      <c r="G42" s="1">
        <f>'Unformatted Trip Summary'!G40</f>
        <v>7.8239587547999996</v>
      </c>
      <c r="H42" s="1">
        <f>'Unformatted Trip Summary'!H40</f>
        <v>0.24043139229999999</v>
      </c>
    </row>
    <row r="43" spans="1:8" x14ac:dyDescent="0.2">
      <c r="A43" t="str">
        <f>'Unformatted Trip Summary'!A41</f>
        <v>01 NORTHLAND</v>
      </c>
      <c r="B43" t="str">
        <f>'Unformatted Trip Summary'!J41</f>
        <v>2032/33</v>
      </c>
      <c r="C43" t="str">
        <f>'Unformatted Trip Summary'!I41</f>
        <v>Motorcyclist</v>
      </c>
      <c r="D43">
        <f>'Unformatted Trip Summary'!D41</f>
        <v>5</v>
      </c>
      <c r="E43">
        <f>'Unformatted Trip Summary'!E41</f>
        <v>28</v>
      </c>
      <c r="F43" s="1">
        <f>'Unformatted Trip Summary'!F41</f>
        <v>1.0806990407999999</v>
      </c>
      <c r="G43" s="1">
        <f>'Unformatted Trip Summary'!G41</f>
        <v>7.4618017327999997</v>
      </c>
      <c r="H43" s="1">
        <f>'Unformatted Trip Summary'!H41</f>
        <v>0.22814738439999999</v>
      </c>
    </row>
    <row r="44" spans="1:8" x14ac:dyDescent="0.2">
      <c r="A44" t="str">
        <f>'Unformatted Trip Summary'!A42</f>
        <v>01 NORTHLAND</v>
      </c>
      <c r="B44" t="str">
        <f>'Unformatted Trip Summary'!J42</f>
        <v>2037/38</v>
      </c>
      <c r="C44" t="str">
        <f>'Unformatted Trip Summary'!I42</f>
        <v>Motorcyclist</v>
      </c>
      <c r="D44">
        <f>'Unformatted Trip Summary'!D42</f>
        <v>5</v>
      </c>
      <c r="E44">
        <f>'Unformatted Trip Summary'!E42</f>
        <v>28</v>
      </c>
      <c r="F44" s="1">
        <f>'Unformatted Trip Summary'!F42</f>
        <v>1.0382334813</v>
      </c>
      <c r="G44" s="1">
        <f>'Unformatted Trip Summary'!G42</f>
        <v>7.2477340133999997</v>
      </c>
      <c r="H44" s="1">
        <f>'Unformatted Trip Summary'!H42</f>
        <v>0.22051541929999999</v>
      </c>
    </row>
    <row r="45" spans="1:8" x14ac:dyDescent="0.2">
      <c r="A45" t="str">
        <f>'Unformatted Trip Summary'!A43</f>
        <v>01 NORTHLAND</v>
      </c>
      <c r="B45" t="str">
        <f>'Unformatted Trip Summary'!J43</f>
        <v>2042/43</v>
      </c>
      <c r="C45" t="str">
        <f>'Unformatted Trip Summary'!I43</f>
        <v>Motorcyclist</v>
      </c>
      <c r="D45">
        <f>'Unformatted Trip Summary'!D43</f>
        <v>5</v>
      </c>
      <c r="E45">
        <f>'Unformatted Trip Summary'!E43</f>
        <v>28</v>
      </c>
      <c r="F45" s="1">
        <f>'Unformatted Trip Summary'!F43</f>
        <v>0.97757925700000003</v>
      </c>
      <c r="G45" s="1">
        <f>'Unformatted Trip Summary'!G43</f>
        <v>6.9506554740000004</v>
      </c>
      <c r="H45" s="1">
        <f>'Unformatted Trip Summary'!H43</f>
        <v>0.2100709056</v>
      </c>
    </row>
    <row r="46" spans="1:8" x14ac:dyDescent="0.2">
      <c r="A46" t="str">
        <f>'Unformatted Trip Summary'!A44</f>
        <v>01 NORTHLAND</v>
      </c>
      <c r="B46" t="str">
        <f>'Unformatted Trip Summary'!J44</f>
        <v>2012/13</v>
      </c>
      <c r="C46" t="str">
        <f>'Unformatted Trip Summary'!I44</f>
        <v>Local Bus</v>
      </c>
      <c r="D46">
        <f>'Unformatted Trip Summary'!D44</f>
        <v>50</v>
      </c>
      <c r="E46">
        <f>'Unformatted Trip Summary'!E44</f>
        <v>135</v>
      </c>
      <c r="F46" s="1">
        <f>'Unformatted Trip Summary'!F44</f>
        <v>3.6339219343</v>
      </c>
      <c r="G46" s="1">
        <f>'Unformatted Trip Summary'!G44</f>
        <v>44.734594063999999</v>
      </c>
      <c r="H46" s="1">
        <f>'Unformatted Trip Summary'!H44</f>
        <v>1.5691203781</v>
      </c>
    </row>
    <row r="47" spans="1:8" x14ac:dyDescent="0.2">
      <c r="A47" t="str">
        <f>'Unformatted Trip Summary'!A45</f>
        <v>01 NORTHLAND</v>
      </c>
      <c r="B47" t="str">
        <f>'Unformatted Trip Summary'!J45</f>
        <v>2017/18</v>
      </c>
      <c r="C47" t="str">
        <f>'Unformatted Trip Summary'!I45</f>
        <v>Local Bus</v>
      </c>
      <c r="D47">
        <f>'Unformatted Trip Summary'!D45</f>
        <v>50</v>
      </c>
      <c r="E47">
        <f>'Unformatted Trip Summary'!E45</f>
        <v>135</v>
      </c>
      <c r="F47" s="1">
        <f>'Unformatted Trip Summary'!F45</f>
        <v>2.9476991101999999</v>
      </c>
      <c r="G47" s="1">
        <f>'Unformatted Trip Summary'!G45</f>
        <v>35.365298054</v>
      </c>
      <c r="H47" s="1">
        <f>'Unformatted Trip Summary'!H45</f>
        <v>1.2698739738</v>
      </c>
    </row>
    <row r="48" spans="1:8" x14ac:dyDescent="0.2">
      <c r="A48" t="str">
        <f>'Unformatted Trip Summary'!A46</f>
        <v>01 NORTHLAND</v>
      </c>
      <c r="B48" t="str">
        <f>'Unformatted Trip Summary'!J46</f>
        <v>2022/23</v>
      </c>
      <c r="C48" t="str">
        <f>'Unformatted Trip Summary'!I46</f>
        <v>Local Bus</v>
      </c>
      <c r="D48">
        <f>'Unformatted Trip Summary'!D46</f>
        <v>50</v>
      </c>
      <c r="E48">
        <f>'Unformatted Trip Summary'!E46</f>
        <v>135</v>
      </c>
      <c r="F48" s="1">
        <f>'Unformatted Trip Summary'!F46</f>
        <v>2.6875250338000001</v>
      </c>
      <c r="G48" s="1">
        <f>'Unformatted Trip Summary'!G46</f>
        <v>31.667425569999999</v>
      </c>
      <c r="H48" s="1">
        <f>'Unformatted Trip Summary'!H46</f>
        <v>1.1498275158</v>
      </c>
    </row>
    <row r="49" spans="1:8" x14ac:dyDescent="0.2">
      <c r="A49" t="str">
        <f>'Unformatted Trip Summary'!A47</f>
        <v>01 NORTHLAND</v>
      </c>
      <c r="B49" t="str">
        <f>'Unformatted Trip Summary'!J47</f>
        <v>2027/28</v>
      </c>
      <c r="C49" t="str">
        <f>'Unformatted Trip Summary'!I47</f>
        <v>Local Bus</v>
      </c>
      <c r="D49">
        <f>'Unformatted Trip Summary'!D47</f>
        <v>50</v>
      </c>
      <c r="E49">
        <f>'Unformatted Trip Summary'!E47</f>
        <v>135</v>
      </c>
      <c r="F49" s="1">
        <f>'Unformatted Trip Summary'!F47</f>
        <v>2.3876127337000002</v>
      </c>
      <c r="G49" s="1">
        <f>'Unformatted Trip Summary'!G47</f>
        <v>28.427366441</v>
      </c>
      <c r="H49" s="1">
        <f>'Unformatted Trip Summary'!H47</f>
        <v>1.0126729881000001</v>
      </c>
    </row>
    <row r="50" spans="1:8" x14ac:dyDescent="0.2">
      <c r="A50" t="str">
        <f>'Unformatted Trip Summary'!A48</f>
        <v>01 NORTHLAND</v>
      </c>
      <c r="B50" t="str">
        <f>'Unformatted Trip Summary'!J48</f>
        <v>2032/33</v>
      </c>
      <c r="C50" t="str">
        <f>'Unformatted Trip Summary'!I48</f>
        <v>Local Bus</v>
      </c>
      <c r="D50">
        <f>'Unformatted Trip Summary'!D48</f>
        <v>50</v>
      </c>
      <c r="E50">
        <f>'Unformatted Trip Summary'!E48</f>
        <v>135</v>
      </c>
      <c r="F50" s="1">
        <f>'Unformatted Trip Summary'!F48</f>
        <v>2.1321704370000001</v>
      </c>
      <c r="G50" s="1">
        <f>'Unformatted Trip Summary'!G48</f>
        <v>25.624081072999999</v>
      </c>
      <c r="H50" s="1">
        <f>'Unformatted Trip Summary'!H48</f>
        <v>0.89759378339999996</v>
      </c>
    </row>
    <row r="51" spans="1:8" x14ac:dyDescent="0.2">
      <c r="A51" t="str">
        <f>'Unformatted Trip Summary'!A49</f>
        <v>01 NORTHLAND</v>
      </c>
      <c r="B51" t="str">
        <f>'Unformatted Trip Summary'!J49</f>
        <v>2037/38</v>
      </c>
      <c r="C51" t="str">
        <f>'Unformatted Trip Summary'!I49</f>
        <v>Local Bus</v>
      </c>
      <c r="D51">
        <f>'Unformatted Trip Summary'!D49</f>
        <v>50</v>
      </c>
      <c r="E51">
        <f>'Unformatted Trip Summary'!E49</f>
        <v>135</v>
      </c>
      <c r="F51" s="1">
        <f>'Unformatted Trip Summary'!F49</f>
        <v>1.9077919666000001</v>
      </c>
      <c r="G51" s="1">
        <f>'Unformatted Trip Summary'!G49</f>
        <v>23.373778296000001</v>
      </c>
      <c r="H51" s="1">
        <f>'Unformatted Trip Summary'!H49</f>
        <v>0.79962345089999998</v>
      </c>
    </row>
    <row r="52" spans="1:8" x14ac:dyDescent="0.2">
      <c r="A52" t="str">
        <f>'Unformatted Trip Summary'!A50</f>
        <v>01 NORTHLAND</v>
      </c>
      <c r="B52" t="str">
        <f>'Unformatted Trip Summary'!J50</f>
        <v>2042/43</v>
      </c>
      <c r="C52" t="str">
        <f>'Unformatted Trip Summary'!I50</f>
        <v>Local Bus</v>
      </c>
      <c r="D52">
        <f>'Unformatted Trip Summary'!D50</f>
        <v>50</v>
      </c>
      <c r="E52">
        <f>'Unformatted Trip Summary'!E50</f>
        <v>135</v>
      </c>
      <c r="F52" s="1">
        <f>'Unformatted Trip Summary'!F50</f>
        <v>1.7081827898999999</v>
      </c>
      <c r="G52" s="1">
        <f>'Unformatted Trip Summary'!G50</f>
        <v>21.369433756999999</v>
      </c>
      <c r="H52" s="1">
        <f>'Unformatted Trip Summary'!H50</f>
        <v>0.7128539519</v>
      </c>
    </row>
    <row r="53" spans="1:8" x14ac:dyDescent="0.2">
      <c r="A53" t="str">
        <f>'Unformatted Trip Summary'!A51</f>
        <v>01 NORTHLAND</v>
      </c>
      <c r="B53" t="str">
        <f>'Unformatted Trip Summary'!J51</f>
        <v>2012/13</v>
      </c>
      <c r="C53" t="str">
        <f>'Unformatted Trip Summary'!I51</f>
        <v>Local Ferry</v>
      </c>
      <c r="D53">
        <f>'Unformatted Trip Summary'!D51</f>
        <v>2</v>
      </c>
      <c r="E53">
        <f>'Unformatted Trip Summary'!E51</f>
        <v>3</v>
      </c>
      <c r="F53" s="1">
        <f>'Unformatted Trip Summary'!F51</f>
        <v>4.69171767E-2</v>
      </c>
      <c r="G53" s="1">
        <f>'Unformatted Trip Summary'!G51</f>
        <v>0</v>
      </c>
      <c r="H53" s="1">
        <f>'Unformatted Trip Summary'!H51</f>
        <v>1.43058123E-2</v>
      </c>
    </row>
    <row r="54" spans="1:8" x14ac:dyDescent="0.2">
      <c r="A54" t="str">
        <f>'Unformatted Trip Summary'!A52</f>
        <v>01 NORTHLAND</v>
      </c>
      <c r="B54" t="str">
        <f>'Unformatted Trip Summary'!J52</f>
        <v>2017/18</v>
      </c>
      <c r="C54" t="str">
        <f>'Unformatted Trip Summary'!I52</f>
        <v>Local Ferry</v>
      </c>
      <c r="D54">
        <f>'Unformatted Trip Summary'!D52</f>
        <v>2</v>
      </c>
      <c r="E54">
        <f>'Unformatted Trip Summary'!E52</f>
        <v>3</v>
      </c>
      <c r="F54" s="1">
        <f>'Unformatted Trip Summary'!F52</f>
        <v>4.7155710599999998E-2</v>
      </c>
      <c r="G54" s="1">
        <f>'Unformatted Trip Summary'!G52</f>
        <v>0</v>
      </c>
      <c r="H54" s="1">
        <f>'Unformatted Trip Summary'!H52</f>
        <v>1.35304052E-2</v>
      </c>
    </row>
    <row r="55" spans="1:8" x14ac:dyDescent="0.2">
      <c r="A55" t="str">
        <f>'Unformatted Trip Summary'!A53</f>
        <v>01 NORTHLAND</v>
      </c>
      <c r="B55" t="str">
        <f>'Unformatted Trip Summary'!J53</f>
        <v>2022/23</v>
      </c>
      <c r="C55" t="str">
        <f>'Unformatted Trip Summary'!I53</f>
        <v>Local Ferry</v>
      </c>
      <c r="D55">
        <f>'Unformatted Trip Summary'!D53</f>
        <v>2</v>
      </c>
      <c r="E55">
        <f>'Unformatted Trip Summary'!E53</f>
        <v>3</v>
      </c>
      <c r="F55" s="1">
        <f>'Unformatted Trip Summary'!F53</f>
        <v>4.7227851699999997E-2</v>
      </c>
      <c r="G55" s="1">
        <f>'Unformatted Trip Summary'!G53</f>
        <v>0</v>
      </c>
      <c r="H55" s="1">
        <f>'Unformatted Trip Summary'!H53</f>
        <v>1.24993151E-2</v>
      </c>
    </row>
    <row r="56" spans="1:8" x14ac:dyDescent="0.2">
      <c r="A56" t="str">
        <f>'Unformatted Trip Summary'!A54</f>
        <v>01 NORTHLAND</v>
      </c>
      <c r="B56" t="str">
        <f>'Unformatted Trip Summary'!J54</f>
        <v>2027/28</v>
      </c>
      <c r="C56" t="str">
        <f>'Unformatted Trip Summary'!I54</f>
        <v>Local Ferry</v>
      </c>
      <c r="D56">
        <f>'Unformatted Trip Summary'!D54</f>
        <v>2</v>
      </c>
      <c r="E56">
        <f>'Unformatted Trip Summary'!E54</f>
        <v>3</v>
      </c>
      <c r="F56" s="1">
        <f>'Unformatted Trip Summary'!F54</f>
        <v>4.6518637100000003E-2</v>
      </c>
      <c r="G56" s="1">
        <f>'Unformatted Trip Summary'!G54</f>
        <v>0</v>
      </c>
      <c r="H56" s="1">
        <f>'Unformatted Trip Summary'!H54</f>
        <v>1.15638372E-2</v>
      </c>
    </row>
    <row r="57" spans="1:8" x14ac:dyDescent="0.2">
      <c r="A57" t="str">
        <f>'Unformatted Trip Summary'!A55</f>
        <v>01 NORTHLAND</v>
      </c>
      <c r="B57" t="str">
        <f>'Unformatted Trip Summary'!J55</f>
        <v>2032/33</v>
      </c>
      <c r="C57" t="str">
        <f>'Unformatted Trip Summary'!I55</f>
        <v>Local Ferry</v>
      </c>
      <c r="D57">
        <f>'Unformatted Trip Summary'!D55</f>
        <v>2</v>
      </c>
      <c r="E57">
        <f>'Unformatted Trip Summary'!E55</f>
        <v>3</v>
      </c>
      <c r="F57" s="1">
        <f>'Unformatted Trip Summary'!F55</f>
        <v>4.2824268399999997E-2</v>
      </c>
      <c r="G57" s="1">
        <f>'Unformatted Trip Summary'!G55</f>
        <v>0</v>
      </c>
      <c r="H57" s="1">
        <f>'Unformatted Trip Summary'!H55</f>
        <v>1.0238669800000001E-2</v>
      </c>
    </row>
    <row r="58" spans="1:8" x14ac:dyDescent="0.2">
      <c r="A58" t="str">
        <f>'Unformatted Trip Summary'!A56</f>
        <v>01 NORTHLAND</v>
      </c>
      <c r="B58" t="str">
        <f>'Unformatted Trip Summary'!J56</f>
        <v>2037/38</v>
      </c>
      <c r="C58" t="str">
        <f>'Unformatted Trip Summary'!I56</f>
        <v>Local Ferry</v>
      </c>
      <c r="D58">
        <f>'Unformatted Trip Summary'!D56</f>
        <v>2</v>
      </c>
      <c r="E58">
        <f>'Unformatted Trip Summary'!E56</f>
        <v>3</v>
      </c>
      <c r="F58" s="1">
        <f>'Unformatted Trip Summary'!F56</f>
        <v>3.6977945800000002E-2</v>
      </c>
      <c r="G58" s="1">
        <f>'Unformatted Trip Summary'!G56</f>
        <v>0</v>
      </c>
      <c r="H58" s="1">
        <f>'Unformatted Trip Summary'!H56</f>
        <v>8.6433477999999994E-3</v>
      </c>
    </row>
    <row r="59" spans="1:8" x14ac:dyDescent="0.2">
      <c r="A59" t="str">
        <f>'Unformatted Trip Summary'!A57</f>
        <v>01 NORTHLAND</v>
      </c>
      <c r="B59" t="str">
        <f>'Unformatted Trip Summary'!J57</f>
        <v>2042/43</v>
      </c>
      <c r="C59" t="str">
        <f>'Unformatted Trip Summary'!I57</f>
        <v>Local Ferry</v>
      </c>
      <c r="D59">
        <f>'Unformatted Trip Summary'!D57</f>
        <v>2</v>
      </c>
      <c r="E59">
        <f>'Unformatted Trip Summary'!E57</f>
        <v>3</v>
      </c>
      <c r="F59" s="1">
        <f>'Unformatted Trip Summary'!F57</f>
        <v>3.1208928800000001E-2</v>
      </c>
      <c r="G59" s="1">
        <f>'Unformatted Trip Summary'!G57</f>
        <v>0</v>
      </c>
      <c r="H59" s="1">
        <f>'Unformatted Trip Summary'!H57</f>
        <v>7.1877215E-3</v>
      </c>
    </row>
    <row r="60" spans="1:8" x14ac:dyDescent="0.2">
      <c r="A60" t="str">
        <f>'Unformatted Trip Summary'!A58</f>
        <v>01 NORTHLAND</v>
      </c>
      <c r="B60" t="str">
        <f>'Unformatted Trip Summary'!J58</f>
        <v>2012/13</v>
      </c>
      <c r="C60" t="str">
        <f>'Unformatted Trip Summary'!I58</f>
        <v>Other Household Travel</v>
      </c>
      <c r="D60">
        <f>'Unformatted Trip Summary'!D58</f>
        <v>2</v>
      </c>
      <c r="E60">
        <f>'Unformatted Trip Summary'!E58</f>
        <v>3</v>
      </c>
      <c r="F60" s="1">
        <f>'Unformatted Trip Summary'!F58</f>
        <v>0.1184310407</v>
      </c>
      <c r="G60" s="1">
        <f>'Unformatted Trip Summary'!G58</f>
        <v>0</v>
      </c>
      <c r="H60" s="1">
        <f>'Unformatted Trip Summary'!H58</f>
        <v>0</v>
      </c>
    </row>
    <row r="61" spans="1:8" x14ac:dyDescent="0.2">
      <c r="A61" t="str">
        <f>'Unformatted Trip Summary'!A59</f>
        <v>01 NORTHLAND</v>
      </c>
      <c r="B61" t="str">
        <f>'Unformatted Trip Summary'!J59</f>
        <v>2017/18</v>
      </c>
      <c r="C61" t="str">
        <f>'Unformatted Trip Summary'!I59</f>
        <v>Other Household Travel</v>
      </c>
      <c r="D61">
        <f>'Unformatted Trip Summary'!D59</f>
        <v>2</v>
      </c>
      <c r="E61">
        <f>'Unformatted Trip Summary'!E59</f>
        <v>3</v>
      </c>
      <c r="F61" s="1">
        <f>'Unformatted Trip Summary'!F59</f>
        <v>0.1202875133</v>
      </c>
      <c r="G61" s="1">
        <f>'Unformatted Trip Summary'!G59</f>
        <v>0</v>
      </c>
      <c r="H61" s="1">
        <f>'Unformatted Trip Summary'!H59</f>
        <v>0</v>
      </c>
    </row>
    <row r="62" spans="1:8" x14ac:dyDescent="0.2">
      <c r="A62" t="str">
        <f>'Unformatted Trip Summary'!A60</f>
        <v>01 NORTHLAND</v>
      </c>
      <c r="B62" t="str">
        <f>'Unformatted Trip Summary'!J60</f>
        <v>2022/23</v>
      </c>
      <c r="C62" t="str">
        <f>'Unformatted Trip Summary'!I60</f>
        <v>Other Household Travel</v>
      </c>
      <c r="D62">
        <f>'Unformatted Trip Summary'!D60</f>
        <v>2</v>
      </c>
      <c r="E62">
        <f>'Unformatted Trip Summary'!E60</f>
        <v>3</v>
      </c>
      <c r="F62" s="1">
        <f>'Unformatted Trip Summary'!F60</f>
        <v>0.1156731498</v>
      </c>
      <c r="G62" s="1">
        <f>'Unformatted Trip Summary'!G60</f>
        <v>0</v>
      </c>
      <c r="H62" s="1">
        <f>'Unformatted Trip Summary'!H60</f>
        <v>0</v>
      </c>
    </row>
    <row r="63" spans="1:8" x14ac:dyDescent="0.2">
      <c r="A63" t="str">
        <f>'Unformatted Trip Summary'!A61</f>
        <v>01 NORTHLAND</v>
      </c>
      <c r="B63" t="str">
        <f>'Unformatted Trip Summary'!J61</f>
        <v>2027/28</v>
      </c>
      <c r="C63" t="str">
        <f>'Unformatted Trip Summary'!I61</f>
        <v>Other Household Travel</v>
      </c>
      <c r="D63">
        <f>'Unformatted Trip Summary'!D61</f>
        <v>2</v>
      </c>
      <c r="E63">
        <f>'Unformatted Trip Summary'!E61</f>
        <v>3</v>
      </c>
      <c r="F63" s="1">
        <f>'Unformatted Trip Summary'!F61</f>
        <v>0.1118567536</v>
      </c>
      <c r="G63" s="1">
        <f>'Unformatted Trip Summary'!G61</f>
        <v>0</v>
      </c>
      <c r="H63" s="1">
        <f>'Unformatted Trip Summary'!H61</f>
        <v>0</v>
      </c>
    </row>
    <row r="64" spans="1:8" x14ac:dyDescent="0.2">
      <c r="A64" t="str">
        <f>'Unformatted Trip Summary'!A62</f>
        <v>01 NORTHLAND</v>
      </c>
      <c r="B64" t="str">
        <f>'Unformatted Trip Summary'!J62</f>
        <v>2032/33</v>
      </c>
      <c r="C64" t="str">
        <f>'Unformatted Trip Summary'!I62</f>
        <v>Other Household Travel</v>
      </c>
      <c r="D64">
        <f>'Unformatted Trip Summary'!D62</f>
        <v>2</v>
      </c>
      <c r="E64">
        <f>'Unformatted Trip Summary'!E62</f>
        <v>3</v>
      </c>
      <c r="F64" s="1">
        <f>'Unformatted Trip Summary'!F62</f>
        <v>0.10673383810000001</v>
      </c>
      <c r="G64" s="1">
        <f>'Unformatted Trip Summary'!G62</f>
        <v>0</v>
      </c>
      <c r="H64" s="1">
        <f>'Unformatted Trip Summary'!H62</f>
        <v>0</v>
      </c>
    </row>
    <row r="65" spans="1:8" x14ac:dyDescent="0.2">
      <c r="A65" t="str">
        <f>'Unformatted Trip Summary'!A63</f>
        <v>01 NORTHLAND</v>
      </c>
      <c r="B65" t="str">
        <f>'Unformatted Trip Summary'!J63</f>
        <v>2037/38</v>
      </c>
      <c r="C65" t="str">
        <f>'Unformatted Trip Summary'!I63</f>
        <v>Other Household Travel</v>
      </c>
      <c r="D65">
        <f>'Unformatted Trip Summary'!D63</f>
        <v>2</v>
      </c>
      <c r="E65">
        <f>'Unformatted Trip Summary'!E63</f>
        <v>3</v>
      </c>
      <c r="F65" s="1">
        <f>'Unformatted Trip Summary'!F63</f>
        <v>0.1004058888</v>
      </c>
      <c r="G65" s="1">
        <f>'Unformatted Trip Summary'!G63</f>
        <v>0</v>
      </c>
      <c r="H65" s="1">
        <f>'Unformatted Trip Summary'!H63</f>
        <v>0</v>
      </c>
    </row>
    <row r="66" spans="1:8" x14ac:dyDescent="0.2">
      <c r="A66" t="str">
        <f>'Unformatted Trip Summary'!A64</f>
        <v>01 NORTHLAND</v>
      </c>
      <c r="B66" t="str">
        <f>'Unformatted Trip Summary'!J64</f>
        <v>2042/43</v>
      </c>
      <c r="C66" t="str">
        <f>'Unformatted Trip Summary'!I64</f>
        <v>Other Household Travel</v>
      </c>
      <c r="D66">
        <f>'Unformatted Trip Summary'!D64</f>
        <v>2</v>
      </c>
      <c r="E66">
        <f>'Unformatted Trip Summary'!E64</f>
        <v>3</v>
      </c>
      <c r="F66" s="1">
        <f>'Unformatted Trip Summary'!F64</f>
        <v>9.3674162599999999E-2</v>
      </c>
      <c r="G66" s="1">
        <f>'Unformatted Trip Summary'!G64</f>
        <v>0</v>
      </c>
      <c r="H66" s="1">
        <f>'Unformatted Trip Summary'!H64</f>
        <v>0</v>
      </c>
    </row>
    <row r="67" spans="1:8" x14ac:dyDescent="0.2">
      <c r="A67" t="str">
        <f>'Unformatted Trip Summary'!A65</f>
        <v>01 NORTHLAND</v>
      </c>
      <c r="B67" t="str">
        <f>'Unformatted Trip Summary'!J65</f>
        <v>2012/13</v>
      </c>
      <c r="C67" t="str">
        <f>'Unformatted Trip Summary'!I65</f>
        <v>Air/Non-Local PT</v>
      </c>
      <c r="D67">
        <f>'Unformatted Trip Summary'!D65</f>
        <v>5</v>
      </c>
      <c r="E67">
        <f>'Unformatted Trip Summary'!E65</f>
        <v>8</v>
      </c>
      <c r="F67" s="1">
        <f>'Unformatted Trip Summary'!F65</f>
        <v>0.226285661</v>
      </c>
      <c r="G67" s="1">
        <f>'Unformatted Trip Summary'!G65</f>
        <v>0</v>
      </c>
      <c r="H67" s="1">
        <f>'Unformatted Trip Summary'!H65</f>
        <v>0.25491621720000002</v>
      </c>
    </row>
    <row r="68" spans="1:8" x14ac:dyDescent="0.2">
      <c r="A68" t="str">
        <f>'Unformatted Trip Summary'!A66</f>
        <v>01 NORTHLAND</v>
      </c>
      <c r="B68" t="str">
        <f>'Unformatted Trip Summary'!J66</f>
        <v>2017/18</v>
      </c>
      <c r="C68" t="str">
        <f>'Unformatted Trip Summary'!I66</f>
        <v>Air/Non-Local PT</v>
      </c>
      <c r="D68">
        <f>'Unformatted Trip Summary'!D66</f>
        <v>5</v>
      </c>
      <c r="E68">
        <f>'Unformatted Trip Summary'!E66</f>
        <v>8</v>
      </c>
      <c r="F68" s="1">
        <f>'Unformatted Trip Summary'!F66</f>
        <v>0.22746041880000001</v>
      </c>
      <c r="G68" s="1">
        <f>'Unformatted Trip Summary'!G66</f>
        <v>0</v>
      </c>
      <c r="H68" s="1">
        <f>'Unformatted Trip Summary'!H66</f>
        <v>0.26841467499999999</v>
      </c>
    </row>
    <row r="69" spans="1:8" x14ac:dyDescent="0.2">
      <c r="A69" t="str">
        <f>'Unformatted Trip Summary'!A67</f>
        <v>01 NORTHLAND</v>
      </c>
      <c r="B69" t="str">
        <f>'Unformatted Trip Summary'!J67</f>
        <v>2022/23</v>
      </c>
      <c r="C69" t="str">
        <f>'Unformatted Trip Summary'!I67</f>
        <v>Air/Non-Local PT</v>
      </c>
      <c r="D69">
        <f>'Unformatted Trip Summary'!D67</f>
        <v>5</v>
      </c>
      <c r="E69">
        <f>'Unformatted Trip Summary'!E67</f>
        <v>8</v>
      </c>
      <c r="F69" s="1">
        <f>'Unformatted Trip Summary'!F67</f>
        <v>0.25390046509999997</v>
      </c>
      <c r="G69" s="1">
        <f>'Unformatted Trip Summary'!G67</f>
        <v>0</v>
      </c>
      <c r="H69" s="1">
        <f>'Unformatted Trip Summary'!H67</f>
        <v>0.30396755050000002</v>
      </c>
    </row>
    <row r="70" spans="1:8" x14ac:dyDescent="0.2">
      <c r="A70" t="str">
        <f>'Unformatted Trip Summary'!A68</f>
        <v>01 NORTHLAND</v>
      </c>
      <c r="B70" t="str">
        <f>'Unformatted Trip Summary'!J68</f>
        <v>2027/28</v>
      </c>
      <c r="C70" t="str">
        <f>'Unformatted Trip Summary'!I68</f>
        <v>Air/Non-Local PT</v>
      </c>
      <c r="D70">
        <f>'Unformatted Trip Summary'!D68</f>
        <v>5</v>
      </c>
      <c r="E70">
        <f>'Unformatted Trip Summary'!E68</f>
        <v>8</v>
      </c>
      <c r="F70" s="1">
        <f>'Unformatted Trip Summary'!F68</f>
        <v>0.28283219180000002</v>
      </c>
      <c r="G70" s="1">
        <f>'Unformatted Trip Summary'!G68</f>
        <v>0</v>
      </c>
      <c r="H70" s="1">
        <f>'Unformatted Trip Summary'!H68</f>
        <v>0.3380793265</v>
      </c>
    </row>
    <row r="71" spans="1:8" x14ac:dyDescent="0.2">
      <c r="A71" t="str">
        <f>'Unformatted Trip Summary'!A69</f>
        <v>01 NORTHLAND</v>
      </c>
      <c r="B71" t="str">
        <f>'Unformatted Trip Summary'!J69</f>
        <v>2032/33</v>
      </c>
      <c r="C71" t="str">
        <f>'Unformatted Trip Summary'!I69</f>
        <v>Air/Non-Local PT</v>
      </c>
      <c r="D71">
        <f>'Unformatted Trip Summary'!D69</f>
        <v>5</v>
      </c>
      <c r="E71">
        <f>'Unformatted Trip Summary'!E69</f>
        <v>8</v>
      </c>
      <c r="F71" s="1">
        <f>'Unformatted Trip Summary'!F69</f>
        <v>0.29143216840000002</v>
      </c>
      <c r="G71" s="1">
        <f>'Unformatted Trip Summary'!G69</f>
        <v>0</v>
      </c>
      <c r="H71" s="1">
        <f>'Unformatted Trip Summary'!H69</f>
        <v>0.34594059719999998</v>
      </c>
    </row>
    <row r="72" spans="1:8" x14ac:dyDescent="0.2">
      <c r="A72" t="str">
        <f>'Unformatted Trip Summary'!A70</f>
        <v>01 NORTHLAND</v>
      </c>
      <c r="B72" t="str">
        <f>'Unformatted Trip Summary'!J70</f>
        <v>2037/38</v>
      </c>
      <c r="C72" t="str">
        <f>'Unformatted Trip Summary'!I70</f>
        <v>Air/Non-Local PT</v>
      </c>
      <c r="D72">
        <f>'Unformatted Trip Summary'!D70</f>
        <v>5</v>
      </c>
      <c r="E72">
        <f>'Unformatted Trip Summary'!E70</f>
        <v>8</v>
      </c>
      <c r="F72" s="1">
        <f>'Unformatted Trip Summary'!F70</f>
        <v>0.27332971820000002</v>
      </c>
      <c r="G72" s="1">
        <f>'Unformatted Trip Summary'!G70</f>
        <v>0</v>
      </c>
      <c r="H72" s="1">
        <f>'Unformatted Trip Summary'!H70</f>
        <v>0.32345904889999999</v>
      </c>
    </row>
    <row r="73" spans="1:8" x14ac:dyDescent="0.2">
      <c r="A73" t="str">
        <f>'Unformatted Trip Summary'!A71</f>
        <v>01 NORTHLAND</v>
      </c>
      <c r="B73" t="str">
        <f>'Unformatted Trip Summary'!J71</f>
        <v>2042/43</v>
      </c>
      <c r="C73" t="str">
        <f>'Unformatted Trip Summary'!I71</f>
        <v>Air/Non-Local PT</v>
      </c>
      <c r="D73">
        <f>'Unformatted Trip Summary'!D71</f>
        <v>5</v>
      </c>
      <c r="E73">
        <f>'Unformatted Trip Summary'!E71</f>
        <v>8</v>
      </c>
      <c r="F73" s="1">
        <f>'Unformatted Trip Summary'!F71</f>
        <v>0.25328874019999997</v>
      </c>
      <c r="G73" s="1">
        <f>'Unformatted Trip Summary'!G71</f>
        <v>0</v>
      </c>
      <c r="H73" s="1">
        <f>'Unformatted Trip Summary'!H71</f>
        <v>0.2977514678</v>
      </c>
    </row>
    <row r="74" spans="1:8" x14ac:dyDescent="0.2">
      <c r="A74" t="str">
        <f>'Unformatted Trip Summary'!A72</f>
        <v>01 NORTHLAND</v>
      </c>
      <c r="B74" t="str">
        <f>'Unformatted Trip Summary'!J72</f>
        <v>2012/13</v>
      </c>
      <c r="C74" t="str">
        <f>'Unformatted Trip Summary'!I72</f>
        <v>Non-Household Travel</v>
      </c>
      <c r="D74">
        <f>'Unformatted Trip Summary'!D72</f>
        <v>13</v>
      </c>
      <c r="E74">
        <f>'Unformatted Trip Summary'!E72</f>
        <v>59</v>
      </c>
      <c r="F74" s="1">
        <f>'Unformatted Trip Summary'!F72</f>
        <v>2.0613233212000002</v>
      </c>
      <c r="G74" s="1">
        <f>'Unformatted Trip Summary'!G72</f>
        <v>34.810730239000002</v>
      </c>
      <c r="H74" s="1">
        <f>'Unformatted Trip Summary'!H72</f>
        <v>0.70164482120000005</v>
      </c>
    </row>
    <row r="75" spans="1:8" x14ac:dyDescent="0.2">
      <c r="A75" t="str">
        <f>'Unformatted Trip Summary'!A73</f>
        <v>01 NORTHLAND</v>
      </c>
      <c r="B75" t="str">
        <f>'Unformatted Trip Summary'!J73</f>
        <v>2017/18</v>
      </c>
      <c r="C75" t="str">
        <f>'Unformatted Trip Summary'!I73</f>
        <v>Non-Household Travel</v>
      </c>
      <c r="D75">
        <f>'Unformatted Trip Summary'!D73</f>
        <v>13</v>
      </c>
      <c r="E75">
        <f>'Unformatted Trip Summary'!E73</f>
        <v>59</v>
      </c>
      <c r="F75" s="1">
        <f>'Unformatted Trip Summary'!F73</f>
        <v>1.9771562667</v>
      </c>
      <c r="G75" s="1">
        <f>'Unformatted Trip Summary'!G73</f>
        <v>30.694657217</v>
      </c>
      <c r="H75" s="1">
        <f>'Unformatted Trip Summary'!H73</f>
        <v>0.64581224159999995</v>
      </c>
    </row>
    <row r="76" spans="1:8" x14ac:dyDescent="0.2">
      <c r="A76" t="str">
        <f>'Unformatted Trip Summary'!A74</f>
        <v>01 NORTHLAND</v>
      </c>
      <c r="B76" t="str">
        <f>'Unformatted Trip Summary'!J74</f>
        <v>2022/23</v>
      </c>
      <c r="C76" t="str">
        <f>'Unformatted Trip Summary'!I74</f>
        <v>Non-Household Travel</v>
      </c>
      <c r="D76">
        <f>'Unformatted Trip Summary'!D74</f>
        <v>13</v>
      </c>
      <c r="E76">
        <f>'Unformatted Trip Summary'!E74</f>
        <v>59</v>
      </c>
      <c r="F76" s="1">
        <f>'Unformatted Trip Summary'!F74</f>
        <v>2.1717087018000001</v>
      </c>
      <c r="G76" s="1">
        <f>'Unformatted Trip Summary'!G74</f>
        <v>31.937431672999999</v>
      </c>
      <c r="H76" s="1">
        <f>'Unformatted Trip Summary'!H74</f>
        <v>0.69419684790000002</v>
      </c>
    </row>
    <row r="77" spans="1:8" x14ac:dyDescent="0.2">
      <c r="A77" t="str">
        <f>'Unformatted Trip Summary'!A75</f>
        <v>01 NORTHLAND</v>
      </c>
      <c r="B77" t="str">
        <f>'Unformatted Trip Summary'!J75</f>
        <v>2027/28</v>
      </c>
      <c r="C77" t="str">
        <f>'Unformatted Trip Summary'!I75</f>
        <v>Non-Household Travel</v>
      </c>
      <c r="D77">
        <f>'Unformatted Trip Summary'!D75</f>
        <v>13</v>
      </c>
      <c r="E77">
        <f>'Unformatted Trip Summary'!E75</f>
        <v>59</v>
      </c>
      <c r="F77" s="1">
        <f>'Unformatted Trip Summary'!F75</f>
        <v>2.4171894323999998</v>
      </c>
      <c r="G77" s="1">
        <f>'Unformatted Trip Summary'!G75</f>
        <v>34.862234856000001</v>
      </c>
      <c r="H77" s="1">
        <f>'Unformatted Trip Summary'!H75</f>
        <v>0.77311352450000004</v>
      </c>
    </row>
    <row r="78" spans="1:8" x14ac:dyDescent="0.2">
      <c r="A78" t="str">
        <f>'Unformatted Trip Summary'!A76</f>
        <v>01 NORTHLAND</v>
      </c>
      <c r="B78" t="str">
        <f>'Unformatted Trip Summary'!J76</f>
        <v>2032/33</v>
      </c>
      <c r="C78" t="str">
        <f>'Unformatted Trip Summary'!I76</f>
        <v>Non-Household Travel</v>
      </c>
      <c r="D78">
        <f>'Unformatted Trip Summary'!D76</f>
        <v>13</v>
      </c>
      <c r="E78">
        <f>'Unformatted Trip Summary'!E76</f>
        <v>59</v>
      </c>
      <c r="F78" s="1">
        <f>'Unformatted Trip Summary'!F76</f>
        <v>2.5691577934000001</v>
      </c>
      <c r="G78" s="1">
        <f>'Unformatted Trip Summary'!G76</f>
        <v>36.880153968999998</v>
      </c>
      <c r="H78" s="1">
        <f>'Unformatted Trip Summary'!H76</f>
        <v>0.82461171060000005</v>
      </c>
    </row>
    <row r="79" spans="1:8" x14ac:dyDescent="0.2">
      <c r="A79" t="str">
        <f>'Unformatted Trip Summary'!A77</f>
        <v>01 NORTHLAND</v>
      </c>
      <c r="B79" t="str">
        <f>'Unformatted Trip Summary'!J77</f>
        <v>2037/38</v>
      </c>
      <c r="C79" t="str">
        <f>'Unformatted Trip Summary'!I77</f>
        <v>Non-Household Travel</v>
      </c>
      <c r="D79">
        <f>'Unformatted Trip Summary'!D77</f>
        <v>13</v>
      </c>
      <c r="E79">
        <f>'Unformatted Trip Summary'!E77</f>
        <v>59</v>
      </c>
      <c r="F79" s="1">
        <f>'Unformatted Trip Summary'!F77</f>
        <v>2.4771679297000002</v>
      </c>
      <c r="G79" s="1">
        <f>'Unformatted Trip Summary'!G77</f>
        <v>36.017185161</v>
      </c>
      <c r="H79" s="1">
        <f>'Unformatted Trip Summary'!H77</f>
        <v>0.80043873160000001</v>
      </c>
    </row>
    <row r="80" spans="1:8" x14ac:dyDescent="0.2">
      <c r="A80" t="str">
        <f>'Unformatted Trip Summary'!A78</f>
        <v>01 NORTHLAND</v>
      </c>
      <c r="B80" t="str">
        <f>'Unformatted Trip Summary'!J78</f>
        <v>2042/43</v>
      </c>
      <c r="C80" t="str">
        <f>'Unformatted Trip Summary'!I78</f>
        <v>Non-Household Travel</v>
      </c>
      <c r="D80">
        <f>'Unformatted Trip Summary'!D78</f>
        <v>13</v>
      </c>
      <c r="E80">
        <f>'Unformatted Trip Summary'!E78</f>
        <v>59</v>
      </c>
      <c r="F80" s="1">
        <f>'Unformatted Trip Summary'!F78</f>
        <v>2.3643960980999998</v>
      </c>
      <c r="G80" s="1">
        <f>'Unformatted Trip Summary'!G78</f>
        <v>35.148747821000001</v>
      </c>
      <c r="H80" s="1">
        <f>'Unformatted Trip Summary'!H78</f>
        <v>0.77206449850000003</v>
      </c>
    </row>
    <row r="81" spans="1:8" x14ac:dyDescent="0.2">
      <c r="A81" t="str">
        <f>'Unformatted Trip Summary'!A79</f>
        <v>02 AUCKLAND</v>
      </c>
      <c r="B81" t="str">
        <f>'Unformatted Trip Summary'!J79</f>
        <v>2012/13</v>
      </c>
      <c r="C81" t="str">
        <f>'Unformatted Trip Summary'!I79</f>
        <v>Pedestrian</v>
      </c>
      <c r="D81">
        <f>'Unformatted Trip Summary'!D79</f>
        <v>1541</v>
      </c>
      <c r="E81">
        <f>'Unformatted Trip Summary'!E79</f>
        <v>5702</v>
      </c>
      <c r="F81" s="1">
        <f>'Unformatted Trip Summary'!F79</f>
        <v>324.81096006000001</v>
      </c>
      <c r="G81" s="1">
        <f>'Unformatted Trip Summary'!G79</f>
        <v>294.55939388000002</v>
      </c>
      <c r="H81" s="1">
        <f>'Unformatted Trip Summary'!H79</f>
        <v>73.381071999</v>
      </c>
    </row>
    <row r="82" spans="1:8" x14ac:dyDescent="0.2">
      <c r="A82" t="str">
        <f>'Unformatted Trip Summary'!A80</f>
        <v>02 AUCKLAND</v>
      </c>
      <c r="B82" t="str">
        <f>'Unformatted Trip Summary'!J80</f>
        <v>2017/18</v>
      </c>
      <c r="C82" t="str">
        <f>'Unformatted Trip Summary'!I80</f>
        <v>Pedestrian</v>
      </c>
      <c r="D82">
        <f>'Unformatted Trip Summary'!D80</f>
        <v>1541</v>
      </c>
      <c r="E82">
        <f>'Unformatted Trip Summary'!E80</f>
        <v>5702</v>
      </c>
      <c r="F82" s="1">
        <f>'Unformatted Trip Summary'!F80</f>
        <v>378.35663090999998</v>
      </c>
      <c r="G82" s="1">
        <f>'Unformatted Trip Summary'!G80</f>
        <v>342.14627918999997</v>
      </c>
      <c r="H82" s="1">
        <f>'Unformatted Trip Summary'!H80</f>
        <v>85.066334768000004</v>
      </c>
    </row>
    <row r="83" spans="1:8" x14ac:dyDescent="0.2">
      <c r="A83" t="str">
        <f>'Unformatted Trip Summary'!A81</f>
        <v>02 AUCKLAND</v>
      </c>
      <c r="B83" t="str">
        <f>'Unformatted Trip Summary'!J81</f>
        <v>2022/23</v>
      </c>
      <c r="C83" t="str">
        <f>'Unformatted Trip Summary'!I81</f>
        <v>Pedestrian</v>
      </c>
      <c r="D83">
        <f>'Unformatted Trip Summary'!D81</f>
        <v>1541</v>
      </c>
      <c r="E83">
        <f>'Unformatted Trip Summary'!E81</f>
        <v>5702</v>
      </c>
      <c r="F83" s="1">
        <f>'Unformatted Trip Summary'!F81</f>
        <v>377.54142388000002</v>
      </c>
      <c r="G83" s="1">
        <f>'Unformatted Trip Summary'!G81</f>
        <v>339.64112280000001</v>
      </c>
      <c r="H83" s="1">
        <f>'Unformatted Trip Summary'!H81</f>
        <v>84.651509806000007</v>
      </c>
    </row>
    <row r="84" spans="1:8" x14ac:dyDescent="0.2">
      <c r="A84" t="str">
        <f>'Unformatted Trip Summary'!A82</f>
        <v>02 AUCKLAND</v>
      </c>
      <c r="B84" t="str">
        <f>'Unformatted Trip Summary'!J82</f>
        <v>2027/28</v>
      </c>
      <c r="C84" t="str">
        <f>'Unformatted Trip Summary'!I82</f>
        <v>Pedestrian</v>
      </c>
      <c r="D84">
        <f>'Unformatted Trip Summary'!D82</f>
        <v>1541</v>
      </c>
      <c r="E84">
        <f>'Unformatted Trip Summary'!E82</f>
        <v>5702</v>
      </c>
      <c r="F84" s="1">
        <f>'Unformatted Trip Summary'!F82</f>
        <v>392.27071245000002</v>
      </c>
      <c r="G84" s="1">
        <f>'Unformatted Trip Summary'!G82</f>
        <v>350.86382373999999</v>
      </c>
      <c r="H84" s="1">
        <f>'Unformatted Trip Summary'!H82</f>
        <v>87.950722189000004</v>
      </c>
    </row>
    <row r="85" spans="1:8" x14ac:dyDescent="0.2">
      <c r="A85" t="str">
        <f>'Unformatted Trip Summary'!A83</f>
        <v>02 AUCKLAND</v>
      </c>
      <c r="B85" t="str">
        <f>'Unformatted Trip Summary'!J83</f>
        <v>2032/33</v>
      </c>
      <c r="C85" t="str">
        <f>'Unformatted Trip Summary'!I83</f>
        <v>Pedestrian</v>
      </c>
      <c r="D85">
        <f>'Unformatted Trip Summary'!D83</f>
        <v>1541</v>
      </c>
      <c r="E85">
        <f>'Unformatted Trip Summary'!E83</f>
        <v>5702</v>
      </c>
      <c r="F85" s="1">
        <f>'Unformatted Trip Summary'!F83</f>
        <v>402.95570027000002</v>
      </c>
      <c r="G85" s="1">
        <f>'Unformatted Trip Summary'!G83</f>
        <v>358.90277834</v>
      </c>
      <c r="H85" s="1">
        <f>'Unformatted Trip Summary'!H83</f>
        <v>90.451915920000005</v>
      </c>
    </row>
    <row r="86" spans="1:8" x14ac:dyDescent="0.2">
      <c r="A86" t="str">
        <f>'Unformatted Trip Summary'!A84</f>
        <v>02 AUCKLAND</v>
      </c>
      <c r="B86" t="str">
        <f>'Unformatted Trip Summary'!J84</f>
        <v>2037/38</v>
      </c>
      <c r="C86" t="str">
        <f>'Unformatted Trip Summary'!I84</f>
        <v>Pedestrian</v>
      </c>
      <c r="D86">
        <f>'Unformatted Trip Summary'!D84</f>
        <v>1541</v>
      </c>
      <c r="E86">
        <f>'Unformatted Trip Summary'!E84</f>
        <v>5702</v>
      </c>
      <c r="F86" s="1">
        <f>'Unformatted Trip Summary'!F84</f>
        <v>412.53105502</v>
      </c>
      <c r="G86" s="1">
        <f>'Unformatted Trip Summary'!G84</f>
        <v>367.55161035999998</v>
      </c>
      <c r="H86" s="1">
        <f>'Unformatted Trip Summary'!H84</f>
        <v>92.994817022000007</v>
      </c>
    </row>
    <row r="87" spans="1:8" x14ac:dyDescent="0.2">
      <c r="A87" t="str">
        <f>'Unformatted Trip Summary'!A85</f>
        <v>02 AUCKLAND</v>
      </c>
      <c r="B87" t="str">
        <f>'Unformatted Trip Summary'!J85</f>
        <v>2042/43</v>
      </c>
      <c r="C87" t="str">
        <f>'Unformatted Trip Summary'!I85</f>
        <v>Pedestrian</v>
      </c>
      <c r="D87">
        <f>'Unformatted Trip Summary'!D85</f>
        <v>1541</v>
      </c>
      <c r="E87">
        <f>'Unformatted Trip Summary'!E85</f>
        <v>5702</v>
      </c>
      <c r="F87" s="1">
        <f>'Unformatted Trip Summary'!F85</f>
        <v>418.58699025999999</v>
      </c>
      <c r="G87" s="1">
        <f>'Unformatted Trip Summary'!G85</f>
        <v>373.36967542999997</v>
      </c>
      <c r="H87" s="1">
        <f>'Unformatted Trip Summary'!H85</f>
        <v>94.762005275999996</v>
      </c>
    </row>
    <row r="88" spans="1:8" x14ac:dyDescent="0.2">
      <c r="A88" t="str">
        <f>'Unformatted Trip Summary'!A86</f>
        <v>02 AUCKLAND</v>
      </c>
      <c r="B88" t="str">
        <f>'Unformatted Trip Summary'!J86</f>
        <v>2012/13</v>
      </c>
      <c r="C88" t="str">
        <f>'Unformatted Trip Summary'!I86</f>
        <v>Cyclist</v>
      </c>
      <c r="D88">
        <f>'Unformatted Trip Summary'!D86</f>
        <v>49</v>
      </c>
      <c r="E88">
        <f>'Unformatted Trip Summary'!E86</f>
        <v>125</v>
      </c>
      <c r="F88" s="1">
        <f>'Unformatted Trip Summary'!F86</f>
        <v>7.0506319707999996</v>
      </c>
      <c r="G88" s="1">
        <f>'Unformatted Trip Summary'!G86</f>
        <v>55.843008154000003</v>
      </c>
      <c r="H88" s="1">
        <f>'Unformatted Trip Summary'!H86</f>
        <v>4.3659429593999999</v>
      </c>
    </row>
    <row r="89" spans="1:8" x14ac:dyDescent="0.2">
      <c r="A89" t="str">
        <f>'Unformatted Trip Summary'!A87</f>
        <v>02 AUCKLAND</v>
      </c>
      <c r="B89" t="str">
        <f>'Unformatted Trip Summary'!J87</f>
        <v>2017/18</v>
      </c>
      <c r="C89" t="str">
        <f>'Unformatted Trip Summary'!I87</f>
        <v>Cyclist</v>
      </c>
      <c r="D89">
        <f>'Unformatted Trip Summary'!D87</f>
        <v>49</v>
      </c>
      <c r="E89">
        <f>'Unformatted Trip Summary'!E87</f>
        <v>125</v>
      </c>
      <c r="F89" s="1">
        <f>'Unformatted Trip Summary'!F87</f>
        <v>8.4046914219000008</v>
      </c>
      <c r="G89" s="1">
        <f>'Unformatted Trip Summary'!G87</f>
        <v>69.554132730999996</v>
      </c>
      <c r="H89" s="1">
        <f>'Unformatted Trip Summary'!H87</f>
        <v>5.3852527687</v>
      </c>
    </row>
    <row r="90" spans="1:8" x14ac:dyDescent="0.2">
      <c r="A90" t="str">
        <f>'Unformatted Trip Summary'!A88</f>
        <v>02 AUCKLAND</v>
      </c>
      <c r="B90" t="str">
        <f>'Unformatted Trip Summary'!J88</f>
        <v>2022/23</v>
      </c>
      <c r="C90" t="str">
        <f>'Unformatted Trip Summary'!I88</f>
        <v>Cyclist</v>
      </c>
      <c r="D90">
        <f>'Unformatted Trip Summary'!D88</f>
        <v>49</v>
      </c>
      <c r="E90">
        <f>'Unformatted Trip Summary'!E88</f>
        <v>125</v>
      </c>
      <c r="F90" s="1">
        <f>'Unformatted Trip Summary'!F88</f>
        <v>8.5384516923000007</v>
      </c>
      <c r="G90" s="1">
        <f>'Unformatted Trip Summary'!G88</f>
        <v>72.501759723000006</v>
      </c>
      <c r="H90" s="1">
        <f>'Unformatted Trip Summary'!H88</f>
        <v>5.5588972455999999</v>
      </c>
    </row>
    <row r="91" spans="1:8" x14ac:dyDescent="0.2">
      <c r="A91" t="str">
        <f>'Unformatted Trip Summary'!A89</f>
        <v>02 AUCKLAND</v>
      </c>
      <c r="B91" t="str">
        <f>'Unformatted Trip Summary'!J89</f>
        <v>2027/28</v>
      </c>
      <c r="C91" t="str">
        <f>'Unformatted Trip Summary'!I89</f>
        <v>Cyclist</v>
      </c>
      <c r="D91">
        <f>'Unformatted Trip Summary'!D89</f>
        <v>49</v>
      </c>
      <c r="E91">
        <f>'Unformatted Trip Summary'!E89</f>
        <v>125</v>
      </c>
      <c r="F91" s="1">
        <f>'Unformatted Trip Summary'!F89</f>
        <v>9.0929885669000008</v>
      </c>
      <c r="G91" s="1">
        <f>'Unformatted Trip Summary'!G89</f>
        <v>79.077059535999993</v>
      </c>
      <c r="H91" s="1">
        <f>'Unformatted Trip Summary'!H89</f>
        <v>6.0601217518999997</v>
      </c>
    </row>
    <row r="92" spans="1:8" x14ac:dyDescent="0.2">
      <c r="A92" t="str">
        <f>'Unformatted Trip Summary'!A90</f>
        <v>02 AUCKLAND</v>
      </c>
      <c r="B92" t="str">
        <f>'Unformatted Trip Summary'!J90</f>
        <v>2032/33</v>
      </c>
      <c r="C92" t="str">
        <f>'Unformatted Trip Summary'!I90</f>
        <v>Cyclist</v>
      </c>
      <c r="D92">
        <f>'Unformatted Trip Summary'!D90</f>
        <v>49</v>
      </c>
      <c r="E92">
        <f>'Unformatted Trip Summary'!E90</f>
        <v>125</v>
      </c>
      <c r="F92" s="1">
        <f>'Unformatted Trip Summary'!F90</f>
        <v>9.5751436711999993</v>
      </c>
      <c r="G92" s="1">
        <f>'Unformatted Trip Summary'!G90</f>
        <v>86.793581868999993</v>
      </c>
      <c r="H92" s="1">
        <f>'Unformatted Trip Summary'!H90</f>
        <v>6.6281924452999998</v>
      </c>
    </row>
    <row r="93" spans="1:8" x14ac:dyDescent="0.2">
      <c r="A93" t="str">
        <f>'Unformatted Trip Summary'!A91</f>
        <v>02 AUCKLAND</v>
      </c>
      <c r="B93" t="str">
        <f>'Unformatted Trip Summary'!J91</f>
        <v>2037/38</v>
      </c>
      <c r="C93" t="str">
        <f>'Unformatted Trip Summary'!I91</f>
        <v>Cyclist</v>
      </c>
      <c r="D93">
        <f>'Unformatted Trip Summary'!D91</f>
        <v>49</v>
      </c>
      <c r="E93">
        <f>'Unformatted Trip Summary'!E91</f>
        <v>125</v>
      </c>
      <c r="F93" s="1">
        <f>'Unformatted Trip Summary'!F91</f>
        <v>10.318749950000001</v>
      </c>
      <c r="G93" s="1">
        <f>'Unformatted Trip Summary'!G91</f>
        <v>97.377299633999996</v>
      </c>
      <c r="H93" s="1">
        <f>'Unformatted Trip Summary'!H91</f>
        <v>7.3930133093999997</v>
      </c>
    </row>
    <row r="94" spans="1:8" x14ac:dyDescent="0.2">
      <c r="A94" t="str">
        <f>'Unformatted Trip Summary'!A92</f>
        <v>02 AUCKLAND</v>
      </c>
      <c r="B94" t="str">
        <f>'Unformatted Trip Summary'!J92</f>
        <v>2042/43</v>
      </c>
      <c r="C94" t="str">
        <f>'Unformatted Trip Summary'!I92</f>
        <v>Cyclist</v>
      </c>
      <c r="D94">
        <f>'Unformatted Trip Summary'!D92</f>
        <v>49</v>
      </c>
      <c r="E94">
        <f>'Unformatted Trip Summary'!E92</f>
        <v>125</v>
      </c>
      <c r="F94" s="1">
        <f>'Unformatted Trip Summary'!F92</f>
        <v>11.047654407</v>
      </c>
      <c r="G94" s="1">
        <f>'Unformatted Trip Summary'!G92</f>
        <v>107.99120861</v>
      </c>
      <c r="H94" s="1">
        <f>'Unformatted Trip Summary'!H92</f>
        <v>8.1609261405000009</v>
      </c>
    </row>
    <row r="95" spans="1:8" x14ac:dyDescent="0.2">
      <c r="A95" t="str">
        <f>'Unformatted Trip Summary'!A93</f>
        <v>02 AUCKLAND</v>
      </c>
      <c r="B95" t="str">
        <f>'Unformatted Trip Summary'!J93</f>
        <v>2012/13</v>
      </c>
      <c r="C95" t="str">
        <f>'Unformatted Trip Summary'!I93</f>
        <v>Light Vehicle Driver</v>
      </c>
      <c r="D95">
        <f>'Unformatted Trip Summary'!D93</f>
        <v>2765</v>
      </c>
      <c r="E95">
        <f>'Unformatted Trip Summary'!E93</f>
        <v>18286</v>
      </c>
      <c r="F95" s="1">
        <f>'Unformatted Trip Summary'!F93</f>
        <v>981.24355252999999</v>
      </c>
      <c r="G95" s="1">
        <f>'Unformatted Trip Summary'!G93</f>
        <v>9374.4733825999992</v>
      </c>
      <c r="H95" s="1">
        <f>'Unformatted Trip Summary'!H93</f>
        <v>295.36669345000001</v>
      </c>
    </row>
    <row r="96" spans="1:8" x14ac:dyDescent="0.2">
      <c r="A96" t="str">
        <f>'Unformatted Trip Summary'!A94</f>
        <v>02 AUCKLAND</v>
      </c>
      <c r="B96" t="str">
        <f>'Unformatted Trip Summary'!J94</f>
        <v>2017/18</v>
      </c>
      <c r="C96" t="str">
        <f>'Unformatted Trip Summary'!I94</f>
        <v>Light Vehicle Driver</v>
      </c>
      <c r="D96">
        <f>'Unformatted Trip Summary'!D94</f>
        <v>2765</v>
      </c>
      <c r="E96">
        <f>'Unformatted Trip Summary'!E94</f>
        <v>18286</v>
      </c>
      <c r="F96" s="1">
        <f>'Unformatted Trip Summary'!F94</f>
        <v>1178.5075670000001</v>
      </c>
      <c r="G96" s="1">
        <f>'Unformatted Trip Summary'!G94</f>
        <v>11346.306594</v>
      </c>
      <c r="H96" s="1">
        <f>'Unformatted Trip Summary'!H94</f>
        <v>356.64929530000001</v>
      </c>
    </row>
    <row r="97" spans="1:8" x14ac:dyDescent="0.2">
      <c r="A97" t="str">
        <f>'Unformatted Trip Summary'!A95</f>
        <v>02 AUCKLAND</v>
      </c>
      <c r="B97" t="str">
        <f>'Unformatted Trip Summary'!J95</f>
        <v>2022/23</v>
      </c>
      <c r="C97" t="str">
        <f>'Unformatted Trip Summary'!I95</f>
        <v>Light Vehicle Driver</v>
      </c>
      <c r="D97">
        <f>'Unformatted Trip Summary'!D95</f>
        <v>2765</v>
      </c>
      <c r="E97">
        <f>'Unformatted Trip Summary'!E95</f>
        <v>18286</v>
      </c>
      <c r="F97" s="1">
        <f>'Unformatted Trip Summary'!F95</f>
        <v>1186.3189405999999</v>
      </c>
      <c r="G97" s="1">
        <f>'Unformatted Trip Summary'!G95</f>
        <v>11427.259187</v>
      </c>
      <c r="H97" s="1">
        <f>'Unformatted Trip Summary'!H95</f>
        <v>358.80491393</v>
      </c>
    </row>
    <row r="98" spans="1:8" x14ac:dyDescent="0.2">
      <c r="A98" t="str">
        <f>'Unformatted Trip Summary'!A96</f>
        <v>02 AUCKLAND</v>
      </c>
      <c r="B98" t="str">
        <f>'Unformatted Trip Summary'!J96</f>
        <v>2027/28</v>
      </c>
      <c r="C98" t="str">
        <f>'Unformatted Trip Summary'!I96</f>
        <v>Light Vehicle Driver</v>
      </c>
      <c r="D98">
        <f>'Unformatted Trip Summary'!D96</f>
        <v>2765</v>
      </c>
      <c r="E98">
        <f>'Unformatted Trip Summary'!E96</f>
        <v>18286</v>
      </c>
      <c r="F98" s="1">
        <f>'Unformatted Trip Summary'!F96</f>
        <v>1269.2684030999999</v>
      </c>
      <c r="G98" s="1">
        <f>'Unformatted Trip Summary'!G96</f>
        <v>12291.857877</v>
      </c>
      <c r="H98" s="1">
        <f>'Unformatted Trip Summary'!H96</f>
        <v>384.02838402999998</v>
      </c>
    </row>
    <row r="99" spans="1:8" x14ac:dyDescent="0.2">
      <c r="A99" t="str">
        <f>'Unformatted Trip Summary'!A97</f>
        <v>02 AUCKLAND</v>
      </c>
      <c r="B99" t="str">
        <f>'Unformatted Trip Summary'!J97</f>
        <v>2032/33</v>
      </c>
      <c r="C99" t="str">
        <f>'Unformatted Trip Summary'!I97</f>
        <v>Light Vehicle Driver</v>
      </c>
      <c r="D99">
        <f>'Unformatted Trip Summary'!D97</f>
        <v>2765</v>
      </c>
      <c r="E99">
        <f>'Unformatted Trip Summary'!E97</f>
        <v>18286</v>
      </c>
      <c r="F99" s="1">
        <f>'Unformatted Trip Summary'!F97</f>
        <v>1347.3383454</v>
      </c>
      <c r="G99" s="1">
        <f>'Unformatted Trip Summary'!G97</f>
        <v>13107.91568</v>
      </c>
      <c r="H99" s="1">
        <f>'Unformatted Trip Summary'!H97</f>
        <v>407.99497768999998</v>
      </c>
    </row>
    <row r="100" spans="1:8" x14ac:dyDescent="0.2">
      <c r="A100" t="str">
        <f>'Unformatted Trip Summary'!A98</f>
        <v>02 AUCKLAND</v>
      </c>
      <c r="B100" t="str">
        <f>'Unformatted Trip Summary'!J98</f>
        <v>2037/38</v>
      </c>
      <c r="C100" t="str">
        <f>'Unformatted Trip Summary'!I98</f>
        <v>Light Vehicle Driver</v>
      </c>
      <c r="D100">
        <f>'Unformatted Trip Summary'!D98</f>
        <v>2765</v>
      </c>
      <c r="E100">
        <f>'Unformatted Trip Summary'!E98</f>
        <v>18286</v>
      </c>
      <c r="F100" s="1">
        <f>'Unformatted Trip Summary'!F98</f>
        <v>1422.0167128999999</v>
      </c>
      <c r="G100" s="1">
        <f>'Unformatted Trip Summary'!G98</f>
        <v>13880.377645</v>
      </c>
      <c r="H100" s="1">
        <f>'Unformatted Trip Summary'!H98</f>
        <v>431.21460239999999</v>
      </c>
    </row>
    <row r="101" spans="1:8" x14ac:dyDescent="0.2">
      <c r="A101" t="str">
        <f>'Unformatted Trip Summary'!A99</f>
        <v>02 AUCKLAND</v>
      </c>
      <c r="B101" t="str">
        <f>'Unformatted Trip Summary'!J99</f>
        <v>2042/43</v>
      </c>
      <c r="C101" t="str">
        <f>'Unformatted Trip Summary'!I99</f>
        <v>Light Vehicle Driver</v>
      </c>
      <c r="D101">
        <f>'Unformatted Trip Summary'!D99</f>
        <v>2765</v>
      </c>
      <c r="E101">
        <f>'Unformatted Trip Summary'!E99</f>
        <v>18286</v>
      </c>
      <c r="F101" s="1">
        <f>'Unformatted Trip Summary'!F99</f>
        <v>1488.2035705999999</v>
      </c>
      <c r="G101" s="1">
        <f>'Unformatted Trip Summary'!G99</f>
        <v>14572.244902</v>
      </c>
      <c r="H101" s="1">
        <f>'Unformatted Trip Summary'!H99</f>
        <v>451.90883186999997</v>
      </c>
    </row>
    <row r="102" spans="1:8" x14ac:dyDescent="0.2">
      <c r="A102" t="str">
        <f>'Unformatted Trip Summary'!A100</f>
        <v>02 AUCKLAND</v>
      </c>
      <c r="B102" t="str">
        <f>'Unformatted Trip Summary'!J100</f>
        <v>2012/13</v>
      </c>
      <c r="C102" t="str">
        <f>'Unformatted Trip Summary'!I100</f>
        <v>Light Vehicle Passenger</v>
      </c>
      <c r="D102">
        <f>'Unformatted Trip Summary'!D100</f>
        <v>2092</v>
      </c>
      <c r="E102">
        <f>'Unformatted Trip Summary'!E100</f>
        <v>9587</v>
      </c>
      <c r="F102" s="1">
        <f>'Unformatted Trip Summary'!F100</f>
        <v>488.06073574999999</v>
      </c>
      <c r="G102" s="1">
        <f>'Unformatted Trip Summary'!G100</f>
        <v>4814.6436660999998</v>
      </c>
      <c r="H102" s="1">
        <f>'Unformatted Trip Summary'!H100</f>
        <v>145.42645436999999</v>
      </c>
    </row>
    <row r="103" spans="1:8" x14ac:dyDescent="0.2">
      <c r="A103" t="str">
        <f>'Unformatted Trip Summary'!A101</f>
        <v>02 AUCKLAND</v>
      </c>
      <c r="B103" t="str">
        <f>'Unformatted Trip Summary'!J101</f>
        <v>2017/18</v>
      </c>
      <c r="C103" t="str">
        <f>'Unformatted Trip Summary'!I101</f>
        <v>Light Vehicle Passenger</v>
      </c>
      <c r="D103">
        <f>'Unformatted Trip Summary'!D101</f>
        <v>2092</v>
      </c>
      <c r="E103">
        <f>'Unformatted Trip Summary'!E101</f>
        <v>9587</v>
      </c>
      <c r="F103" s="1">
        <f>'Unformatted Trip Summary'!F101</f>
        <v>559.84114346000001</v>
      </c>
      <c r="G103" s="1">
        <f>'Unformatted Trip Summary'!G101</f>
        <v>5623.5282719999996</v>
      </c>
      <c r="H103" s="1">
        <f>'Unformatted Trip Summary'!H101</f>
        <v>168.25076633</v>
      </c>
    </row>
    <row r="104" spans="1:8" x14ac:dyDescent="0.2">
      <c r="A104" t="str">
        <f>'Unformatted Trip Summary'!A102</f>
        <v>02 AUCKLAND</v>
      </c>
      <c r="B104" t="str">
        <f>'Unformatted Trip Summary'!J102</f>
        <v>2022/23</v>
      </c>
      <c r="C104" t="str">
        <f>'Unformatted Trip Summary'!I102</f>
        <v>Light Vehicle Passenger</v>
      </c>
      <c r="D104">
        <f>'Unformatted Trip Summary'!D102</f>
        <v>2092</v>
      </c>
      <c r="E104">
        <f>'Unformatted Trip Summary'!E102</f>
        <v>9587</v>
      </c>
      <c r="F104" s="1">
        <f>'Unformatted Trip Summary'!F102</f>
        <v>557.95609408999997</v>
      </c>
      <c r="G104" s="1">
        <f>'Unformatted Trip Summary'!G102</f>
        <v>5652.8861268999999</v>
      </c>
      <c r="H104" s="1">
        <f>'Unformatted Trip Summary'!H102</f>
        <v>167.71438401</v>
      </c>
    </row>
    <row r="105" spans="1:8" x14ac:dyDescent="0.2">
      <c r="A105" t="str">
        <f>'Unformatted Trip Summary'!A103</f>
        <v>02 AUCKLAND</v>
      </c>
      <c r="B105" t="str">
        <f>'Unformatted Trip Summary'!J103</f>
        <v>2027/28</v>
      </c>
      <c r="C105" t="str">
        <f>'Unformatted Trip Summary'!I103</f>
        <v>Light Vehicle Passenger</v>
      </c>
      <c r="D105">
        <f>'Unformatted Trip Summary'!D103</f>
        <v>2092</v>
      </c>
      <c r="E105">
        <f>'Unformatted Trip Summary'!E103</f>
        <v>9587</v>
      </c>
      <c r="F105" s="1">
        <f>'Unformatted Trip Summary'!F103</f>
        <v>590.44803548000004</v>
      </c>
      <c r="G105" s="1">
        <f>'Unformatted Trip Summary'!G103</f>
        <v>6047.8683154999999</v>
      </c>
      <c r="H105" s="1">
        <f>'Unformatted Trip Summary'!H103</f>
        <v>177.52069161</v>
      </c>
    </row>
    <row r="106" spans="1:8" x14ac:dyDescent="0.2">
      <c r="A106" t="str">
        <f>'Unformatted Trip Summary'!A104</f>
        <v>02 AUCKLAND</v>
      </c>
      <c r="B106" t="str">
        <f>'Unformatted Trip Summary'!J104</f>
        <v>2032/33</v>
      </c>
      <c r="C106" t="str">
        <f>'Unformatted Trip Summary'!I104</f>
        <v>Light Vehicle Passenger</v>
      </c>
      <c r="D106">
        <f>'Unformatted Trip Summary'!D104</f>
        <v>2092</v>
      </c>
      <c r="E106">
        <f>'Unformatted Trip Summary'!E104</f>
        <v>9587</v>
      </c>
      <c r="F106" s="1">
        <f>'Unformatted Trip Summary'!F104</f>
        <v>621.10611399000004</v>
      </c>
      <c r="G106" s="1">
        <f>'Unformatted Trip Summary'!G104</f>
        <v>6395.0218324999996</v>
      </c>
      <c r="H106" s="1">
        <f>'Unformatted Trip Summary'!H104</f>
        <v>186.41211493</v>
      </c>
    </row>
    <row r="107" spans="1:8" x14ac:dyDescent="0.2">
      <c r="A107" t="str">
        <f>'Unformatted Trip Summary'!A105</f>
        <v>02 AUCKLAND</v>
      </c>
      <c r="B107" t="str">
        <f>'Unformatted Trip Summary'!J105</f>
        <v>2037/38</v>
      </c>
      <c r="C107" t="str">
        <f>'Unformatted Trip Summary'!I105</f>
        <v>Light Vehicle Passenger</v>
      </c>
      <c r="D107">
        <f>'Unformatted Trip Summary'!D105</f>
        <v>2092</v>
      </c>
      <c r="E107">
        <f>'Unformatted Trip Summary'!E105</f>
        <v>9587</v>
      </c>
      <c r="F107" s="1">
        <f>'Unformatted Trip Summary'!F105</f>
        <v>649.48164191000001</v>
      </c>
      <c r="G107" s="1">
        <f>'Unformatted Trip Summary'!G105</f>
        <v>6742.7096505</v>
      </c>
      <c r="H107" s="1">
        <f>'Unformatted Trip Summary'!H105</f>
        <v>195.21828092999999</v>
      </c>
    </row>
    <row r="108" spans="1:8" x14ac:dyDescent="0.2">
      <c r="A108" t="str">
        <f>'Unformatted Trip Summary'!A106</f>
        <v>02 AUCKLAND</v>
      </c>
      <c r="B108" t="str">
        <f>'Unformatted Trip Summary'!J106</f>
        <v>2042/43</v>
      </c>
      <c r="C108" t="str">
        <f>'Unformatted Trip Summary'!I106</f>
        <v>Light Vehicle Passenger</v>
      </c>
      <c r="D108">
        <f>'Unformatted Trip Summary'!D106</f>
        <v>2092</v>
      </c>
      <c r="E108">
        <f>'Unformatted Trip Summary'!E106</f>
        <v>9587</v>
      </c>
      <c r="F108" s="1">
        <f>'Unformatted Trip Summary'!F106</f>
        <v>675.18984021999995</v>
      </c>
      <c r="G108" s="1">
        <f>'Unformatted Trip Summary'!G106</f>
        <v>7053.9001761</v>
      </c>
      <c r="H108" s="1">
        <f>'Unformatted Trip Summary'!H106</f>
        <v>203.12944512000001</v>
      </c>
    </row>
    <row r="109" spans="1:8" x14ac:dyDescent="0.2">
      <c r="A109" t="str">
        <f>'Unformatted Trip Summary'!A107</f>
        <v>02 AUCKLAND</v>
      </c>
      <c r="B109" t="str">
        <f>'Unformatted Trip Summary'!J107</f>
        <v>2012/13</v>
      </c>
      <c r="C109" t="str">
        <f>'Unformatted Trip Summary'!I107</f>
        <v>Taxi/Vehicle Share</v>
      </c>
      <c r="D109">
        <f>'Unformatted Trip Summary'!D107</f>
        <v>54</v>
      </c>
      <c r="E109">
        <f>'Unformatted Trip Summary'!E107</f>
        <v>94</v>
      </c>
      <c r="F109" s="1">
        <f>'Unformatted Trip Summary'!F107</f>
        <v>6.0232688673999997</v>
      </c>
      <c r="G109" s="1">
        <f>'Unformatted Trip Summary'!G107</f>
        <v>41.157157814999998</v>
      </c>
      <c r="H109" s="1">
        <f>'Unformatted Trip Summary'!H107</f>
        <v>1.9131795197999999</v>
      </c>
    </row>
    <row r="110" spans="1:8" x14ac:dyDescent="0.2">
      <c r="A110" t="str">
        <f>'Unformatted Trip Summary'!A108</f>
        <v>02 AUCKLAND</v>
      </c>
      <c r="B110" t="str">
        <f>'Unformatted Trip Summary'!J108</f>
        <v>2017/18</v>
      </c>
      <c r="C110" t="str">
        <f>'Unformatted Trip Summary'!I108</f>
        <v>Taxi/Vehicle Share</v>
      </c>
      <c r="D110">
        <f>'Unformatted Trip Summary'!D108</f>
        <v>54</v>
      </c>
      <c r="E110">
        <f>'Unformatted Trip Summary'!E108</f>
        <v>94</v>
      </c>
      <c r="F110" s="1">
        <f>'Unformatted Trip Summary'!F108</f>
        <v>7.7766894449999997</v>
      </c>
      <c r="G110" s="1">
        <f>'Unformatted Trip Summary'!G108</f>
        <v>54.044127932999999</v>
      </c>
      <c r="H110" s="1">
        <f>'Unformatted Trip Summary'!H108</f>
        <v>2.4740584694000001</v>
      </c>
    </row>
    <row r="111" spans="1:8" x14ac:dyDescent="0.2">
      <c r="A111" t="str">
        <f>'Unformatted Trip Summary'!A109</f>
        <v>02 AUCKLAND</v>
      </c>
      <c r="B111" t="str">
        <f>'Unformatted Trip Summary'!J109</f>
        <v>2022/23</v>
      </c>
      <c r="C111" t="str">
        <f>'Unformatted Trip Summary'!I109</f>
        <v>Taxi/Vehicle Share</v>
      </c>
      <c r="D111">
        <f>'Unformatted Trip Summary'!D109</f>
        <v>54</v>
      </c>
      <c r="E111">
        <f>'Unformatted Trip Summary'!E109</f>
        <v>94</v>
      </c>
      <c r="F111" s="1">
        <f>'Unformatted Trip Summary'!F109</f>
        <v>8.7690258763000006</v>
      </c>
      <c r="G111" s="1">
        <f>'Unformatted Trip Summary'!G109</f>
        <v>63.944659346000002</v>
      </c>
      <c r="H111" s="1">
        <f>'Unformatted Trip Summary'!H109</f>
        <v>2.8060037959000002</v>
      </c>
    </row>
    <row r="112" spans="1:8" x14ac:dyDescent="0.2">
      <c r="A112" t="str">
        <f>'Unformatted Trip Summary'!A110</f>
        <v>02 AUCKLAND</v>
      </c>
      <c r="B112" t="str">
        <f>'Unformatted Trip Summary'!J110</f>
        <v>2027/28</v>
      </c>
      <c r="C112" t="str">
        <f>'Unformatted Trip Summary'!I110</f>
        <v>Taxi/Vehicle Share</v>
      </c>
      <c r="D112">
        <f>'Unformatted Trip Summary'!D110</f>
        <v>54</v>
      </c>
      <c r="E112">
        <f>'Unformatted Trip Summary'!E110</f>
        <v>94</v>
      </c>
      <c r="F112" s="1">
        <f>'Unformatted Trip Summary'!F110</f>
        <v>10.077282658</v>
      </c>
      <c r="G112" s="1">
        <f>'Unformatted Trip Summary'!G110</f>
        <v>77.114565757999998</v>
      </c>
      <c r="H112" s="1">
        <f>'Unformatted Trip Summary'!H110</f>
        <v>3.2630976306999999</v>
      </c>
    </row>
    <row r="113" spans="1:8" x14ac:dyDescent="0.2">
      <c r="A113" t="str">
        <f>'Unformatted Trip Summary'!A111</f>
        <v>02 AUCKLAND</v>
      </c>
      <c r="B113" t="str">
        <f>'Unformatted Trip Summary'!J111</f>
        <v>2032/33</v>
      </c>
      <c r="C113" t="str">
        <f>'Unformatted Trip Summary'!I111</f>
        <v>Taxi/Vehicle Share</v>
      </c>
      <c r="D113">
        <f>'Unformatted Trip Summary'!D111</f>
        <v>54</v>
      </c>
      <c r="E113">
        <f>'Unformatted Trip Summary'!E111</f>
        <v>94</v>
      </c>
      <c r="F113" s="1">
        <f>'Unformatted Trip Summary'!F111</f>
        <v>11.293465664999999</v>
      </c>
      <c r="G113" s="1">
        <f>'Unformatted Trip Summary'!G111</f>
        <v>89.255331509000001</v>
      </c>
      <c r="H113" s="1">
        <f>'Unformatted Trip Summary'!H111</f>
        <v>3.6894239995000002</v>
      </c>
    </row>
    <row r="114" spans="1:8" x14ac:dyDescent="0.2">
      <c r="A114" t="str">
        <f>'Unformatted Trip Summary'!A112</f>
        <v>02 AUCKLAND</v>
      </c>
      <c r="B114" t="str">
        <f>'Unformatted Trip Summary'!J112</f>
        <v>2037/38</v>
      </c>
      <c r="C114" t="str">
        <f>'Unformatted Trip Summary'!I112</f>
        <v>Taxi/Vehicle Share</v>
      </c>
      <c r="D114">
        <f>'Unformatted Trip Summary'!D112</f>
        <v>54</v>
      </c>
      <c r="E114">
        <f>'Unformatted Trip Summary'!E112</f>
        <v>94</v>
      </c>
      <c r="F114" s="1">
        <f>'Unformatted Trip Summary'!F112</f>
        <v>12.365525685</v>
      </c>
      <c r="G114" s="1">
        <f>'Unformatted Trip Summary'!G112</f>
        <v>99.976288936000003</v>
      </c>
      <c r="H114" s="1">
        <f>'Unformatted Trip Summary'!H112</f>
        <v>4.0597558075000002</v>
      </c>
    </row>
    <row r="115" spans="1:8" x14ac:dyDescent="0.2">
      <c r="A115" t="str">
        <f>'Unformatted Trip Summary'!A113</f>
        <v>02 AUCKLAND</v>
      </c>
      <c r="B115" t="str">
        <f>'Unformatted Trip Summary'!J113</f>
        <v>2042/43</v>
      </c>
      <c r="C115" t="str">
        <f>'Unformatted Trip Summary'!I113</f>
        <v>Taxi/Vehicle Share</v>
      </c>
      <c r="D115">
        <f>'Unformatted Trip Summary'!D113</f>
        <v>54</v>
      </c>
      <c r="E115">
        <f>'Unformatted Trip Summary'!E113</f>
        <v>94</v>
      </c>
      <c r="F115" s="1">
        <f>'Unformatted Trip Summary'!F113</f>
        <v>13.379728389</v>
      </c>
      <c r="G115" s="1">
        <f>'Unformatted Trip Summary'!G113</f>
        <v>109.97842145</v>
      </c>
      <c r="H115" s="1">
        <f>'Unformatted Trip Summary'!H113</f>
        <v>4.4053079104000004</v>
      </c>
    </row>
    <row r="116" spans="1:8" x14ac:dyDescent="0.2">
      <c r="A116" t="str">
        <f>'Unformatted Trip Summary'!A114</f>
        <v>02 AUCKLAND</v>
      </c>
      <c r="B116" t="str">
        <f>'Unformatted Trip Summary'!J114</f>
        <v>2012/13</v>
      </c>
      <c r="C116" t="str">
        <f>'Unformatted Trip Summary'!I114</f>
        <v>Motorcyclist</v>
      </c>
      <c r="D116">
        <f>'Unformatted Trip Summary'!D114</f>
        <v>15</v>
      </c>
      <c r="E116">
        <f>'Unformatted Trip Summary'!E114</f>
        <v>69</v>
      </c>
      <c r="F116" s="1">
        <f>'Unformatted Trip Summary'!F114</f>
        <v>4.1170216905999997</v>
      </c>
      <c r="G116" s="1">
        <f>'Unformatted Trip Summary'!G114</f>
        <v>43.570185572</v>
      </c>
      <c r="H116" s="1">
        <f>'Unformatted Trip Summary'!H114</f>
        <v>1.5334409518000001</v>
      </c>
    </row>
    <row r="117" spans="1:8" x14ac:dyDescent="0.2">
      <c r="A117" t="str">
        <f>'Unformatted Trip Summary'!A115</f>
        <v>02 AUCKLAND</v>
      </c>
      <c r="B117" t="str">
        <f>'Unformatted Trip Summary'!J115</f>
        <v>2017/18</v>
      </c>
      <c r="C117" t="str">
        <f>'Unformatted Trip Summary'!I115</f>
        <v>Motorcyclist</v>
      </c>
      <c r="D117">
        <f>'Unformatted Trip Summary'!D115</f>
        <v>15</v>
      </c>
      <c r="E117">
        <f>'Unformatted Trip Summary'!E115</f>
        <v>69</v>
      </c>
      <c r="F117" s="1">
        <f>'Unformatted Trip Summary'!F115</f>
        <v>5.0545336453000003</v>
      </c>
      <c r="G117" s="1">
        <f>'Unformatted Trip Summary'!G115</f>
        <v>53.812978743999999</v>
      </c>
      <c r="H117" s="1">
        <f>'Unformatted Trip Summary'!H115</f>
        <v>1.9080436639</v>
      </c>
    </row>
    <row r="118" spans="1:8" x14ac:dyDescent="0.2">
      <c r="A118" t="str">
        <f>'Unformatted Trip Summary'!A116</f>
        <v>02 AUCKLAND</v>
      </c>
      <c r="B118" t="str">
        <f>'Unformatted Trip Summary'!J116</f>
        <v>2022/23</v>
      </c>
      <c r="C118" t="str">
        <f>'Unformatted Trip Summary'!I116</f>
        <v>Motorcyclist</v>
      </c>
      <c r="D118">
        <f>'Unformatted Trip Summary'!D116</f>
        <v>15</v>
      </c>
      <c r="E118">
        <f>'Unformatted Trip Summary'!E116</f>
        <v>69</v>
      </c>
      <c r="F118" s="1">
        <f>'Unformatted Trip Summary'!F116</f>
        <v>5.3517868892999996</v>
      </c>
      <c r="G118" s="1">
        <f>'Unformatted Trip Summary'!G116</f>
        <v>54.652051385999997</v>
      </c>
      <c r="H118" s="1">
        <f>'Unformatted Trip Summary'!H116</f>
        <v>1.9848851192999999</v>
      </c>
    </row>
    <row r="119" spans="1:8" x14ac:dyDescent="0.2">
      <c r="A119" t="str">
        <f>'Unformatted Trip Summary'!A117</f>
        <v>02 AUCKLAND</v>
      </c>
      <c r="B119" t="str">
        <f>'Unformatted Trip Summary'!J117</f>
        <v>2027/28</v>
      </c>
      <c r="C119" t="str">
        <f>'Unformatted Trip Summary'!I117</f>
        <v>Motorcyclist</v>
      </c>
      <c r="D119">
        <f>'Unformatted Trip Summary'!D117</f>
        <v>15</v>
      </c>
      <c r="E119">
        <f>'Unformatted Trip Summary'!E117</f>
        <v>69</v>
      </c>
      <c r="F119" s="1">
        <f>'Unformatted Trip Summary'!F117</f>
        <v>6.0906354239000002</v>
      </c>
      <c r="G119" s="1">
        <f>'Unformatted Trip Summary'!G117</f>
        <v>59.548941352999996</v>
      </c>
      <c r="H119" s="1">
        <f>'Unformatted Trip Summary'!H117</f>
        <v>2.2011520576999999</v>
      </c>
    </row>
    <row r="120" spans="1:8" x14ac:dyDescent="0.2">
      <c r="A120" t="str">
        <f>'Unformatted Trip Summary'!A118</f>
        <v>02 AUCKLAND</v>
      </c>
      <c r="B120" t="str">
        <f>'Unformatted Trip Summary'!J118</f>
        <v>2032/33</v>
      </c>
      <c r="C120" t="str">
        <f>'Unformatted Trip Summary'!I118</f>
        <v>Motorcyclist</v>
      </c>
      <c r="D120">
        <f>'Unformatted Trip Summary'!D118</f>
        <v>15</v>
      </c>
      <c r="E120">
        <f>'Unformatted Trip Summary'!E118</f>
        <v>69</v>
      </c>
      <c r="F120" s="1">
        <f>'Unformatted Trip Summary'!F118</f>
        <v>6.6667197094999997</v>
      </c>
      <c r="G120" s="1">
        <f>'Unformatted Trip Summary'!G118</f>
        <v>63.769774656000003</v>
      </c>
      <c r="H120" s="1">
        <f>'Unformatted Trip Summary'!H118</f>
        <v>2.3864636246000002</v>
      </c>
    </row>
    <row r="121" spans="1:8" x14ac:dyDescent="0.2">
      <c r="A121" t="str">
        <f>'Unformatted Trip Summary'!A119</f>
        <v>02 AUCKLAND</v>
      </c>
      <c r="B121" t="str">
        <f>'Unformatted Trip Summary'!J119</f>
        <v>2037/38</v>
      </c>
      <c r="C121" t="str">
        <f>'Unformatted Trip Summary'!I119</f>
        <v>Motorcyclist</v>
      </c>
      <c r="D121">
        <f>'Unformatted Trip Summary'!D119</f>
        <v>15</v>
      </c>
      <c r="E121">
        <f>'Unformatted Trip Summary'!E119</f>
        <v>69</v>
      </c>
      <c r="F121" s="1">
        <f>'Unformatted Trip Summary'!F119</f>
        <v>6.8946236752000001</v>
      </c>
      <c r="G121" s="1">
        <f>'Unformatted Trip Summary'!G119</f>
        <v>66.351752641999994</v>
      </c>
      <c r="H121" s="1">
        <f>'Unformatted Trip Summary'!H119</f>
        <v>2.5031758833</v>
      </c>
    </row>
    <row r="122" spans="1:8" x14ac:dyDescent="0.2">
      <c r="A122" t="str">
        <f>'Unformatted Trip Summary'!A120</f>
        <v>02 AUCKLAND</v>
      </c>
      <c r="B122" t="str">
        <f>'Unformatted Trip Summary'!J120</f>
        <v>2042/43</v>
      </c>
      <c r="C122" t="str">
        <f>'Unformatted Trip Summary'!I120</f>
        <v>Motorcyclist</v>
      </c>
      <c r="D122">
        <f>'Unformatted Trip Summary'!D120</f>
        <v>15</v>
      </c>
      <c r="E122">
        <f>'Unformatted Trip Summary'!E120</f>
        <v>69</v>
      </c>
      <c r="F122" s="1">
        <f>'Unformatted Trip Summary'!F120</f>
        <v>7.0601239640999998</v>
      </c>
      <c r="G122" s="1">
        <f>'Unformatted Trip Summary'!G120</f>
        <v>68.538371632999997</v>
      </c>
      <c r="H122" s="1">
        <f>'Unformatted Trip Summary'!H120</f>
        <v>2.6029803616999998</v>
      </c>
    </row>
    <row r="123" spans="1:8" x14ac:dyDescent="0.2">
      <c r="A123" t="str">
        <f>'Unformatted Trip Summary'!A121</f>
        <v>02 AUCKLAND</v>
      </c>
      <c r="B123" t="str">
        <f>'Unformatted Trip Summary'!J121</f>
        <v>2012/13</v>
      </c>
      <c r="C123" t="str">
        <f>'Unformatted Trip Summary'!I121</f>
        <v>Local Train</v>
      </c>
      <c r="D123">
        <f>'Unformatted Trip Summary'!D121</f>
        <v>83</v>
      </c>
      <c r="E123">
        <f>'Unformatted Trip Summary'!E121</f>
        <v>197</v>
      </c>
      <c r="F123" s="1">
        <f>'Unformatted Trip Summary'!F121</f>
        <v>10.588451037</v>
      </c>
      <c r="G123" s="1">
        <f>'Unformatted Trip Summary'!G121</f>
        <v>126.27968744</v>
      </c>
      <c r="H123" s="1">
        <f>'Unformatted Trip Summary'!H121</f>
        <v>4.2843438359999997</v>
      </c>
    </row>
    <row r="124" spans="1:8" x14ac:dyDescent="0.2">
      <c r="A124" t="str">
        <f>'Unformatted Trip Summary'!A122</f>
        <v>02 AUCKLAND</v>
      </c>
      <c r="B124" t="str">
        <f>'Unformatted Trip Summary'!J122</f>
        <v>2017/18</v>
      </c>
      <c r="C124" t="str">
        <f>'Unformatted Trip Summary'!I122</f>
        <v>Local Train</v>
      </c>
      <c r="D124">
        <f>'Unformatted Trip Summary'!D122</f>
        <v>83</v>
      </c>
      <c r="E124">
        <f>'Unformatted Trip Summary'!E122</f>
        <v>197</v>
      </c>
      <c r="F124" s="1">
        <f>'Unformatted Trip Summary'!F122</f>
        <v>12.59448115</v>
      </c>
      <c r="G124" s="1">
        <f>'Unformatted Trip Summary'!G122</f>
        <v>152.76838634999999</v>
      </c>
      <c r="H124" s="1">
        <f>'Unformatted Trip Summary'!H122</f>
        <v>5.1771028185999999</v>
      </c>
    </row>
    <row r="125" spans="1:8" x14ac:dyDescent="0.2">
      <c r="A125" t="str">
        <f>'Unformatted Trip Summary'!A123</f>
        <v>02 AUCKLAND</v>
      </c>
      <c r="B125" t="str">
        <f>'Unformatted Trip Summary'!J123</f>
        <v>2022/23</v>
      </c>
      <c r="C125" t="str">
        <f>'Unformatted Trip Summary'!I123</f>
        <v>Local Train</v>
      </c>
      <c r="D125">
        <f>'Unformatted Trip Summary'!D123</f>
        <v>83</v>
      </c>
      <c r="E125">
        <f>'Unformatted Trip Summary'!E123</f>
        <v>197</v>
      </c>
      <c r="F125" s="1">
        <f>'Unformatted Trip Summary'!F123</f>
        <v>12.675712211</v>
      </c>
      <c r="G125" s="1">
        <f>'Unformatted Trip Summary'!G123</f>
        <v>154.57224120000001</v>
      </c>
      <c r="H125" s="1">
        <f>'Unformatted Trip Summary'!H123</f>
        <v>5.2380729482000001</v>
      </c>
    </row>
    <row r="126" spans="1:8" x14ac:dyDescent="0.2">
      <c r="A126" t="str">
        <f>'Unformatted Trip Summary'!A124</f>
        <v>02 AUCKLAND</v>
      </c>
      <c r="B126" t="str">
        <f>'Unformatted Trip Summary'!J124</f>
        <v>2027/28</v>
      </c>
      <c r="C126" t="str">
        <f>'Unformatted Trip Summary'!I124</f>
        <v>Local Train</v>
      </c>
      <c r="D126">
        <f>'Unformatted Trip Summary'!D124</f>
        <v>83</v>
      </c>
      <c r="E126">
        <f>'Unformatted Trip Summary'!E124</f>
        <v>197</v>
      </c>
      <c r="F126" s="1">
        <f>'Unformatted Trip Summary'!F124</f>
        <v>13.266622479</v>
      </c>
      <c r="G126" s="1">
        <f>'Unformatted Trip Summary'!G124</f>
        <v>162.57925829999999</v>
      </c>
      <c r="H126" s="1">
        <f>'Unformatted Trip Summary'!H124</f>
        <v>5.4850204829999996</v>
      </c>
    </row>
    <row r="127" spans="1:8" x14ac:dyDescent="0.2">
      <c r="A127" t="str">
        <f>'Unformatted Trip Summary'!A125</f>
        <v>02 AUCKLAND</v>
      </c>
      <c r="B127" t="str">
        <f>'Unformatted Trip Summary'!J125</f>
        <v>2032/33</v>
      </c>
      <c r="C127" t="str">
        <f>'Unformatted Trip Summary'!I125</f>
        <v>Local Train</v>
      </c>
      <c r="D127">
        <f>'Unformatted Trip Summary'!D125</f>
        <v>83</v>
      </c>
      <c r="E127">
        <f>'Unformatted Trip Summary'!E125</f>
        <v>197</v>
      </c>
      <c r="F127" s="1">
        <f>'Unformatted Trip Summary'!F125</f>
        <v>13.645572839</v>
      </c>
      <c r="G127" s="1">
        <f>'Unformatted Trip Summary'!G125</f>
        <v>168.90382101</v>
      </c>
      <c r="H127" s="1">
        <f>'Unformatted Trip Summary'!H125</f>
        <v>5.6603076628000002</v>
      </c>
    </row>
    <row r="128" spans="1:8" x14ac:dyDescent="0.2">
      <c r="A128" t="str">
        <f>'Unformatted Trip Summary'!A126</f>
        <v>02 AUCKLAND</v>
      </c>
      <c r="B128" t="str">
        <f>'Unformatted Trip Summary'!J126</f>
        <v>2037/38</v>
      </c>
      <c r="C128" t="str">
        <f>'Unformatted Trip Summary'!I126</f>
        <v>Local Train</v>
      </c>
      <c r="D128">
        <f>'Unformatted Trip Summary'!D126</f>
        <v>83</v>
      </c>
      <c r="E128">
        <f>'Unformatted Trip Summary'!E126</f>
        <v>197</v>
      </c>
      <c r="F128" s="1">
        <f>'Unformatted Trip Summary'!F126</f>
        <v>13.862134079</v>
      </c>
      <c r="G128" s="1">
        <f>'Unformatted Trip Summary'!G126</f>
        <v>173.60056195999999</v>
      </c>
      <c r="H128" s="1">
        <f>'Unformatted Trip Summary'!H126</f>
        <v>5.7949239210999997</v>
      </c>
    </row>
    <row r="129" spans="1:8" x14ac:dyDescent="0.2">
      <c r="A129" t="str">
        <f>'Unformatted Trip Summary'!A127</f>
        <v>02 AUCKLAND</v>
      </c>
      <c r="B129" t="str">
        <f>'Unformatted Trip Summary'!J127</f>
        <v>2042/43</v>
      </c>
      <c r="C129" t="str">
        <f>'Unformatted Trip Summary'!I127</f>
        <v>Local Train</v>
      </c>
      <c r="D129">
        <f>'Unformatted Trip Summary'!D127</f>
        <v>83</v>
      </c>
      <c r="E129">
        <f>'Unformatted Trip Summary'!E127</f>
        <v>197</v>
      </c>
      <c r="F129" s="1">
        <f>'Unformatted Trip Summary'!F127</f>
        <v>13.964401064</v>
      </c>
      <c r="G129" s="1">
        <f>'Unformatted Trip Summary'!G127</f>
        <v>177.04672131000001</v>
      </c>
      <c r="H129" s="1">
        <f>'Unformatted Trip Summary'!H127</f>
        <v>5.8869770618999997</v>
      </c>
    </row>
    <row r="130" spans="1:8" x14ac:dyDescent="0.2">
      <c r="A130" t="str">
        <f>'Unformatted Trip Summary'!A128</f>
        <v>02 AUCKLAND</v>
      </c>
      <c r="B130" t="str">
        <f>'Unformatted Trip Summary'!J128</f>
        <v>2012/13</v>
      </c>
      <c r="C130" t="str">
        <f>'Unformatted Trip Summary'!I128</f>
        <v>Local Bus</v>
      </c>
      <c r="D130">
        <f>'Unformatted Trip Summary'!D128</f>
        <v>334</v>
      </c>
      <c r="E130">
        <f>'Unformatted Trip Summary'!E128</f>
        <v>882</v>
      </c>
      <c r="F130" s="1">
        <f>'Unformatted Trip Summary'!F128</f>
        <v>54.403429504999998</v>
      </c>
      <c r="G130" s="1">
        <f>'Unformatted Trip Summary'!G128</f>
        <v>439.27566032999999</v>
      </c>
      <c r="H130" s="1">
        <f>'Unformatted Trip Summary'!H128</f>
        <v>22.622672496</v>
      </c>
    </row>
    <row r="131" spans="1:8" x14ac:dyDescent="0.2">
      <c r="A131" t="str">
        <f>'Unformatted Trip Summary'!A129</f>
        <v>02 AUCKLAND</v>
      </c>
      <c r="B131" t="str">
        <f>'Unformatted Trip Summary'!J129</f>
        <v>2017/18</v>
      </c>
      <c r="C131" t="str">
        <f>'Unformatted Trip Summary'!I129</f>
        <v>Local Bus</v>
      </c>
      <c r="D131">
        <f>'Unformatted Trip Summary'!D129</f>
        <v>334</v>
      </c>
      <c r="E131">
        <f>'Unformatted Trip Summary'!E129</f>
        <v>882</v>
      </c>
      <c r="F131" s="1">
        <f>'Unformatted Trip Summary'!F129</f>
        <v>62.495851436000002</v>
      </c>
      <c r="G131" s="1">
        <f>'Unformatted Trip Summary'!G129</f>
        <v>512.43965706999995</v>
      </c>
      <c r="H131" s="1">
        <f>'Unformatted Trip Summary'!H129</f>
        <v>26.321559500999999</v>
      </c>
    </row>
    <row r="132" spans="1:8" x14ac:dyDescent="0.2">
      <c r="A132" t="str">
        <f>'Unformatted Trip Summary'!A130</f>
        <v>02 AUCKLAND</v>
      </c>
      <c r="B132" t="str">
        <f>'Unformatted Trip Summary'!J130</f>
        <v>2022/23</v>
      </c>
      <c r="C132" t="str">
        <f>'Unformatted Trip Summary'!I130</f>
        <v>Local Bus</v>
      </c>
      <c r="D132">
        <f>'Unformatted Trip Summary'!D130</f>
        <v>334</v>
      </c>
      <c r="E132">
        <f>'Unformatted Trip Summary'!E130</f>
        <v>882</v>
      </c>
      <c r="F132" s="1">
        <f>'Unformatted Trip Summary'!F130</f>
        <v>60.680366450000001</v>
      </c>
      <c r="G132" s="1">
        <f>'Unformatted Trip Summary'!G130</f>
        <v>500.69665226000001</v>
      </c>
      <c r="H132" s="1">
        <f>'Unformatted Trip Summary'!H130</f>
        <v>25.629782864999999</v>
      </c>
    </row>
    <row r="133" spans="1:8" x14ac:dyDescent="0.2">
      <c r="A133" t="str">
        <f>'Unformatted Trip Summary'!A131</f>
        <v>02 AUCKLAND</v>
      </c>
      <c r="B133" t="str">
        <f>'Unformatted Trip Summary'!J131</f>
        <v>2027/28</v>
      </c>
      <c r="C133" t="str">
        <f>'Unformatted Trip Summary'!I131</f>
        <v>Local Bus</v>
      </c>
      <c r="D133">
        <f>'Unformatted Trip Summary'!D131</f>
        <v>334</v>
      </c>
      <c r="E133">
        <f>'Unformatted Trip Summary'!E131</f>
        <v>882</v>
      </c>
      <c r="F133" s="1">
        <f>'Unformatted Trip Summary'!F131</f>
        <v>60.382540472000002</v>
      </c>
      <c r="G133" s="1">
        <f>'Unformatted Trip Summary'!G131</f>
        <v>506.64409809</v>
      </c>
      <c r="H133" s="1">
        <f>'Unformatted Trip Summary'!H131</f>
        <v>25.669623771000001</v>
      </c>
    </row>
    <row r="134" spans="1:8" x14ac:dyDescent="0.2">
      <c r="A134" t="str">
        <f>'Unformatted Trip Summary'!A132</f>
        <v>02 AUCKLAND</v>
      </c>
      <c r="B134" t="str">
        <f>'Unformatted Trip Summary'!J132</f>
        <v>2032/33</v>
      </c>
      <c r="C134" t="str">
        <f>'Unformatted Trip Summary'!I132</f>
        <v>Local Bus</v>
      </c>
      <c r="D134">
        <f>'Unformatted Trip Summary'!D132</f>
        <v>334</v>
      </c>
      <c r="E134">
        <f>'Unformatted Trip Summary'!E132</f>
        <v>882</v>
      </c>
      <c r="F134" s="1">
        <f>'Unformatted Trip Summary'!F132</f>
        <v>59.022287951999999</v>
      </c>
      <c r="G134" s="1">
        <f>'Unformatted Trip Summary'!G132</f>
        <v>502.64275629000002</v>
      </c>
      <c r="H134" s="1">
        <f>'Unformatted Trip Summary'!H132</f>
        <v>25.223522669000001</v>
      </c>
    </row>
    <row r="135" spans="1:8" x14ac:dyDescent="0.2">
      <c r="A135" t="str">
        <f>'Unformatted Trip Summary'!A133</f>
        <v>02 AUCKLAND</v>
      </c>
      <c r="B135" t="str">
        <f>'Unformatted Trip Summary'!J133</f>
        <v>2037/38</v>
      </c>
      <c r="C135" t="str">
        <f>'Unformatted Trip Summary'!I133</f>
        <v>Local Bus</v>
      </c>
      <c r="D135">
        <f>'Unformatted Trip Summary'!D133</f>
        <v>334</v>
      </c>
      <c r="E135">
        <f>'Unformatted Trip Summary'!E133</f>
        <v>882</v>
      </c>
      <c r="F135" s="1">
        <f>'Unformatted Trip Summary'!F133</f>
        <v>57.884490976000002</v>
      </c>
      <c r="G135" s="1">
        <f>'Unformatted Trip Summary'!G133</f>
        <v>500.86888120999998</v>
      </c>
      <c r="H135" s="1">
        <f>'Unformatted Trip Summary'!H133</f>
        <v>24.896163360999999</v>
      </c>
    </row>
    <row r="136" spans="1:8" x14ac:dyDescent="0.2">
      <c r="A136" t="str">
        <f>'Unformatted Trip Summary'!A134</f>
        <v>02 AUCKLAND</v>
      </c>
      <c r="B136" t="str">
        <f>'Unformatted Trip Summary'!J134</f>
        <v>2042/43</v>
      </c>
      <c r="C136" t="str">
        <f>'Unformatted Trip Summary'!I134</f>
        <v>Local Bus</v>
      </c>
      <c r="D136">
        <f>'Unformatted Trip Summary'!D134</f>
        <v>334</v>
      </c>
      <c r="E136">
        <f>'Unformatted Trip Summary'!E134</f>
        <v>882</v>
      </c>
      <c r="F136" s="1">
        <f>'Unformatted Trip Summary'!F134</f>
        <v>56.194005267000001</v>
      </c>
      <c r="G136" s="1">
        <f>'Unformatted Trip Summary'!G134</f>
        <v>494.76567552</v>
      </c>
      <c r="H136" s="1">
        <f>'Unformatted Trip Summary'!H134</f>
        <v>24.334945995999998</v>
      </c>
    </row>
    <row r="137" spans="1:8" x14ac:dyDescent="0.2">
      <c r="A137" t="str">
        <f>'Unformatted Trip Summary'!A135</f>
        <v>02 AUCKLAND</v>
      </c>
      <c r="B137" t="str">
        <f>'Unformatted Trip Summary'!J135</f>
        <v>2012/13</v>
      </c>
      <c r="C137" t="str">
        <f>'Unformatted Trip Summary'!I135</f>
        <v>Local Ferry</v>
      </c>
      <c r="D137">
        <f>'Unformatted Trip Summary'!D135</f>
        <v>33</v>
      </c>
      <c r="E137">
        <f>'Unformatted Trip Summary'!E135</f>
        <v>75</v>
      </c>
      <c r="F137" s="1">
        <f>'Unformatted Trip Summary'!F135</f>
        <v>4.3086283299000003</v>
      </c>
      <c r="G137" s="1">
        <f>'Unformatted Trip Summary'!G135</f>
        <v>0</v>
      </c>
      <c r="H137" s="1">
        <f>'Unformatted Trip Summary'!H135</f>
        <v>1.2124045342000001</v>
      </c>
    </row>
    <row r="138" spans="1:8" x14ac:dyDescent="0.2">
      <c r="A138" t="str">
        <f>'Unformatted Trip Summary'!A136</f>
        <v>02 AUCKLAND</v>
      </c>
      <c r="B138" t="str">
        <f>'Unformatted Trip Summary'!J136</f>
        <v>2017/18</v>
      </c>
      <c r="C138" t="str">
        <f>'Unformatted Trip Summary'!I136</f>
        <v>Local Ferry</v>
      </c>
      <c r="D138">
        <f>'Unformatted Trip Summary'!D136</f>
        <v>33</v>
      </c>
      <c r="E138">
        <f>'Unformatted Trip Summary'!E136</f>
        <v>75</v>
      </c>
      <c r="F138" s="1">
        <f>'Unformatted Trip Summary'!F136</f>
        <v>5.3110850196000001</v>
      </c>
      <c r="G138" s="1">
        <f>'Unformatted Trip Summary'!G136</f>
        <v>0</v>
      </c>
      <c r="H138" s="1">
        <f>'Unformatted Trip Summary'!H136</f>
        <v>1.5033953939</v>
      </c>
    </row>
    <row r="139" spans="1:8" x14ac:dyDescent="0.2">
      <c r="A139" t="str">
        <f>'Unformatted Trip Summary'!A137</f>
        <v>02 AUCKLAND</v>
      </c>
      <c r="B139" t="str">
        <f>'Unformatted Trip Summary'!J137</f>
        <v>2022/23</v>
      </c>
      <c r="C139" t="str">
        <f>'Unformatted Trip Summary'!I137</f>
        <v>Local Ferry</v>
      </c>
      <c r="D139">
        <f>'Unformatted Trip Summary'!D137</f>
        <v>33</v>
      </c>
      <c r="E139">
        <f>'Unformatted Trip Summary'!E137</f>
        <v>75</v>
      </c>
      <c r="F139" s="1">
        <f>'Unformatted Trip Summary'!F137</f>
        <v>5.5646096021</v>
      </c>
      <c r="G139" s="1">
        <f>'Unformatted Trip Summary'!G137</f>
        <v>0</v>
      </c>
      <c r="H139" s="1">
        <f>'Unformatted Trip Summary'!H137</f>
        <v>1.5669984149</v>
      </c>
    </row>
    <row r="140" spans="1:8" x14ac:dyDescent="0.2">
      <c r="A140" t="str">
        <f>'Unformatted Trip Summary'!A138</f>
        <v>02 AUCKLAND</v>
      </c>
      <c r="B140" t="str">
        <f>'Unformatted Trip Summary'!J138</f>
        <v>2027/28</v>
      </c>
      <c r="C140" t="str">
        <f>'Unformatted Trip Summary'!I138</f>
        <v>Local Ferry</v>
      </c>
      <c r="D140">
        <f>'Unformatted Trip Summary'!D138</f>
        <v>33</v>
      </c>
      <c r="E140">
        <f>'Unformatted Trip Summary'!E138</f>
        <v>75</v>
      </c>
      <c r="F140" s="1">
        <f>'Unformatted Trip Summary'!F138</f>
        <v>5.8640151065000001</v>
      </c>
      <c r="G140" s="1">
        <f>'Unformatted Trip Summary'!G138</f>
        <v>0</v>
      </c>
      <c r="H140" s="1">
        <f>'Unformatted Trip Summary'!H138</f>
        <v>1.6625321825999999</v>
      </c>
    </row>
    <row r="141" spans="1:8" x14ac:dyDescent="0.2">
      <c r="A141" t="str">
        <f>'Unformatted Trip Summary'!A139</f>
        <v>02 AUCKLAND</v>
      </c>
      <c r="B141" t="str">
        <f>'Unformatted Trip Summary'!J139</f>
        <v>2032/33</v>
      </c>
      <c r="C141" t="str">
        <f>'Unformatted Trip Summary'!I139</f>
        <v>Local Ferry</v>
      </c>
      <c r="D141">
        <f>'Unformatted Trip Summary'!D139</f>
        <v>33</v>
      </c>
      <c r="E141">
        <f>'Unformatted Trip Summary'!E139</f>
        <v>75</v>
      </c>
      <c r="F141" s="1">
        <f>'Unformatted Trip Summary'!F139</f>
        <v>6.0690330551000002</v>
      </c>
      <c r="G141" s="1">
        <f>'Unformatted Trip Summary'!G139</f>
        <v>0</v>
      </c>
      <c r="H141" s="1">
        <f>'Unformatted Trip Summary'!H139</f>
        <v>1.7331643551</v>
      </c>
    </row>
    <row r="142" spans="1:8" x14ac:dyDescent="0.2">
      <c r="A142" t="str">
        <f>'Unformatted Trip Summary'!A140</f>
        <v>02 AUCKLAND</v>
      </c>
      <c r="B142" t="str">
        <f>'Unformatted Trip Summary'!J140</f>
        <v>2037/38</v>
      </c>
      <c r="C142" t="str">
        <f>'Unformatted Trip Summary'!I140</f>
        <v>Local Ferry</v>
      </c>
      <c r="D142">
        <f>'Unformatted Trip Summary'!D140</f>
        <v>33</v>
      </c>
      <c r="E142">
        <f>'Unformatted Trip Summary'!E140</f>
        <v>75</v>
      </c>
      <c r="F142" s="1">
        <f>'Unformatted Trip Summary'!F140</f>
        <v>6.3985964363000001</v>
      </c>
      <c r="G142" s="1">
        <f>'Unformatted Trip Summary'!G140</f>
        <v>0</v>
      </c>
      <c r="H142" s="1">
        <f>'Unformatted Trip Summary'!H140</f>
        <v>1.8372937092999999</v>
      </c>
    </row>
    <row r="143" spans="1:8" x14ac:dyDescent="0.2">
      <c r="A143" t="str">
        <f>'Unformatted Trip Summary'!A141</f>
        <v>02 AUCKLAND</v>
      </c>
      <c r="B143" t="str">
        <f>'Unformatted Trip Summary'!J141</f>
        <v>2042/43</v>
      </c>
      <c r="C143" t="str">
        <f>'Unformatted Trip Summary'!I141</f>
        <v>Local Ferry</v>
      </c>
      <c r="D143">
        <f>'Unformatted Trip Summary'!D141</f>
        <v>33</v>
      </c>
      <c r="E143">
        <f>'Unformatted Trip Summary'!E141</f>
        <v>75</v>
      </c>
      <c r="F143" s="1">
        <f>'Unformatted Trip Summary'!F141</f>
        <v>6.6357903042000004</v>
      </c>
      <c r="G143" s="1">
        <f>'Unformatted Trip Summary'!G141</f>
        <v>0</v>
      </c>
      <c r="H143" s="1">
        <f>'Unformatted Trip Summary'!H141</f>
        <v>1.9175411344</v>
      </c>
    </row>
    <row r="144" spans="1:8" x14ac:dyDescent="0.2">
      <c r="A144" t="str">
        <f>'Unformatted Trip Summary'!A142</f>
        <v>02 AUCKLAND</v>
      </c>
      <c r="B144" t="str">
        <f>'Unformatted Trip Summary'!J142</f>
        <v>2012/13</v>
      </c>
      <c r="C144" t="str">
        <f>'Unformatted Trip Summary'!I142</f>
        <v>Other Household Travel</v>
      </c>
      <c r="D144">
        <f>'Unformatted Trip Summary'!D142</f>
        <v>21</v>
      </c>
      <c r="E144">
        <f>'Unformatted Trip Summary'!E142</f>
        <v>52</v>
      </c>
      <c r="F144" s="1">
        <f>'Unformatted Trip Summary'!F142</f>
        <v>2.2145179384000002</v>
      </c>
      <c r="G144" s="1">
        <f>'Unformatted Trip Summary'!G142</f>
        <v>1.8241938706</v>
      </c>
      <c r="H144" s="1">
        <f>'Unformatted Trip Summary'!H142</f>
        <v>2.4325058500000001</v>
      </c>
    </row>
    <row r="145" spans="1:8" x14ac:dyDescent="0.2">
      <c r="A145" t="str">
        <f>'Unformatted Trip Summary'!A143</f>
        <v>02 AUCKLAND</v>
      </c>
      <c r="B145" t="str">
        <f>'Unformatted Trip Summary'!J143</f>
        <v>2017/18</v>
      </c>
      <c r="C145" t="str">
        <f>'Unformatted Trip Summary'!I143</f>
        <v>Other Household Travel</v>
      </c>
      <c r="D145">
        <f>'Unformatted Trip Summary'!D143</f>
        <v>21</v>
      </c>
      <c r="E145">
        <f>'Unformatted Trip Summary'!E143</f>
        <v>52</v>
      </c>
      <c r="F145" s="1">
        <f>'Unformatted Trip Summary'!F143</f>
        <v>2.6861294898999999</v>
      </c>
      <c r="G145" s="1">
        <f>'Unformatted Trip Summary'!G143</f>
        <v>1.8041545906000001</v>
      </c>
      <c r="H145" s="1">
        <f>'Unformatted Trip Summary'!H143</f>
        <v>3.1116808010999999</v>
      </c>
    </row>
    <row r="146" spans="1:8" x14ac:dyDescent="0.2">
      <c r="A146" t="str">
        <f>'Unformatted Trip Summary'!A144</f>
        <v>02 AUCKLAND</v>
      </c>
      <c r="B146" t="str">
        <f>'Unformatted Trip Summary'!J144</f>
        <v>2022/23</v>
      </c>
      <c r="C146" t="str">
        <f>'Unformatted Trip Summary'!I144</f>
        <v>Other Household Travel</v>
      </c>
      <c r="D146">
        <f>'Unformatted Trip Summary'!D144</f>
        <v>21</v>
      </c>
      <c r="E146">
        <f>'Unformatted Trip Summary'!E144</f>
        <v>52</v>
      </c>
      <c r="F146" s="1">
        <f>'Unformatted Trip Summary'!F144</f>
        <v>2.7512611528000002</v>
      </c>
      <c r="G146" s="1">
        <f>'Unformatted Trip Summary'!G144</f>
        <v>1.3832028404000001</v>
      </c>
      <c r="H146" s="1">
        <f>'Unformatted Trip Summary'!H144</f>
        <v>3.1571566775000002</v>
      </c>
    </row>
    <row r="147" spans="1:8" x14ac:dyDescent="0.2">
      <c r="A147" t="str">
        <f>'Unformatted Trip Summary'!A145</f>
        <v>02 AUCKLAND</v>
      </c>
      <c r="B147" t="str">
        <f>'Unformatted Trip Summary'!J145</f>
        <v>2027/28</v>
      </c>
      <c r="C147" t="str">
        <f>'Unformatted Trip Summary'!I145</f>
        <v>Other Household Travel</v>
      </c>
      <c r="D147">
        <f>'Unformatted Trip Summary'!D145</f>
        <v>21</v>
      </c>
      <c r="E147">
        <f>'Unformatted Trip Summary'!E145</f>
        <v>52</v>
      </c>
      <c r="F147" s="1">
        <f>'Unformatted Trip Summary'!F145</f>
        <v>3.0173034431999999</v>
      </c>
      <c r="G147" s="1">
        <f>'Unformatted Trip Summary'!G145</f>
        <v>1.5365870468</v>
      </c>
      <c r="H147" s="1">
        <f>'Unformatted Trip Summary'!H145</f>
        <v>3.3012372354999999</v>
      </c>
    </row>
    <row r="148" spans="1:8" x14ac:dyDescent="0.2">
      <c r="A148" t="str">
        <f>'Unformatted Trip Summary'!A146</f>
        <v>02 AUCKLAND</v>
      </c>
      <c r="B148" t="str">
        <f>'Unformatted Trip Summary'!J146</f>
        <v>2032/33</v>
      </c>
      <c r="C148" t="str">
        <f>'Unformatted Trip Summary'!I146</f>
        <v>Other Household Travel</v>
      </c>
      <c r="D148">
        <f>'Unformatted Trip Summary'!D146</f>
        <v>21</v>
      </c>
      <c r="E148">
        <f>'Unformatted Trip Summary'!E146</f>
        <v>52</v>
      </c>
      <c r="F148" s="1">
        <f>'Unformatted Trip Summary'!F146</f>
        <v>3.2698787788999999</v>
      </c>
      <c r="G148" s="1">
        <f>'Unformatted Trip Summary'!G146</f>
        <v>1.5698518249</v>
      </c>
      <c r="H148" s="1">
        <f>'Unformatted Trip Summary'!H146</f>
        <v>3.4495114131000002</v>
      </c>
    </row>
    <row r="149" spans="1:8" x14ac:dyDescent="0.2">
      <c r="A149" t="str">
        <f>'Unformatted Trip Summary'!A147</f>
        <v>02 AUCKLAND</v>
      </c>
      <c r="B149" t="str">
        <f>'Unformatted Trip Summary'!J147</f>
        <v>2037/38</v>
      </c>
      <c r="C149" t="str">
        <f>'Unformatted Trip Summary'!I147</f>
        <v>Other Household Travel</v>
      </c>
      <c r="D149">
        <f>'Unformatted Trip Summary'!D147</f>
        <v>21</v>
      </c>
      <c r="E149">
        <f>'Unformatted Trip Summary'!E147</f>
        <v>52</v>
      </c>
      <c r="F149" s="1">
        <f>'Unformatted Trip Summary'!F147</f>
        <v>3.5384276850999998</v>
      </c>
      <c r="G149" s="1">
        <f>'Unformatted Trip Summary'!G147</f>
        <v>1.4976773827000001</v>
      </c>
      <c r="H149" s="1">
        <f>'Unformatted Trip Summary'!H147</f>
        <v>3.6693695749000002</v>
      </c>
    </row>
    <row r="150" spans="1:8" x14ac:dyDescent="0.2">
      <c r="A150" t="str">
        <f>'Unformatted Trip Summary'!A148</f>
        <v>02 AUCKLAND</v>
      </c>
      <c r="B150" t="str">
        <f>'Unformatted Trip Summary'!J148</f>
        <v>2042/43</v>
      </c>
      <c r="C150" t="str">
        <f>'Unformatted Trip Summary'!I148</f>
        <v>Other Household Travel</v>
      </c>
      <c r="D150">
        <f>'Unformatted Trip Summary'!D148</f>
        <v>21</v>
      </c>
      <c r="E150">
        <f>'Unformatted Trip Summary'!E148</f>
        <v>52</v>
      </c>
      <c r="F150" s="1">
        <f>'Unformatted Trip Summary'!F148</f>
        <v>3.7948069404</v>
      </c>
      <c r="G150" s="1">
        <f>'Unformatted Trip Summary'!G148</f>
        <v>1.4005667673</v>
      </c>
      <c r="H150" s="1">
        <f>'Unformatted Trip Summary'!H148</f>
        <v>3.8737816331000001</v>
      </c>
    </row>
    <row r="151" spans="1:8" x14ac:dyDescent="0.2">
      <c r="A151" t="str">
        <f>'Unformatted Trip Summary'!A149</f>
        <v>02 AUCKLAND</v>
      </c>
      <c r="B151" t="str">
        <f>'Unformatted Trip Summary'!J149</f>
        <v>2012/13</v>
      </c>
      <c r="C151" t="str">
        <f>'Unformatted Trip Summary'!I149</f>
        <v>Air/Non-Local PT</v>
      </c>
      <c r="D151">
        <f>'Unformatted Trip Summary'!D149</f>
        <v>46</v>
      </c>
      <c r="E151">
        <f>'Unformatted Trip Summary'!E149</f>
        <v>52</v>
      </c>
      <c r="F151" s="1">
        <f>'Unformatted Trip Summary'!F149</f>
        <v>2.8879196329000001</v>
      </c>
      <c r="G151" s="1">
        <f>'Unformatted Trip Summary'!G149</f>
        <v>37.321781539</v>
      </c>
      <c r="H151" s="1">
        <f>'Unformatted Trip Summary'!H149</f>
        <v>5.1213278228999997</v>
      </c>
    </row>
    <row r="152" spans="1:8" x14ac:dyDescent="0.2">
      <c r="A152" t="str">
        <f>'Unformatted Trip Summary'!A150</f>
        <v>02 AUCKLAND</v>
      </c>
      <c r="B152" t="str">
        <f>'Unformatted Trip Summary'!J150</f>
        <v>2017/18</v>
      </c>
      <c r="C152" t="str">
        <f>'Unformatted Trip Summary'!I150</f>
        <v>Air/Non-Local PT</v>
      </c>
      <c r="D152">
        <f>'Unformatted Trip Summary'!D150</f>
        <v>46</v>
      </c>
      <c r="E152">
        <f>'Unformatted Trip Summary'!E150</f>
        <v>52</v>
      </c>
      <c r="F152" s="1">
        <f>'Unformatted Trip Summary'!F150</f>
        <v>4.0600418681999999</v>
      </c>
      <c r="G152" s="1">
        <f>'Unformatted Trip Summary'!G150</f>
        <v>47.627391338000002</v>
      </c>
      <c r="H152" s="1">
        <f>'Unformatted Trip Summary'!H150</f>
        <v>7.0922870394000004</v>
      </c>
    </row>
    <row r="153" spans="1:8" x14ac:dyDescent="0.2">
      <c r="A153" t="str">
        <f>'Unformatted Trip Summary'!A151</f>
        <v>02 AUCKLAND</v>
      </c>
      <c r="B153" t="str">
        <f>'Unformatted Trip Summary'!J151</f>
        <v>2022/23</v>
      </c>
      <c r="C153" t="str">
        <f>'Unformatted Trip Summary'!I151</f>
        <v>Air/Non-Local PT</v>
      </c>
      <c r="D153">
        <f>'Unformatted Trip Summary'!D151</f>
        <v>46</v>
      </c>
      <c r="E153">
        <f>'Unformatted Trip Summary'!E151</f>
        <v>52</v>
      </c>
      <c r="F153" s="1">
        <f>'Unformatted Trip Summary'!F151</f>
        <v>4.6354332832000003</v>
      </c>
      <c r="G153" s="1">
        <f>'Unformatted Trip Summary'!G151</f>
        <v>51.906815350000002</v>
      </c>
      <c r="H153" s="1">
        <f>'Unformatted Trip Summary'!H151</f>
        <v>7.9706179388000002</v>
      </c>
    </row>
    <row r="154" spans="1:8" x14ac:dyDescent="0.2">
      <c r="A154" t="str">
        <f>'Unformatted Trip Summary'!A152</f>
        <v>02 AUCKLAND</v>
      </c>
      <c r="B154" t="str">
        <f>'Unformatted Trip Summary'!J152</f>
        <v>2027/28</v>
      </c>
      <c r="C154" t="str">
        <f>'Unformatted Trip Summary'!I152</f>
        <v>Air/Non-Local PT</v>
      </c>
      <c r="D154">
        <f>'Unformatted Trip Summary'!D152</f>
        <v>46</v>
      </c>
      <c r="E154">
        <f>'Unformatted Trip Summary'!E152</f>
        <v>52</v>
      </c>
      <c r="F154" s="1">
        <f>'Unformatted Trip Summary'!F152</f>
        <v>5.4127038574000004</v>
      </c>
      <c r="G154" s="1">
        <f>'Unformatted Trip Summary'!G152</f>
        <v>56.985051042000002</v>
      </c>
      <c r="H154" s="1">
        <f>'Unformatted Trip Summary'!H152</f>
        <v>9.1348529507999991</v>
      </c>
    </row>
    <row r="155" spans="1:8" x14ac:dyDescent="0.2">
      <c r="A155" t="str">
        <f>'Unformatted Trip Summary'!A153</f>
        <v>02 AUCKLAND</v>
      </c>
      <c r="B155" t="str">
        <f>'Unformatted Trip Summary'!J153</f>
        <v>2032/33</v>
      </c>
      <c r="C155" t="str">
        <f>'Unformatted Trip Summary'!I153</f>
        <v>Air/Non-Local PT</v>
      </c>
      <c r="D155">
        <f>'Unformatted Trip Summary'!D153</f>
        <v>46</v>
      </c>
      <c r="E155">
        <f>'Unformatted Trip Summary'!E153</f>
        <v>52</v>
      </c>
      <c r="F155" s="1">
        <f>'Unformatted Trip Summary'!F153</f>
        <v>6.2241309449999997</v>
      </c>
      <c r="G155" s="1">
        <f>'Unformatted Trip Summary'!G153</f>
        <v>61.272674006999999</v>
      </c>
      <c r="H155" s="1">
        <f>'Unformatted Trip Summary'!H153</f>
        <v>10.392521235</v>
      </c>
    </row>
    <row r="156" spans="1:8" x14ac:dyDescent="0.2">
      <c r="A156" t="str">
        <f>'Unformatted Trip Summary'!A154</f>
        <v>02 AUCKLAND</v>
      </c>
      <c r="B156" t="str">
        <f>'Unformatted Trip Summary'!J154</f>
        <v>2037/38</v>
      </c>
      <c r="C156" t="str">
        <f>'Unformatted Trip Summary'!I154</f>
        <v>Air/Non-Local PT</v>
      </c>
      <c r="D156">
        <f>'Unformatted Trip Summary'!D154</f>
        <v>46</v>
      </c>
      <c r="E156">
        <f>'Unformatted Trip Summary'!E154</f>
        <v>52</v>
      </c>
      <c r="F156" s="1">
        <f>'Unformatted Trip Summary'!F154</f>
        <v>7.1000381161000004</v>
      </c>
      <c r="G156" s="1">
        <f>'Unformatted Trip Summary'!G154</f>
        <v>70.133952074999996</v>
      </c>
      <c r="H156" s="1">
        <f>'Unformatted Trip Summary'!H154</f>
        <v>11.827700292999999</v>
      </c>
    </row>
    <row r="157" spans="1:8" x14ac:dyDescent="0.2">
      <c r="A157" t="str">
        <f>'Unformatted Trip Summary'!A155</f>
        <v>02 AUCKLAND</v>
      </c>
      <c r="B157" t="str">
        <f>'Unformatted Trip Summary'!J155</f>
        <v>2042/43</v>
      </c>
      <c r="C157" t="str">
        <f>'Unformatted Trip Summary'!I155</f>
        <v>Air/Non-Local PT</v>
      </c>
      <c r="D157">
        <f>'Unformatted Trip Summary'!D155</f>
        <v>46</v>
      </c>
      <c r="E157">
        <f>'Unformatted Trip Summary'!E155</f>
        <v>52</v>
      </c>
      <c r="F157" s="1">
        <f>'Unformatted Trip Summary'!F155</f>
        <v>7.9611539124000004</v>
      </c>
      <c r="G157" s="1">
        <f>'Unformatted Trip Summary'!G155</f>
        <v>80.373990688000006</v>
      </c>
      <c r="H157" s="1">
        <f>'Unformatted Trip Summary'!H155</f>
        <v>13.252737322</v>
      </c>
    </row>
    <row r="158" spans="1:8" x14ac:dyDescent="0.2">
      <c r="A158" t="str">
        <f>'Unformatted Trip Summary'!A156</f>
        <v>02 AUCKLAND</v>
      </c>
      <c r="B158" t="str">
        <f>'Unformatted Trip Summary'!J156</f>
        <v>2012/13</v>
      </c>
      <c r="C158" t="str">
        <f>'Unformatted Trip Summary'!I156</f>
        <v>Non-Household Travel</v>
      </c>
      <c r="D158">
        <f>'Unformatted Trip Summary'!D156</f>
        <v>49</v>
      </c>
      <c r="E158">
        <f>'Unformatted Trip Summary'!E156</f>
        <v>220</v>
      </c>
      <c r="F158" s="1">
        <f>'Unformatted Trip Summary'!F156</f>
        <v>12.895006201999999</v>
      </c>
      <c r="G158" s="1">
        <f>'Unformatted Trip Summary'!G156</f>
        <v>179.51641304</v>
      </c>
      <c r="H158" s="1">
        <f>'Unformatted Trip Summary'!H156</f>
        <v>5.2074041506000004</v>
      </c>
    </row>
    <row r="159" spans="1:8" x14ac:dyDescent="0.2">
      <c r="A159" t="str">
        <f>'Unformatted Trip Summary'!A157</f>
        <v>02 AUCKLAND</v>
      </c>
      <c r="B159" t="str">
        <f>'Unformatted Trip Summary'!J157</f>
        <v>2017/18</v>
      </c>
      <c r="C159" t="str">
        <f>'Unformatted Trip Summary'!I157</f>
        <v>Non-Household Travel</v>
      </c>
      <c r="D159">
        <f>'Unformatted Trip Summary'!D157</f>
        <v>49</v>
      </c>
      <c r="E159">
        <f>'Unformatted Trip Summary'!E157</f>
        <v>220</v>
      </c>
      <c r="F159" s="1">
        <f>'Unformatted Trip Summary'!F157</f>
        <v>15.349214713</v>
      </c>
      <c r="G159" s="1">
        <f>'Unformatted Trip Summary'!G157</f>
        <v>209.27518928000001</v>
      </c>
      <c r="H159" s="1">
        <f>'Unformatted Trip Summary'!H157</f>
        <v>6.1550699413999999</v>
      </c>
    </row>
    <row r="160" spans="1:8" x14ac:dyDescent="0.2">
      <c r="A160" t="str">
        <f>'Unformatted Trip Summary'!A158</f>
        <v>02 AUCKLAND</v>
      </c>
      <c r="B160" t="str">
        <f>'Unformatted Trip Summary'!J158</f>
        <v>2022/23</v>
      </c>
      <c r="C160" t="str">
        <f>'Unformatted Trip Summary'!I158</f>
        <v>Non-Household Travel</v>
      </c>
      <c r="D160">
        <f>'Unformatted Trip Summary'!D158</f>
        <v>49</v>
      </c>
      <c r="E160">
        <f>'Unformatted Trip Summary'!E158</f>
        <v>220</v>
      </c>
      <c r="F160" s="1">
        <f>'Unformatted Trip Summary'!F158</f>
        <v>15.295279665000001</v>
      </c>
      <c r="G160" s="1">
        <f>'Unformatted Trip Summary'!G158</f>
        <v>203.99961884000001</v>
      </c>
      <c r="H160" s="1">
        <f>'Unformatted Trip Summary'!H158</f>
        <v>6.0673755032000001</v>
      </c>
    </row>
    <row r="161" spans="1:8" x14ac:dyDescent="0.2">
      <c r="A161" t="str">
        <f>'Unformatted Trip Summary'!A159</f>
        <v>02 AUCKLAND</v>
      </c>
      <c r="B161" t="str">
        <f>'Unformatted Trip Summary'!J159</f>
        <v>2027/28</v>
      </c>
      <c r="C161" t="str">
        <f>'Unformatted Trip Summary'!I159</f>
        <v>Non-Household Travel</v>
      </c>
      <c r="D161">
        <f>'Unformatted Trip Summary'!D159</f>
        <v>49</v>
      </c>
      <c r="E161">
        <f>'Unformatted Trip Summary'!E159</f>
        <v>220</v>
      </c>
      <c r="F161" s="1">
        <f>'Unformatted Trip Summary'!F159</f>
        <v>15.942493065000001</v>
      </c>
      <c r="G161" s="1">
        <f>'Unformatted Trip Summary'!G159</f>
        <v>208.48104644</v>
      </c>
      <c r="H161" s="1">
        <f>'Unformatted Trip Summary'!H159</f>
        <v>6.2515370013</v>
      </c>
    </row>
    <row r="162" spans="1:8" x14ac:dyDescent="0.2">
      <c r="A162" t="str">
        <f>'Unformatted Trip Summary'!A160</f>
        <v>02 AUCKLAND</v>
      </c>
      <c r="B162" t="str">
        <f>'Unformatted Trip Summary'!J160</f>
        <v>2032/33</v>
      </c>
      <c r="C162" t="str">
        <f>'Unformatted Trip Summary'!I160</f>
        <v>Non-Household Travel</v>
      </c>
      <c r="D162">
        <f>'Unformatted Trip Summary'!D160</f>
        <v>49</v>
      </c>
      <c r="E162">
        <f>'Unformatted Trip Summary'!E160</f>
        <v>220</v>
      </c>
      <c r="F162" s="1">
        <f>'Unformatted Trip Summary'!F160</f>
        <v>16.795035911999999</v>
      </c>
      <c r="G162" s="1">
        <f>'Unformatted Trip Summary'!G160</f>
        <v>215.39122527000001</v>
      </c>
      <c r="H162" s="1">
        <f>'Unformatted Trip Summary'!H160</f>
        <v>6.5451132958000002</v>
      </c>
    </row>
    <row r="163" spans="1:8" x14ac:dyDescent="0.2">
      <c r="A163" t="str">
        <f>'Unformatted Trip Summary'!A161</f>
        <v>02 AUCKLAND</v>
      </c>
      <c r="B163" t="str">
        <f>'Unformatted Trip Summary'!J161</f>
        <v>2037/38</v>
      </c>
      <c r="C163" t="str">
        <f>'Unformatted Trip Summary'!I161</f>
        <v>Non-Household Travel</v>
      </c>
      <c r="D163">
        <f>'Unformatted Trip Summary'!D161</f>
        <v>49</v>
      </c>
      <c r="E163">
        <f>'Unformatted Trip Summary'!E161</f>
        <v>220</v>
      </c>
      <c r="F163" s="1">
        <f>'Unformatted Trip Summary'!F161</f>
        <v>17.955061572999998</v>
      </c>
      <c r="G163" s="1">
        <f>'Unformatted Trip Summary'!G161</f>
        <v>227.04533434000001</v>
      </c>
      <c r="H163" s="1">
        <f>'Unformatted Trip Summary'!H161</f>
        <v>6.9769022114999997</v>
      </c>
    </row>
    <row r="164" spans="1:8" x14ac:dyDescent="0.2">
      <c r="A164" t="str">
        <f>'Unformatted Trip Summary'!A162</f>
        <v>02 AUCKLAND</v>
      </c>
      <c r="B164" t="str">
        <f>'Unformatted Trip Summary'!J162</f>
        <v>2042/43</v>
      </c>
      <c r="C164" t="str">
        <f>'Unformatted Trip Summary'!I162</f>
        <v>Non-Household Travel</v>
      </c>
      <c r="D164">
        <f>'Unformatted Trip Summary'!D162</f>
        <v>49</v>
      </c>
      <c r="E164">
        <f>'Unformatted Trip Summary'!E162</f>
        <v>220</v>
      </c>
      <c r="F164" s="1">
        <f>'Unformatted Trip Summary'!F162</f>
        <v>19.085940609000001</v>
      </c>
      <c r="G164" s="1">
        <f>'Unformatted Trip Summary'!G162</f>
        <v>238.39953797000001</v>
      </c>
      <c r="H164" s="1">
        <f>'Unformatted Trip Summary'!H162</f>
        <v>7.4062663757999996</v>
      </c>
    </row>
    <row r="165" spans="1:8" x14ac:dyDescent="0.2">
      <c r="A165" t="str">
        <f>'Unformatted Trip Summary'!A163</f>
        <v>03 WAIKATO</v>
      </c>
      <c r="B165" t="str">
        <f>'Unformatted Trip Summary'!J163</f>
        <v>2012/13</v>
      </c>
      <c r="C165" t="str">
        <f>'Unformatted Trip Summary'!I163</f>
        <v>Pedestrian</v>
      </c>
      <c r="D165">
        <f>'Unformatted Trip Summary'!D163</f>
        <v>628</v>
      </c>
      <c r="E165">
        <f>'Unformatted Trip Summary'!E163</f>
        <v>2089</v>
      </c>
      <c r="F165" s="1">
        <f>'Unformatted Trip Summary'!F163</f>
        <v>68.689195601999998</v>
      </c>
      <c r="G165" s="1">
        <f>'Unformatted Trip Summary'!G163</f>
        <v>52.675735545000002</v>
      </c>
      <c r="H165" s="1">
        <f>'Unformatted Trip Summary'!H163</f>
        <v>13.69170819</v>
      </c>
    </row>
    <row r="166" spans="1:8" x14ac:dyDescent="0.2">
      <c r="A166" t="str">
        <f>'Unformatted Trip Summary'!A164</f>
        <v>03 WAIKATO</v>
      </c>
      <c r="B166" t="str">
        <f>'Unformatted Trip Summary'!J164</f>
        <v>2017/18</v>
      </c>
      <c r="C166" t="str">
        <f>'Unformatted Trip Summary'!I164</f>
        <v>Pedestrian</v>
      </c>
      <c r="D166">
        <f>'Unformatted Trip Summary'!D164</f>
        <v>628</v>
      </c>
      <c r="E166">
        <f>'Unformatted Trip Summary'!E164</f>
        <v>2089</v>
      </c>
      <c r="F166" s="1">
        <f>'Unformatted Trip Summary'!F164</f>
        <v>77.477468924999997</v>
      </c>
      <c r="G166" s="1">
        <f>'Unformatted Trip Summary'!G164</f>
        <v>59.053394075</v>
      </c>
      <c r="H166" s="1">
        <f>'Unformatted Trip Summary'!H164</f>
        <v>15.269363514</v>
      </c>
    </row>
    <row r="167" spans="1:8" x14ac:dyDescent="0.2">
      <c r="A167" t="str">
        <f>'Unformatted Trip Summary'!A165</f>
        <v>03 WAIKATO</v>
      </c>
      <c r="B167" t="str">
        <f>'Unformatted Trip Summary'!J165</f>
        <v>2022/23</v>
      </c>
      <c r="C167" t="str">
        <f>'Unformatted Trip Summary'!I165</f>
        <v>Pedestrian</v>
      </c>
      <c r="D167">
        <f>'Unformatted Trip Summary'!D165</f>
        <v>628</v>
      </c>
      <c r="E167">
        <f>'Unformatted Trip Summary'!E165</f>
        <v>2089</v>
      </c>
      <c r="F167" s="1">
        <f>'Unformatted Trip Summary'!F165</f>
        <v>82.685328600000005</v>
      </c>
      <c r="G167" s="1">
        <f>'Unformatted Trip Summary'!G165</f>
        <v>62.690442572999999</v>
      </c>
      <c r="H167" s="1">
        <f>'Unformatted Trip Summary'!H165</f>
        <v>16.189625360000001</v>
      </c>
    </row>
    <row r="168" spans="1:8" x14ac:dyDescent="0.2">
      <c r="A168" t="str">
        <f>'Unformatted Trip Summary'!A166</f>
        <v>03 WAIKATO</v>
      </c>
      <c r="B168" t="str">
        <f>'Unformatted Trip Summary'!J166</f>
        <v>2027/28</v>
      </c>
      <c r="C168" t="str">
        <f>'Unformatted Trip Summary'!I166</f>
        <v>Pedestrian</v>
      </c>
      <c r="D168">
        <f>'Unformatted Trip Summary'!D166</f>
        <v>628</v>
      </c>
      <c r="E168">
        <f>'Unformatted Trip Summary'!E166</f>
        <v>2089</v>
      </c>
      <c r="F168" s="1">
        <f>'Unformatted Trip Summary'!F166</f>
        <v>88.844293397000001</v>
      </c>
      <c r="G168" s="1">
        <f>'Unformatted Trip Summary'!G166</f>
        <v>66.420171280000005</v>
      </c>
      <c r="H168" s="1">
        <f>'Unformatted Trip Summary'!H166</f>
        <v>17.120858340000002</v>
      </c>
    </row>
    <row r="169" spans="1:8" x14ac:dyDescent="0.2">
      <c r="A169" t="str">
        <f>'Unformatted Trip Summary'!A167</f>
        <v>03 WAIKATO</v>
      </c>
      <c r="B169" t="str">
        <f>'Unformatted Trip Summary'!J167</f>
        <v>2032/33</v>
      </c>
      <c r="C169" t="str">
        <f>'Unformatted Trip Summary'!I167</f>
        <v>Pedestrian</v>
      </c>
      <c r="D169">
        <f>'Unformatted Trip Summary'!D167</f>
        <v>628</v>
      </c>
      <c r="E169">
        <f>'Unformatted Trip Summary'!E167</f>
        <v>2089</v>
      </c>
      <c r="F169" s="1">
        <f>'Unformatted Trip Summary'!F167</f>
        <v>94.012953396</v>
      </c>
      <c r="G169" s="1">
        <f>'Unformatted Trip Summary'!G167</f>
        <v>69.153630092</v>
      </c>
      <c r="H169" s="1">
        <f>'Unformatted Trip Summary'!H167</f>
        <v>17.844610328000002</v>
      </c>
    </row>
    <row r="170" spans="1:8" x14ac:dyDescent="0.2">
      <c r="A170" t="str">
        <f>'Unformatted Trip Summary'!A168</f>
        <v>03 WAIKATO</v>
      </c>
      <c r="B170" t="str">
        <f>'Unformatted Trip Summary'!J168</f>
        <v>2037/38</v>
      </c>
      <c r="C170" t="str">
        <f>'Unformatted Trip Summary'!I168</f>
        <v>Pedestrian</v>
      </c>
      <c r="D170">
        <f>'Unformatted Trip Summary'!D168</f>
        <v>628</v>
      </c>
      <c r="E170">
        <f>'Unformatted Trip Summary'!E168</f>
        <v>2089</v>
      </c>
      <c r="F170" s="1">
        <f>'Unformatted Trip Summary'!F168</f>
        <v>98.726638777000005</v>
      </c>
      <c r="G170" s="1">
        <f>'Unformatted Trip Summary'!G168</f>
        <v>71.819578628000002</v>
      </c>
      <c r="H170" s="1">
        <f>'Unformatted Trip Summary'!H168</f>
        <v>18.498591344000001</v>
      </c>
    </row>
    <row r="171" spans="1:8" x14ac:dyDescent="0.2">
      <c r="A171" t="str">
        <f>'Unformatted Trip Summary'!A169</f>
        <v>03 WAIKATO</v>
      </c>
      <c r="B171" t="str">
        <f>'Unformatted Trip Summary'!J169</f>
        <v>2042/43</v>
      </c>
      <c r="C171" t="str">
        <f>'Unformatted Trip Summary'!I169</f>
        <v>Pedestrian</v>
      </c>
      <c r="D171">
        <f>'Unformatted Trip Summary'!D169</f>
        <v>628</v>
      </c>
      <c r="E171">
        <f>'Unformatted Trip Summary'!E169</f>
        <v>2089</v>
      </c>
      <c r="F171" s="1">
        <f>'Unformatted Trip Summary'!F169</f>
        <v>102.79374092</v>
      </c>
      <c r="G171" s="1">
        <f>'Unformatted Trip Summary'!G169</f>
        <v>73.886317947999999</v>
      </c>
      <c r="H171" s="1">
        <f>'Unformatted Trip Summary'!H169</f>
        <v>19.008473043999999</v>
      </c>
    </row>
    <row r="172" spans="1:8" x14ac:dyDescent="0.2">
      <c r="A172" t="str">
        <f>'Unformatted Trip Summary'!A170</f>
        <v>03 WAIKATO</v>
      </c>
      <c r="B172" t="str">
        <f>'Unformatted Trip Summary'!J170</f>
        <v>2012/13</v>
      </c>
      <c r="C172" t="str">
        <f>'Unformatted Trip Summary'!I170</f>
        <v>Cyclist</v>
      </c>
      <c r="D172">
        <f>'Unformatted Trip Summary'!D170</f>
        <v>60</v>
      </c>
      <c r="E172">
        <f>'Unformatted Trip Summary'!E170</f>
        <v>183</v>
      </c>
      <c r="F172" s="1">
        <f>'Unformatted Trip Summary'!F170</f>
        <v>5.8956498267999997</v>
      </c>
      <c r="G172" s="1">
        <f>'Unformatted Trip Summary'!G170</f>
        <v>21.829422874999999</v>
      </c>
      <c r="H172" s="1">
        <f>'Unformatted Trip Summary'!H170</f>
        <v>1.7805943500000001</v>
      </c>
    </row>
    <row r="173" spans="1:8" x14ac:dyDescent="0.2">
      <c r="A173" t="str">
        <f>'Unformatted Trip Summary'!A171</f>
        <v>03 WAIKATO</v>
      </c>
      <c r="B173" t="str">
        <f>'Unformatted Trip Summary'!J171</f>
        <v>2017/18</v>
      </c>
      <c r="C173" t="str">
        <f>'Unformatted Trip Summary'!I171</f>
        <v>Cyclist</v>
      </c>
      <c r="D173">
        <f>'Unformatted Trip Summary'!D171</f>
        <v>60</v>
      </c>
      <c r="E173">
        <f>'Unformatted Trip Summary'!E171</f>
        <v>183</v>
      </c>
      <c r="F173" s="1">
        <f>'Unformatted Trip Summary'!F171</f>
        <v>6.6558277756999997</v>
      </c>
      <c r="G173" s="1">
        <f>'Unformatted Trip Summary'!G171</f>
        <v>24.274784031999999</v>
      </c>
      <c r="H173" s="1">
        <f>'Unformatted Trip Summary'!H171</f>
        <v>2.034019486</v>
      </c>
    </row>
    <row r="174" spans="1:8" x14ac:dyDescent="0.2">
      <c r="A174" t="str">
        <f>'Unformatted Trip Summary'!A172</f>
        <v>03 WAIKATO</v>
      </c>
      <c r="B174" t="str">
        <f>'Unformatted Trip Summary'!J172</f>
        <v>2022/23</v>
      </c>
      <c r="C174" t="str">
        <f>'Unformatted Trip Summary'!I172</f>
        <v>Cyclist</v>
      </c>
      <c r="D174">
        <f>'Unformatted Trip Summary'!D172</f>
        <v>60</v>
      </c>
      <c r="E174">
        <f>'Unformatted Trip Summary'!E172</f>
        <v>183</v>
      </c>
      <c r="F174" s="1">
        <f>'Unformatted Trip Summary'!F172</f>
        <v>7.2762665024000004</v>
      </c>
      <c r="G174" s="1">
        <f>'Unformatted Trip Summary'!G172</f>
        <v>25.670477012999999</v>
      </c>
      <c r="H174" s="1">
        <f>'Unformatted Trip Summary'!H172</f>
        <v>2.2164086065999999</v>
      </c>
    </row>
    <row r="175" spans="1:8" x14ac:dyDescent="0.2">
      <c r="A175" t="str">
        <f>'Unformatted Trip Summary'!A173</f>
        <v>03 WAIKATO</v>
      </c>
      <c r="B175" t="str">
        <f>'Unformatted Trip Summary'!J173</f>
        <v>2027/28</v>
      </c>
      <c r="C175" t="str">
        <f>'Unformatted Trip Summary'!I173</f>
        <v>Cyclist</v>
      </c>
      <c r="D175">
        <f>'Unformatted Trip Summary'!D173</f>
        <v>60</v>
      </c>
      <c r="E175">
        <f>'Unformatted Trip Summary'!E173</f>
        <v>183</v>
      </c>
      <c r="F175" s="1">
        <f>'Unformatted Trip Summary'!F173</f>
        <v>7.8152054329</v>
      </c>
      <c r="G175" s="1">
        <f>'Unformatted Trip Summary'!G173</f>
        <v>26.714640275000001</v>
      </c>
      <c r="H175" s="1">
        <f>'Unformatted Trip Summary'!H173</f>
        <v>2.3641233980999998</v>
      </c>
    </row>
    <row r="176" spans="1:8" x14ac:dyDescent="0.2">
      <c r="A176" t="str">
        <f>'Unformatted Trip Summary'!A174</f>
        <v>03 WAIKATO</v>
      </c>
      <c r="B176" t="str">
        <f>'Unformatted Trip Summary'!J174</f>
        <v>2032/33</v>
      </c>
      <c r="C176" t="str">
        <f>'Unformatted Trip Summary'!I174</f>
        <v>Cyclist</v>
      </c>
      <c r="D176">
        <f>'Unformatted Trip Summary'!D174</f>
        <v>60</v>
      </c>
      <c r="E176">
        <f>'Unformatted Trip Summary'!E174</f>
        <v>183</v>
      </c>
      <c r="F176" s="1">
        <f>'Unformatted Trip Summary'!F174</f>
        <v>8.3755920436999993</v>
      </c>
      <c r="G176" s="1">
        <f>'Unformatted Trip Summary'!G174</f>
        <v>27.683568758</v>
      </c>
      <c r="H176" s="1">
        <f>'Unformatted Trip Summary'!H174</f>
        <v>2.5238708483000001</v>
      </c>
    </row>
    <row r="177" spans="1:8" x14ac:dyDescent="0.2">
      <c r="A177" t="str">
        <f>'Unformatted Trip Summary'!A175</f>
        <v>03 WAIKATO</v>
      </c>
      <c r="B177" t="str">
        <f>'Unformatted Trip Summary'!J175</f>
        <v>2037/38</v>
      </c>
      <c r="C177" t="str">
        <f>'Unformatted Trip Summary'!I175</f>
        <v>Cyclist</v>
      </c>
      <c r="D177">
        <f>'Unformatted Trip Summary'!D175</f>
        <v>60</v>
      </c>
      <c r="E177">
        <f>'Unformatted Trip Summary'!E175</f>
        <v>183</v>
      </c>
      <c r="F177" s="1">
        <f>'Unformatted Trip Summary'!F175</f>
        <v>9.0778970890000004</v>
      </c>
      <c r="G177" s="1">
        <f>'Unformatted Trip Summary'!G175</f>
        <v>28.752894631</v>
      </c>
      <c r="H177" s="1">
        <f>'Unformatted Trip Summary'!H175</f>
        <v>2.7419804357999999</v>
      </c>
    </row>
    <row r="178" spans="1:8" x14ac:dyDescent="0.2">
      <c r="A178" t="str">
        <f>'Unformatted Trip Summary'!A176</f>
        <v>03 WAIKATO</v>
      </c>
      <c r="B178" t="str">
        <f>'Unformatted Trip Summary'!J176</f>
        <v>2042/43</v>
      </c>
      <c r="C178" t="str">
        <f>'Unformatted Trip Summary'!I176</f>
        <v>Cyclist</v>
      </c>
      <c r="D178">
        <f>'Unformatted Trip Summary'!D176</f>
        <v>60</v>
      </c>
      <c r="E178">
        <f>'Unformatted Trip Summary'!E176</f>
        <v>183</v>
      </c>
      <c r="F178" s="1">
        <f>'Unformatted Trip Summary'!F176</f>
        <v>9.8050515016999995</v>
      </c>
      <c r="G178" s="1">
        <f>'Unformatted Trip Summary'!G176</f>
        <v>29.695336135000002</v>
      </c>
      <c r="H178" s="1">
        <f>'Unformatted Trip Summary'!H176</f>
        <v>2.9710620366999998</v>
      </c>
    </row>
    <row r="179" spans="1:8" x14ac:dyDescent="0.2">
      <c r="A179" t="str">
        <f>'Unformatted Trip Summary'!A177</f>
        <v>03 WAIKATO</v>
      </c>
      <c r="B179" t="str">
        <f>'Unformatted Trip Summary'!J177</f>
        <v>2012/13</v>
      </c>
      <c r="C179" t="str">
        <f>'Unformatted Trip Summary'!I177</f>
        <v>Light Vehicle Driver</v>
      </c>
      <c r="D179">
        <f>'Unformatted Trip Summary'!D177</f>
        <v>1302</v>
      </c>
      <c r="E179">
        <f>'Unformatted Trip Summary'!E177</f>
        <v>9074</v>
      </c>
      <c r="F179" s="1">
        <f>'Unformatted Trip Summary'!F177</f>
        <v>305.41478153000003</v>
      </c>
      <c r="G179" s="1">
        <f>'Unformatted Trip Summary'!G177</f>
        <v>3709.9843593000001</v>
      </c>
      <c r="H179" s="1">
        <f>'Unformatted Trip Summary'!H177</f>
        <v>82.274552721999996</v>
      </c>
    </row>
    <row r="180" spans="1:8" x14ac:dyDescent="0.2">
      <c r="A180" t="str">
        <f>'Unformatted Trip Summary'!A178</f>
        <v>03 WAIKATO</v>
      </c>
      <c r="B180" t="str">
        <f>'Unformatted Trip Summary'!J178</f>
        <v>2017/18</v>
      </c>
      <c r="C180" t="str">
        <f>'Unformatted Trip Summary'!I178</f>
        <v>Light Vehicle Driver</v>
      </c>
      <c r="D180">
        <f>'Unformatted Trip Summary'!D178</f>
        <v>1302</v>
      </c>
      <c r="E180">
        <f>'Unformatted Trip Summary'!E178</f>
        <v>9074</v>
      </c>
      <c r="F180" s="1">
        <f>'Unformatted Trip Summary'!F178</f>
        <v>357.39801752</v>
      </c>
      <c r="G180" s="1">
        <f>'Unformatted Trip Summary'!G178</f>
        <v>4343.5554576000004</v>
      </c>
      <c r="H180" s="1">
        <f>'Unformatted Trip Summary'!H178</f>
        <v>96.329362552000006</v>
      </c>
    </row>
    <row r="181" spans="1:8" x14ac:dyDescent="0.2">
      <c r="A181" t="str">
        <f>'Unformatted Trip Summary'!A179</f>
        <v>03 WAIKATO</v>
      </c>
      <c r="B181" t="str">
        <f>'Unformatted Trip Summary'!J179</f>
        <v>2022/23</v>
      </c>
      <c r="C181" t="str">
        <f>'Unformatted Trip Summary'!I179</f>
        <v>Light Vehicle Driver</v>
      </c>
      <c r="D181">
        <f>'Unformatted Trip Summary'!D179</f>
        <v>1302</v>
      </c>
      <c r="E181">
        <f>'Unformatted Trip Summary'!E179</f>
        <v>9074</v>
      </c>
      <c r="F181" s="1">
        <f>'Unformatted Trip Summary'!F179</f>
        <v>385.64827931000002</v>
      </c>
      <c r="G181" s="1">
        <f>'Unformatted Trip Summary'!G179</f>
        <v>4689.3432284999999</v>
      </c>
      <c r="H181" s="1">
        <f>'Unformatted Trip Summary'!H179</f>
        <v>103.82647897</v>
      </c>
    </row>
    <row r="182" spans="1:8" x14ac:dyDescent="0.2">
      <c r="A182" t="str">
        <f>'Unformatted Trip Summary'!A180</f>
        <v>03 WAIKATO</v>
      </c>
      <c r="B182" t="str">
        <f>'Unformatted Trip Summary'!J180</f>
        <v>2027/28</v>
      </c>
      <c r="C182" t="str">
        <f>'Unformatted Trip Summary'!I180</f>
        <v>Light Vehicle Driver</v>
      </c>
      <c r="D182">
        <f>'Unformatted Trip Summary'!D180</f>
        <v>1302</v>
      </c>
      <c r="E182">
        <f>'Unformatted Trip Summary'!E180</f>
        <v>9074</v>
      </c>
      <c r="F182" s="1">
        <f>'Unformatted Trip Summary'!F180</f>
        <v>421.97454600999998</v>
      </c>
      <c r="G182" s="1">
        <f>'Unformatted Trip Summary'!G180</f>
        <v>5140.4926567000002</v>
      </c>
      <c r="H182" s="1">
        <f>'Unformatted Trip Summary'!H180</f>
        <v>113.57895027000001</v>
      </c>
    </row>
    <row r="183" spans="1:8" x14ac:dyDescent="0.2">
      <c r="A183" t="str">
        <f>'Unformatted Trip Summary'!A181</f>
        <v>03 WAIKATO</v>
      </c>
      <c r="B183" t="str">
        <f>'Unformatted Trip Summary'!J181</f>
        <v>2032/33</v>
      </c>
      <c r="C183" t="str">
        <f>'Unformatted Trip Summary'!I181</f>
        <v>Light Vehicle Driver</v>
      </c>
      <c r="D183">
        <f>'Unformatted Trip Summary'!D181</f>
        <v>1302</v>
      </c>
      <c r="E183">
        <f>'Unformatted Trip Summary'!E181</f>
        <v>9074</v>
      </c>
      <c r="F183" s="1">
        <f>'Unformatted Trip Summary'!F181</f>
        <v>454.96527090000001</v>
      </c>
      <c r="G183" s="1">
        <f>'Unformatted Trip Summary'!G181</f>
        <v>5548.5474339000002</v>
      </c>
      <c r="H183" s="1">
        <f>'Unformatted Trip Summary'!H181</f>
        <v>122.39502364000001</v>
      </c>
    </row>
    <row r="184" spans="1:8" x14ac:dyDescent="0.2">
      <c r="A184" t="str">
        <f>'Unformatted Trip Summary'!A182</f>
        <v>03 WAIKATO</v>
      </c>
      <c r="B184" t="str">
        <f>'Unformatted Trip Summary'!J182</f>
        <v>2037/38</v>
      </c>
      <c r="C184" t="str">
        <f>'Unformatted Trip Summary'!I182</f>
        <v>Light Vehicle Driver</v>
      </c>
      <c r="D184">
        <f>'Unformatted Trip Summary'!D182</f>
        <v>1302</v>
      </c>
      <c r="E184">
        <f>'Unformatted Trip Summary'!E182</f>
        <v>9074</v>
      </c>
      <c r="F184" s="1">
        <f>'Unformatted Trip Summary'!F182</f>
        <v>484.90380269000002</v>
      </c>
      <c r="G184" s="1">
        <f>'Unformatted Trip Summary'!G182</f>
        <v>5907.0401615000001</v>
      </c>
      <c r="H184" s="1">
        <f>'Unformatted Trip Summary'!H182</f>
        <v>130.25871015999999</v>
      </c>
    </row>
    <row r="185" spans="1:8" x14ac:dyDescent="0.2">
      <c r="A185" t="str">
        <f>'Unformatted Trip Summary'!A183</f>
        <v>03 WAIKATO</v>
      </c>
      <c r="B185" t="str">
        <f>'Unformatted Trip Summary'!J183</f>
        <v>2042/43</v>
      </c>
      <c r="C185" t="str">
        <f>'Unformatted Trip Summary'!I183</f>
        <v>Light Vehicle Driver</v>
      </c>
      <c r="D185">
        <f>'Unformatted Trip Summary'!D183</f>
        <v>1302</v>
      </c>
      <c r="E185">
        <f>'Unformatted Trip Summary'!E183</f>
        <v>9074</v>
      </c>
      <c r="F185" s="1">
        <f>'Unformatted Trip Summary'!F183</f>
        <v>511.11804837</v>
      </c>
      <c r="G185" s="1">
        <f>'Unformatted Trip Summary'!G183</f>
        <v>6215.4401115000001</v>
      </c>
      <c r="H185" s="1">
        <f>'Unformatted Trip Summary'!H183</f>
        <v>137.07093180999999</v>
      </c>
    </row>
    <row r="186" spans="1:8" x14ac:dyDescent="0.2">
      <c r="A186" t="str">
        <f>'Unformatted Trip Summary'!A184</f>
        <v>03 WAIKATO</v>
      </c>
      <c r="B186" t="str">
        <f>'Unformatted Trip Summary'!J184</f>
        <v>2012/13</v>
      </c>
      <c r="C186" t="str">
        <f>'Unformatted Trip Summary'!I184</f>
        <v>Light Vehicle Passenger</v>
      </c>
      <c r="D186">
        <f>'Unformatted Trip Summary'!D184</f>
        <v>931</v>
      </c>
      <c r="E186">
        <f>'Unformatted Trip Summary'!E184</f>
        <v>4349</v>
      </c>
      <c r="F186" s="1">
        <f>'Unformatted Trip Summary'!F184</f>
        <v>139.07206360000001</v>
      </c>
      <c r="G186" s="1">
        <f>'Unformatted Trip Summary'!G184</f>
        <v>1955.0668243</v>
      </c>
      <c r="H186" s="1">
        <f>'Unformatted Trip Summary'!H184</f>
        <v>42.037273755000001</v>
      </c>
    </row>
    <row r="187" spans="1:8" x14ac:dyDescent="0.2">
      <c r="A187" t="str">
        <f>'Unformatted Trip Summary'!A185</f>
        <v>03 WAIKATO</v>
      </c>
      <c r="B187" t="str">
        <f>'Unformatted Trip Summary'!J185</f>
        <v>2017/18</v>
      </c>
      <c r="C187" t="str">
        <f>'Unformatted Trip Summary'!I185</f>
        <v>Light Vehicle Passenger</v>
      </c>
      <c r="D187">
        <f>'Unformatted Trip Summary'!D185</f>
        <v>931</v>
      </c>
      <c r="E187">
        <f>'Unformatted Trip Summary'!E185</f>
        <v>4349</v>
      </c>
      <c r="F187" s="1">
        <f>'Unformatted Trip Summary'!F185</f>
        <v>152.70590949999999</v>
      </c>
      <c r="G187" s="1">
        <f>'Unformatted Trip Summary'!G185</f>
        <v>2197.6002308000002</v>
      </c>
      <c r="H187" s="1">
        <f>'Unformatted Trip Summary'!H185</f>
        <v>46.909844634000002</v>
      </c>
    </row>
    <row r="188" spans="1:8" x14ac:dyDescent="0.2">
      <c r="A188" t="str">
        <f>'Unformatted Trip Summary'!A186</f>
        <v>03 WAIKATO</v>
      </c>
      <c r="B188" t="str">
        <f>'Unformatted Trip Summary'!J186</f>
        <v>2022/23</v>
      </c>
      <c r="C188" t="str">
        <f>'Unformatted Trip Summary'!I186</f>
        <v>Light Vehicle Passenger</v>
      </c>
      <c r="D188">
        <f>'Unformatted Trip Summary'!D186</f>
        <v>931</v>
      </c>
      <c r="E188">
        <f>'Unformatted Trip Summary'!E186</f>
        <v>4349</v>
      </c>
      <c r="F188" s="1">
        <f>'Unformatted Trip Summary'!F186</f>
        <v>164.17498388000001</v>
      </c>
      <c r="G188" s="1">
        <f>'Unformatted Trip Summary'!G186</f>
        <v>2378.6851882000001</v>
      </c>
      <c r="H188" s="1">
        <f>'Unformatted Trip Summary'!H186</f>
        <v>50.663472050999999</v>
      </c>
    </row>
    <row r="189" spans="1:8" x14ac:dyDescent="0.2">
      <c r="A189" t="str">
        <f>'Unformatted Trip Summary'!A187</f>
        <v>03 WAIKATO</v>
      </c>
      <c r="B189" t="str">
        <f>'Unformatted Trip Summary'!J187</f>
        <v>2027/28</v>
      </c>
      <c r="C189" t="str">
        <f>'Unformatted Trip Summary'!I187</f>
        <v>Light Vehicle Passenger</v>
      </c>
      <c r="D189">
        <f>'Unformatted Trip Summary'!D187</f>
        <v>931</v>
      </c>
      <c r="E189">
        <f>'Unformatted Trip Summary'!E187</f>
        <v>4349</v>
      </c>
      <c r="F189" s="1">
        <f>'Unformatted Trip Summary'!F187</f>
        <v>177.09094365000001</v>
      </c>
      <c r="G189" s="1">
        <f>'Unformatted Trip Summary'!G187</f>
        <v>2575.8605008</v>
      </c>
      <c r="H189" s="1">
        <f>'Unformatted Trip Summary'!H187</f>
        <v>54.768188852000002</v>
      </c>
    </row>
    <row r="190" spans="1:8" x14ac:dyDescent="0.2">
      <c r="A190" t="str">
        <f>'Unformatted Trip Summary'!A188</f>
        <v>03 WAIKATO</v>
      </c>
      <c r="B190" t="str">
        <f>'Unformatted Trip Summary'!J188</f>
        <v>2032/33</v>
      </c>
      <c r="C190" t="str">
        <f>'Unformatted Trip Summary'!I188</f>
        <v>Light Vehicle Passenger</v>
      </c>
      <c r="D190">
        <f>'Unformatted Trip Summary'!D188</f>
        <v>931</v>
      </c>
      <c r="E190">
        <f>'Unformatted Trip Summary'!E188</f>
        <v>4349</v>
      </c>
      <c r="F190" s="1">
        <f>'Unformatted Trip Summary'!F188</f>
        <v>188.96772576999999</v>
      </c>
      <c r="G190" s="1">
        <f>'Unformatted Trip Summary'!G188</f>
        <v>2752.2911417</v>
      </c>
      <c r="H190" s="1">
        <f>'Unformatted Trip Summary'!H188</f>
        <v>58.464072839000004</v>
      </c>
    </row>
    <row r="191" spans="1:8" x14ac:dyDescent="0.2">
      <c r="A191" t="str">
        <f>'Unformatted Trip Summary'!A189</f>
        <v>03 WAIKATO</v>
      </c>
      <c r="B191" t="str">
        <f>'Unformatted Trip Summary'!J189</f>
        <v>2037/38</v>
      </c>
      <c r="C191" t="str">
        <f>'Unformatted Trip Summary'!I189</f>
        <v>Light Vehicle Passenger</v>
      </c>
      <c r="D191">
        <f>'Unformatted Trip Summary'!D189</f>
        <v>931</v>
      </c>
      <c r="E191">
        <f>'Unformatted Trip Summary'!E189</f>
        <v>4349</v>
      </c>
      <c r="F191" s="1">
        <f>'Unformatted Trip Summary'!F189</f>
        <v>199.6338792</v>
      </c>
      <c r="G191" s="1">
        <f>'Unformatted Trip Summary'!G189</f>
        <v>2904.4295310000002</v>
      </c>
      <c r="H191" s="1">
        <f>'Unformatted Trip Summary'!H189</f>
        <v>61.721851053999998</v>
      </c>
    </row>
    <row r="192" spans="1:8" x14ac:dyDescent="0.2">
      <c r="A192" t="str">
        <f>'Unformatted Trip Summary'!A190</f>
        <v>03 WAIKATO</v>
      </c>
      <c r="B192" t="str">
        <f>'Unformatted Trip Summary'!J190</f>
        <v>2042/43</v>
      </c>
      <c r="C192" t="str">
        <f>'Unformatted Trip Summary'!I190</f>
        <v>Light Vehicle Passenger</v>
      </c>
      <c r="D192">
        <f>'Unformatted Trip Summary'!D190</f>
        <v>931</v>
      </c>
      <c r="E192">
        <f>'Unformatted Trip Summary'!E190</f>
        <v>4349</v>
      </c>
      <c r="F192" s="1">
        <f>'Unformatted Trip Summary'!F190</f>
        <v>208.83891847000001</v>
      </c>
      <c r="G192" s="1">
        <f>'Unformatted Trip Summary'!G190</f>
        <v>3028.7773551999999</v>
      </c>
      <c r="H192" s="1">
        <f>'Unformatted Trip Summary'!H190</f>
        <v>64.450670747999993</v>
      </c>
    </row>
    <row r="193" spans="1:8" x14ac:dyDescent="0.2">
      <c r="A193" t="str">
        <f>'Unformatted Trip Summary'!A191</f>
        <v>03 WAIKATO</v>
      </c>
      <c r="B193" t="str">
        <f>'Unformatted Trip Summary'!J191</f>
        <v>2012/13</v>
      </c>
      <c r="C193" t="str">
        <f>'Unformatted Trip Summary'!I191</f>
        <v>Taxi/Vehicle Share</v>
      </c>
      <c r="D193">
        <f>'Unformatted Trip Summary'!D191</f>
        <v>13</v>
      </c>
      <c r="E193">
        <f>'Unformatted Trip Summary'!E191</f>
        <v>20</v>
      </c>
      <c r="F193" s="1">
        <f>'Unformatted Trip Summary'!F191</f>
        <v>0.69122996950000004</v>
      </c>
      <c r="G193" s="1">
        <f>'Unformatted Trip Summary'!G191</f>
        <v>2.4426175743999998</v>
      </c>
      <c r="H193" s="1">
        <f>'Unformatted Trip Summary'!H191</f>
        <v>0.1633822556</v>
      </c>
    </row>
    <row r="194" spans="1:8" x14ac:dyDescent="0.2">
      <c r="A194" t="str">
        <f>'Unformatted Trip Summary'!A192</f>
        <v>03 WAIKATO</v>
      </c>
      <c r="B194" t="str">
        <f>'Unformatted Trip Summary'!J192</f>
        <v>2017/18</v>
      </c>
      <c r="C194" t="str">
        <f>'Unformatted Trip Summary'!I192</f>
        <v>Taxi/Vehicle Share</v>
      </c>
      <c r="D194">
        <f>'Unformatted Trip Summary'!D192</f>
        <v>13</v>
      </c>
      <c r="E194">
        <f>'Unformatted Trip Summary'!E192</f>
        <v>20</v>
      </c>
      <c r="F194" s="1">
        <f>'Unformatted Trip Summary'!F192</f>
        <v>0.90802271059999995</v>
      </c>
      <c r="G194" s="1">
        <f>'Unformatted Trip Summary'!G192</f>
        <v>3.3921897734000002</v>
      </c>
      <c r="H194" s="1">
        <f>'Unformatted Trip Summary'!H192</f>
        <v>0.22047853789999999</v>
      </c>
    </row>
    <row r="195" spans="1:8" x14ac:dyDescent="0.2">
      <c r="A195" t="str">
        <f>'Unformatted Trip Summary'!A193</f>
        <v>03 WAIKATO</v>
      </c>
      <c r="B195" t="str">
        <f>'Unformatted Trip Summary'!J193</f>
        <v>2022/23</v>
      </c>
      <c r="C195" t="str">
        <f>'Unformatted Trip Summary'!I193</f>
        <v>Taxi/Vehicle Share</v>
      </c>
      <c r="D195">
        <f>'Unformatted Trip Summary'!D193</f>
        <v>13</v>
      </c>
      <c r="E195">
        <f>'Unformatted Trip Summary'!E193</f>
        <v>20</v>
      </c>
      <c r="F195" s="1">
        <f>'Unformatted Trip Summary'!F193</f>
        <v>1.0281455984000001</v>
      </c>
      <c r="G195" s="1">
        <f>'Unformatted Trip Summary'!G193</f>
        <v>3.9944006884999999</v>
      </c>
      <c r="H195" s="1">
        <f>'Unformatted Trip Summary'!H193</f>
        <v>0.25424422569999999</v>
      </c>
    </row>
    <row r="196" spans="1:8" x14ac:dyDescent="0.2">
      <c r="A196" t="str">
        <f>'Unformatted Trip Summary'!A194</f>
        <v>03 WAIKATO</v>
      </c>
      <c r="B196" t="str">
        <f>'Unformatted Trip Summary'!J194</f>
        <v>2027/28</v>
      </c>
      <c r="C196" t="str">
        <f>'Unformatted Trip Summary'!I194</f>
        <v>Taxi/Vehicle Share</v>
      </c>
      <c r="D196">
        <f>'Unformatted Trip Summary'!D194</f>
        <v>13</v>
      </c>
      <c r="E196">
        <f>'Unformatted Trip Summary'!E194</f>
        <v>20</v>
      </c>
      <c r="F196" s="1">
        <f>'Unformatted Trip Summary'!F194</f>
        <v>1.1180348716999999</v>
      </c>
      <c r="G196" s="1">
        <f>'Unformatted Trip Summary'!G194</f>
        <v>4.6186236064999999</v>
      </c>
      <c r="H196" s="1">
        <f>'Unformatted Trip Summary'!H194</f>
        <v>0.28614889669999999</v>
      </c>
    </row>
    <row r="197" spans="1:8" x14ac:dyDescent="0.2">
      <c r="A197" t="str">
        <f>'Unformatted Trip Summary'!A195</f>
        <v>03 WAIKATO</v>
      </c>
      <c r="B197" t="str">
        <f>'Unformatted Trip Summary'!J195</f>
        <v>2032/33</v>
      </c>
      <c r="C197" t="str">
        <f>'Unformatted Trip Summary'!I195</f>
        <v>Taxi/Vehicle Share</v>
      </c>
      <c r="D197">
        <f>'Unformatted Trip Summary'!D195</f>
        <v>13</v>
      </c>
      <c r="E197">
        <f>'Unformatted Trip Summary'!E195</f>
        <v>20</v>
      </c>
      <c r="F197" s="1">
        <f>'Unformatted Trip Summary'!F195</f>
        <v>1.1835895395</v>
      </c>
      <c r="G197" s="1">
        <f>'Unformatted Trip Summary'!G195</f>
        <v>5.1394591243000001</v>
      </c>
      <c r="H197" s="1">
        <f>'Unformatted Trip Summary'!H195</f>
        <v>0.31059747300000001</v>
      </c>
    </row>
    <row r="198" spans="1:8" x14ac:dyDescent="0.2">
      <c r="A198" t="str">
        <f>'Unformatted Trip Summary'!A196</f>
        <v>03 WAIKATO</v>
      </c>
      <c r="B198" t="str">
        <f>'Unformatted Trip Summary'!J196</f>
        <v>2037/38</v>
      </c>
      <c r="C198" t="str">
        <f>'Unformatted Trip Summary'!I196</f>
        <v>Taxi/Vehicle Share</v>
      </c>
      <c r="D198">
        <f>'Unformatted Trip Summary'!D196</f>
        <v>13</v>
      </c>
      <c r="E198">
        <f>'Unformatted Trip Summary'!E196</f>
        <v>20</v>
      </c>
      <c r="F198" s="1">
        <f>'Unformatted Trip Summary'!F196</f>
        <v>1.2295843244</v>
      </c>
      <c r="G198" s="1">
        <f>'Unformatted Trip Summary'!G196</f>
        <v>5.5417410549000001</v>
      </c>
      <c r="H198" s="1">
        <f>'Unformatted Trip Summary'!H196</f>
        <v>0.32520575839999999</v>
      </c>
    </row>
    <row r="199" spans="1:8" x14ac:dyDescent="0.2">
      <c r="A199" t="str">
        <f>'Unformatted Trip Summary'!A197</f>
        <v>03 WAIKATO</v>
      </c>
      <c r="B199" t="str">
        <f>'Unformatted Trip Summary'!J197</f>
        <v>2042/43</v>
      </c>
      <c r="C199" t="str">
        <f>'Unformatted Trip Summary'!I197</f>
        <v>Taxi/Vehicle Share</v>
      </c>
      <c r="D199">
        <f>'Unformatted Trip Summary'!D197</f>
        <v>13</v>
      </c>
      <c r="E199">
        <f>'Unformatted Trip Summary'!E197</f>
        <v>20</v>
      </c>
      <c r="F199" s="1">
        <f>'Unformatted Trip Summary'!F197</f>
        <v>1.2623509158999999</v>
      </c>
      <c r="G199" s="1">
        <f>'Unformatted Trip Summary'!G197</f>
        <v>5.9011988817000001</v>
      </c>
      <c r="H199" s="1">
        <f>'Unformatted Trip Summary'!H197</f>
        <v>0.3362769041</v>
      </c>
    </row>
    <row r="200" spans="1:8" x14ac:dyDescent="0.2">
      <c r="A200" t="str">
        <f>'Unformatted Trip Summary'!A198</f>
        <v>03 WAIKATO</v>
      </c>
      <c r="B200" t="str">
        <f>'Unformatted Trip Summary'!J198</f>
        <v>2012/13</v>
      </c>
      <c r="C200" t="str">
        <f>'Unformatted Trip Summary'!I198</f>
        <v>Motorcyclist</v>
      </c>
      <c r="D200">
        <f>'Unformatted Trip Summary'!D198</f>
        <v>16</v>
      </c>
      <c r="E200">
        <f>'Unformatted Trip Summary'!E198</f>
        <v>51</v>
      </c>
      <c r="F200" s="1">
        <f>'Unformatted Trip Summary'!F198</f>
        <v>1.8680965575999999</v>
      </c>
      <c r="G200" s="1">
        <f>'Unformatted Trip Summary'!G198</f>
        <v>38.030338682999997</v>
      </c>
      <c r="H200" s="1">
        <f>'Unformatted Trip Summary'!H198</f>
        <v>0.60639269429999998</v>
      </c>
    </row>
    <row r="201" spans="1:8" x14ac:dyDescent="0.2">
      <c r="A201" t="str">
        <f>'Unformatted Trip Summary'!A199</f>
        <v>03 WAIKATO</v>
      </c>
      <c r="B201" t="str">
        <f>'Unformatted Trip Summary'!J199</f>
        <v>2017/18</v>
      </c>
      <c r="C201" t="str">
        <f>'Unformatted Trip Summary'!I199</f>
        <v>Motorcyclist</v>
      </c>
      <c r="D201">
        <f>'Unformatted Trip Summary'!D199</f>
        <v>16</v>
      </c>
      <c r="E201">
        <f>'Unformatted Trip Summary'!E199</f>
        <v>51</v>
      </c>
      <c r="F201" s="1">
        <f>'Unformatted Trip Summary'!F199</f>
        <v>1.8667946105</v>
      </c>
      <c r="G201" s="1">
        <f>'Unformatted Trip Summary'!G199</f>
        <v>40.581188613000002</v>
      </c>
      <c r="H201" s="1">
        <f>'Unformatted Trip Summary'!H199</f>
        <v>0.62626120689999998</v>
      </c>
    </row>
    <row r="202" spans="1:8" x14ac:dyDescent="0.2">
      <c r="A202" t="str">
        <f>'Unformatted Trip Summary'!A200</f>
        <v>03 WAIKATO</v>
      </c>
      <c r="B202" t="str">
        <f>'Unformatted Trip Summary'!J200</f>
        <v>2022/23</v>
      </c>
      <c r="C202" t="str">
        <f>'Unformatted Trip Summary'!I200</f>
        <v>Motorcyclist</v>
      </c>
      <c r="D202">
        <f>'Unformatted Trip Summary'!D200</f>
        <v>16</v>
      </c>
      <c r="E202">
        <f>'Unformatted Trip Summary'!E200</f>
        <v>51</v>
      </c>
      <c r="F202" s="1">
        <f>'Unformatted Trip Summary'!F200</f>
        <v>1.8134552229000001</v>
      </c>
      <c r="G202" s="1">
        <f>'Unformatted Trip Summary'!G200</f>
        <v>41.354829643999999</v>
      </c>
      <c r="H202" s="1">
        <f>'Unformatted Trip Summary'!H200</f>
        <v>0.62946729629999998</v>
      </c>
    </row>
    <row r="203" spans="1:8" x14ac:dyDescent="0.2">
      <c r="A203" t="str">
        <f>'Unformatted Trip Summary'!A201</f>
        <v>03 WAIKATO</v>
      </c>
      <c r="B203" t="str">
        <f>'Unformatted Trip Summary'!J201</f>
        <v>2027/28</v>
      </c>
      <c r="C203" t="str">
        <f>'Unformatted Trip Summary'!I201</f>
        <v>Motorcyclist</v>
      </c>
      <c r="D203">
        <f>'Unformatted Trip Summary'!D201</f>
        <v>16</v>
      </c>
      <c r="E203">
        <f>'Unformatted Trip Summary'!E201</f>
        <v>51</v>
      </c>
      <c r="F203" s="1">
        <f>'Unformatted Trip Summary'!F201</f>
        <v>1.7565931056999999</v>
      </c>
      <c r="G203" s="1">
        <f>'Unformatted Trip Summary'!G201</f>
        <v>39.889506296999997</v>
      </c>
      <c r="H203" s="1">
        <f>'Unformatted Trip Summary'!H201</f>
        <v>0.61176103959999995</v>
      </c>
    </row>
    <row r="204" spans="1:8" x14ac:dyDescent="0.2">
      <c r="A204" t="str">
        <f>'Unformatted Trip Summary'!A202</f>
        <v>03 WAIKATO</v>
      </c>
      <c r="B204" t="str">
        <f>'Unformatted Trip Summary'!J202</f>
        <v>2032/33</v>
      </c>
      <c r="C204" t="str">
        <f>'Unformatted Trip Summary'!I202</f>
        <v>Motorcyclist</v>
      </c>
      <c r="D204">
        <f>'Unformatted Trip Summary'!D202</f>
        <v>16</v>
      </c>
      <c r="E204">
        <f>'Unformatted Trip Summary'!E202</f>
        <v>51</v>
      </c>
      <c r="F204" s="1">
        <f>'Unformatted Trip Summary'!F202</f>
        <v>1.6755998818</v>
      </c>
      <c r="G204" s="1">
        <f>'Unformatted Trip Summary'!G202</f>
        <v>36.594631223999997</v>
      </c>
      <c r="H204" s="1">
        <f>'Unformatted Trip Summary'!H202</f>
        <v>0.5710424315</v>
      </c>
    </row>
    <row r="205" spans="1:8" x14ac:dyDescent="0.2">
      <c r="A205" t="str">
        <f>'Unformatted Trip Summary'!A203</f>
        <v>03 WAIKATO</v>
      </c>
      <c r="B205" t="str">
        <f>'Unformatted Trip Summary'!J203</f>
        <v>2037/38</v>
      </c>
      <c r="C205" t="str">
        <f>'Unformatted Trip Summary'!I203</f>
        <v>Motorcyclist</v>
      </c>
      <c r="D205">
        <f>'Unformatted Trip Summary'!D203</f>
        <v>16</v>
      </c>
      <c r="E205">
        <f>'Unformatted Trip Summary'!E203</f>
        <v>51</v>
      </c>
      <c r="F205" s="1">
        <f>'Unformatted Trip Summary'!F203</f>
        <v>1.5507946350999999</v>
      </c>
      <c r="G205" s="1">
        <f>'Unformatted Trip Summary'!G203</f>
        <v>32.065139791</v>
      </c>
      <c r="H205" s="1">
        <f>'Unformatted Trip Summary'!H203</f>
        <v>0.5094895921</v>
      </c>
    </row>
    <row r="206" spans="1:8" x14ac:dyDescent="0.2">
      <c r="A206" t="str">
        <f>'Unformatted Trip Summary'!A204</f>
        <v>03 WAIKATO</v>
      </c>
      <c r="B206" t="str">
        <f>'Unformatted Trip Summary'!J204</f>
        <v>2042/43</v>
      </c>
      <c r="C206" t="str">
        <f>'Unformatted Trip Summary'!I204</f>
        <v>Motorcyclist</v>
      </c>
      <c r="D206">
        <f>'Unformatted Trip Summary'!D204</f>
        <v>16</v>
      </c>
      <c r="E206">
        <f>'Unformatted Trip Summary'!E204</f>
        <v>51</v>
      </c>
      <c r="F206" s="1">
        <f>'Unformatted Trip Summary'!F204</f>
        <v>1.4224620802000001</v>
      </c>
      <c r="G206" s="1">
        <f>'Unformatted Trip Summary'!G204</f>
        <v>27.543527197</v>
      </c>
      <c r="H206" s="1">
        <f>'Unformatted Trip Summary'!H204</f>
        <v>0.4477126521</v>
      </c>
    </row>
    <row r="207" spans="1:8" x14ac:dyDescent="0.2">
      <c r="A207" t="str">
        <f>'Unformatted Trip Summary'!A205</f>
        <v>03 WAIKATO</v>
      </c>
      <c r="B207" t="str">
        <f>'Unformatted Trip Summary'!J205</f>
        <v>2012/13</v>
      </c>
      <c r="C207" t="str">
        <f>'Unformatted Trip Summary'!I205</f>
        <v>Local Train</v>
      </c>
      <c r="D207">
        <f>'Unformatted Trip Summary'!D205</f>
        <v>2</v>
      </c>
      <c r="E207">
        <f>'Unformatted Trip Summary'!E205</f>
        <v>5</v>
      </c>
      <c r="F207" s="1">
        <f>'Unformatted Trip Summary'!F205</f>
        <v>0.12019006359999999</v>
      </c>
      <c r="G207" s="1">
        <f>'Unformatted Trip Summary'!G205</f>
        <v>2.9773519310999998</v>
      </c>
      <c r="H207" s="1">
        <f>'Unformatted Trip Summary'!H205</f>
        <v>7.0969514100000006E-2</v>
      </c>
    </row>
    <row r="208" spans="1:8" x14ac:dyDescent="0.2">
      <c r="A208" t="str">
        <f>'Unformatted Trip Summary'!A206</f>
        <v>03 WAIKATO</v>
      </c>
      <c r="B208" t="str">
        <f>'Unformatted Trip Summary'!J206</f>
        <v>2017/18</v>
      </c>
      <c r="C208" t="str">
        <f>'Unformatted Trip Summary'!I206</f>
        <v>Local Train</v>
      </c>
      <c r="D208">
        <f>'Unformatted Trip Summary'!D206</f>
        <v>2</v>
      </c>
      <c r="E208">
        <f>'Unformatted Trip Summary'!E206</f>
        <v>5</v>
      </c>
      <c r="F208" s="1">
        <f>'Unformatted Trip Summary'!F206</f>
        <v>0.13036404509999999</v>
      </c>
      <c r="G208" s="1">
        <f>'Unformatted Trip Summary'!G206</f>
        <v>3.3095310429000002</v>
      </c>
      <c r="H208" s="1">
        <f>'Unformatted Trip Summary'!H206</f>
        <v>7.8854521299999994E-2</v>
      </c>
    </row>
    <row r="209" spans="1:8" x14ac:dyDescent="0.2">
      <c r="A209" t="str">
        <f>'Unformatted Trip Summary'!A207</f>
        <v>03 WAIKATO</v>
      </c>
      <c r="B209" t="str">
        <f>'Unformatted Trip Summary'!J207</f>
        <v>2022/23</v>
      </c>
      <c r="C209" t="str">
        <f>'Unformatted Trip Summary'!I207</f>
        <v>Local Train</v>
      </c>
      <c r="D209">
        <f>'Unformatted Trip Summary'!D207</f>
        <v>2</v>
      </c>
      <c r="E209">
        <f>'Unformatted Trip Summary'!E207</f>
        <v>5</v>
      </c>
      <c r="F209" s="1">
        <f>'Unformatted Trip Summary'!F207</f>
        <v>0.14213165750000001</v>
      </c>
      <c r="G209" s="1">
        <f>'Unformatted Trip Summary'!G207</f>
        <v>3.9171368637000001</v>
      </c>
      <c r="H209" s="1">
        <f>'Unformatted Trip Summary'!H207</f>
        <v>9.3207679299999999E-2</v>
      </c>
    </row>
    <row r="210" spans="1:8" x14ac:dyDescent="0.2">
      <c r="A210" t="str">
        <f>'Unformatted Trip Summary'!A208</f>
        <v>03 WAIKATO</v>
      </c>
      <c r="B210" t="str">
        <f>'Unformatted Trip Summary'!J208</f>
        <v>2027/28</v>
      </c>
      <c r="C210" t="str">
        <f>'Unformatted Trip Summary'!I208</f>
        <v>Local Train</v>
      </c>
      <c r="D210">
        <f>'Unformatted Trip Summary'!D208</f>
        <v>2</v>
      </c>
      <c r="E210">
        <f>'Unformatted Trip Summary'!E208</f>
        <v>5</v>
      </c>
      <c r="F210" s="1">
        <f>'Unformatted Trip Summary'!F208</f>
        <v>0.158638003</v>
      </c>
      <c r="G210" s="1">
        <f>'Unformatted Trip Summary'!G208</f>
        <v>4.4838528404</v>
      </c>
      <c r="H210" s="1">
        <f>'Unformatted Trip Summary'!H208</f>
        <v>0.1066512677</v>
      </c>
    </row>
    <row r="211" spans="1:8" x14ac:dyDescent="0.2">
      <c r="A211" t="str">
        <f>'Unformatted Trip Summary'!A209</f>
        <v>03 WAIKATO</v>
      </c>
      <c r="B211" t="str">
        <f>'Unformatted Trip Summary'!J209</f>
        <v>2032/33</v>
      </c>
      <c r="C211" t="str">
        <f>'Unformatted Trip Summary'!I209</f>
        <v>Local Train</v>
      </c>
      <c r="D211">
        <f>'Unformatted Trip Summary'!D209</f>
        <v>2</v>
      </c>
      <c r="E211">
        <f>'Unformatted Trip Summary'!E209</f>
        <v>5</v>
      </c>
      <c r="F211" s="1">
        <f>'Unformatted Trip Summary'!F209</f>
        <v>0.16996753789999999</v>
      </c>
      <c r="G211" s="1">
        <f>'Unformatted Trip Summary'!G209</f>
        <v>4.8566827988999997</v>
      </c>
      <c r="H211" s="1">
        <f>'Unformatted Trip Summary'!H209</f>
        <v>0.11550030090000001</v>
      </c>
    </row>
    <row r="212" spans="1:8" x14ac:dyDescent="0.2">
      <c r="A212" t="str">
        <f>'Unformatted Trip Summary'!A210</f>
        <v>03 WAIKATO</v>
      </c>
      <c r="B212" t="str">
        <f>'Unformatted Trip Summary'!J210</f>
        <v>2037/38</v>
      </c>
      <c r="C212" t="str">
        <f>'Unformatted Trip Summary'!I210</f>
        <v>Local Train</v>
      </c>
      <c r="D212">
        <f>'Unformatted Trip Summary'!D210</f>
        <v>2</v>
      </c>
      <c r="E212">
        <f>'Unformatted Trip Summary'!E210</f>
        <v>5</v>
      </c>
      <c r="F212" s="1">
        <f>'Unformatted Trip Summary'!F210</f>
        <v>0.1783852148</v>
      </c>
      <c r="G212" s="1">
        <f>'Unformatted Trip Summary'!G210</f>
        <v>5.2129100055000004</v>
      </c>
      <c r="H212" s="1">
        <f>'Unformatted Trip Summary'!H210</f>
        <v>0.1239307441</v>
      </c>
    </row>
    <row r="213" spans="1:8" x14ac:dyDescent="0.2">
      <c r="A213" t="str">
        <f>'Unformatted Trip Summary'!A211</f>
        <v>03 WAIKATO</v>
      </c>
      <c r="B213" t="str">
        <f>'Unformatted Trip Summary'!J211</f>
        <v>2042/43</v>
      </c>
      <c r="C213" t="str">
        <f>'Unformatted Trip Summary'!I211</f>
        <v>Local Train</v>
      </c>
      <c r="D213">
        <f>'Unformatted Trip Summary'!D211</f>
        <v>2</v>
      </c>
      <c r="E213">
        <f>'Unformatted Trip Summary'!E211</f>
        <v>5</v>
      </c>
      <c r="F213" s="1">
        <f>'Unformatted Trip Summary'!F211</f>
        <v>0.18324634349999999</v>
      </c>
      <c r="G213" s="1">
        <f>'Unformatted Trip Summary'!G211</f>
        <v>5.4658111734999997</v>
      </c>
      <c r="H213" s="1">
        <f>'Unformatted Trip Summary'!H211</f>
        <v>0.12990452199999999</v>
      </c>
    </row>
    <row r="214" spans="1:8" x14ac:dyDescent="0.2">
      <c r="A214" t="str">
        <f>'Unformatted Trip Summary'!A212</f>
        <v>03 WAIKATO</v>
      </c>
      <c r="B214" t="str">
        <f>'Unformatted Trip Summary'!J212</f>
        <v>2012/13</v>
      </c>
      <c r="C214" t="str">
        <f>'Unformatted Trip Summary'!I212</f>
        <v>Local Bus</v>
      </c>
      <c r="D214">
        <f>'Unformatted Trip Summary'!D212</f>
        <v>81</v>
      </c>
      <c r="E214">
        <f>'Unformatted Trip Summary'!E212</f>
        <v>183</v>
      </c>
      <c r="F214" s="1">
        <f>'Unformatted Trip Summary'!F212</f>
        <v>5.7199103379</v>
      </c>
      <c r="G214" s="1">
        <f>'Unformatted Trip Summary'!G212</f>
        <v>54.303948532</v>
      </c>
      <c r="H214" s="1">
        <f>'Unformatted Trip Summary'!H212</f>
        <v>2.2088814398999999</v>
      </c>
    </row>
    <row r="215" spans="1:8" x14ac:dyDescent="0.2">
      <c r="A215" t="str">
        <f>'Unformatted Trip Summary'!A213</f>
        <v>03 WAIKATO</v>
      </c>
      <c r="B215" t="str">
        <f>'Unformatted Trip Summary'!J213</f>
        <v>2017/18</v>
      </c>
      <c r="C215" t="str">
        <f>'Unformatted Trip Summary'!I213</f>
        <v>Local Bus</v>
      </c>
      <c r="D215">
        <f>'Unformatted Trip Summary'!D213</f>
        <v>81</v>
      </c>
      <c r="E215">
        <f>'Unformatted Trip Summary'!E213</f>
        <v>183</v>
      </c>
      <c r="F215" s="1">
        <f>'Unformatted Trip Summary'!F213</f>
        <v>6.0962613693999996</v>
      </c>
      <c r="G215" s="1">
        <f>'Unformatted Trip Summary'!G213</f>
        <v>53.813466423000001</v>
      </c>
      <c r="H215" s="1">
        <f>'Unformatted Trip Summary'!H213</f>
        <v>2.3120554739000001</v>
      </c>
    </row>
    <row r="216" spans="1:8" x14ac:dyDescent="0.2">
      <c r="A216" t="str">
        <f>'Unformatted Trip Summary'!A214</f>
        <v>03 WAIKATO</v>
      </c>
      <c r="B216" t="str">
        <f>'Unformatted Trip Summary'!J214</f>
        <v>2022/23</v>
      </c>
      <c r="C216" t="str">
        <f>'Unformatted Trip Summary'!I214</f>
        <v>Local Bus</v>
      </c>
      <c r="D216">
        <f>'Unformatted Trip Summary'!D214</f>
        <v>81</v>
      </c>
      <c r="E216">
        <f>'Unformatted Trip Summary'!E214</f>
        <v>183</v>
      </c>
      <c r="F216" s="1">
        <f>'Unformatted Trip Summary'!F214</f>
        <v>6.3549353684999996</v>
      </c>
      <c r="G216" s="1">
        <f>'Unformatted Trip Summary'!G214</f>
        <v>53.920888531999999</v>
      </c>
      <c r="H216" s="1">
        <f>'Unformatted Trip Summary'!H214</f>
        <v>2.3919453655999998</v>
      </c>
    </row>
    <row r="217" spans="1:8" x14ac:dyDescent="0.2">
      <c r="A217" t="str">
        <f>'Unformatted Trip Summary'!A215</f>
        <v>03 WAIKATO</v>
      </c>
      <c r="B217" t="str">
        <f>'Unformatted Trip Summary'!J215</f>
        <v>2027/28</v>
      </c>
      <c r="C217" t="str">
        <f>'Unformatted Trip Summary'!I215</f>
        <v>Local Bus</v>
      </c>
      <c r="D217">
        <f>'Unformatted Trip Summary'!D215</f>
        <v>81</v>
      </c>
      <c r="E217">
        <f>'Unformatted Trip Summary'!E215</f>
        <v>183</v>
      </c>
      <c r="F217" s="1">
        <f>'Unformatted Trip Summary'!F215</f>
        <v>6.7914566711999997</v>
      </c>
      <c r="G217" s="1">
        <f>'Unformatted Trip Summary'!G215</f>
        <v>55.459936601000003</v>
      </c>
      <c r="H217" s="1">
        <f>'Unformatted Trip Summary'!H215</f>
        <v>2.5549861210000002</v>
      </c>
    </row>
    <row r="218" spans="1:8" x14ac:dyDescent="0.2">
      <c r="A218" t="str">
        <f>'Unformatted Trip Summary'!A216</f>
        <v>03 WAIKATO</v>
      </c>
      <c r="B218" t="str">
        <f>'Unformatted Trip Summary'!J216</f>
        <v>2032/33</v>
      </c>
      <c r="C218" t="str">
        <f>'Unformatted Trip Summary'!I216</f>
        <v>Local Bus</v>
      </c>
      <c r="D218">
        <f>'Unformatted Trip Summary'!D216</f>
        <v>81</v>
      </c>
      <c r="E218">
        <f>'Unformatted Trip Summary'!E216</f>
        <v>183</v>
      </c>
      <c r="F218" s="1">
        <f>'Unformatted Trip Summary'!F216</f>
        <v>7.1908860648999999</v>
      </c>
      <c r="G218" s="1">
        <f>'Unformatted Trip Summary'!G216</f>
        <v>56.827104564000003</v>
      </c>
      <c r="H218" s="1">
        <f>'Unformatted Trip Summary'!H216</f>
        <v>2.7033557610000001</v>
      </c>
    </row>
    <row r="219" spans="1:8" x14ac:dyDescent="0.2">
      <c r="A219" t="str">
        <f>'Unformatted Trip Summary'!A217</f>
        <v>03 WAIKATO</v>
      </c>
      <c r="B219" t="str">
        <f>'Unformatted Trip Summary'!J217</f>
        <v>2037/38</v>
      </c>
      <c r="C219" t="str">
        <f>'Unformatted Trip Summary'!I217</f>
        <v>Local Bus</v>
      </c>
      <c r="D219">
        <f>'Unformatted Trip Summary'!D217</f>
        <v>81</v>
      </c>
      <c r="E219">
        <f>'Unformatted Trip Summary'!E217</f>
        <v>183</v>
      </c>
      <c r="F219" s="1">
        <f>'Unformatted Trip Summary'!F217</f>
        <v>7.6466632158000003</v>
      </c>
      <c r="G219" s="1">
        <f>'Unformatted Trip Summary'!G217</f>
        <v>59.107489768000001</v>
      </c>
      <c r="H219" s="1">
        <f>'Unformatted Trip Summary'!H217</f>
        <v>2.8788910578000002</v>
      </c>
    </row>
    <row r="220" spans="1:8" x14ac:dyDescent="0.2">
      <c r="A220" t="str">
        <f>'Unformatted Trip Summary'!A218</f>
        <v>03 WAIKATO</v>
      </c>
      <c r="B220" t="str">
        <f>'Unformatted Trip Summary'!J218</f>
        <v>2042/43</v>
      </c>
      <c r="C220" t="str">
        <f>'Unformatted Trip Summary'!I218</f>
        <v>Local Bus</v>
      </c>
      <c r="D220">
        <f>'Unformatted Trip Summary'!D218</f>
        <v>81</v>
      </c>
      <c r="E220">
        <f>'Unformatted Trip Summary'!E218</f>
        <v>183</v>
      </c>
      <c r="F220" s="1">
        <f>'Unformatted Trip Summary'!F218</f>
        <v>8.0588552128999993</v>
      </c>
      <c r="G220" s="1">
        <f>'Unformatted Trip Summary'!G218</f>
        <v>61.434728213</v>
      </c>
      <c r="H220" s="1">
        <f>'Unformatted Trip Summary'!H218</f>
        <v>3.0458591541</v>
      </c>
    </row>
    <row r="221" spans="1:8" x14ac:dyDescent="0.2">
      <c r="A221" t="str">
        <f>'Unformatted Trip Summary'!A219</f>
        <v>03 WAIKATO</v>
      </c>
      <c r="B221" t="str">
        <f>'Unformatted Trip Summary'!J219</f>
        <v>2012/13</v>
      </c>
      <c r="C221" t="str">
        <f>'Unformatted Trip Summary'!I219</f>
        <v>Local Ferry</v>
      </c>
      <c r="D221">
        <f>'Unformatted Trip Summary'!D219</f>
        <v>3</v>
      </c>
      <c r="E221">
        <f>'Unformatted Trip Summary'!E219</f>
        <v>7</v>
      </c>
      <c r="F221" s="1">
        <f>'Unformatted Trip Summary'!F219</f>
        <v>0.2446181519</v>
      </c>
      <c r="G221" s="1">
        <f>'Unformatted Trip Summary'!G219</f>
        <v>0</v>
      </c>
      <c r="H221" s="1">
        <f>'Unformatted Trip Summary'!H219</f>
        <v>9.3342661800000004E-2</v>
      </c>
    </row>
    <row r="222" spans="1:8" x14ac:dyDescent="0.2">
      <c r="A222" t="str">
        <f>'Unformatted Trip Summary'!A220</f>
        <v>03 WAIKATO</v>
      </c>
      <c r="B222" t="str">
        <f>'Unformatted Trip Summary'!J220</f>
        <v>2017/18</v>
      </c>
      <c r="C222" t="str">
        <f>'Unformatted Trip Summary'!I220</f>
        <v>Local Ferry</v>
      </c>
      <c r="D222">
        <f>'Unformatted Trip Summary'!D220</f>
        <v>3</v>
      </c>
      <c r="E222">
        <f>'Unformatted Trip Summary'!E220</f>
        <v>7</v>
      </c>
      <c r="F222" s="1">
        <f>'Unformatted Trip Summary'!F220</f>
        <v>0.28753891269999998</v>
      </c>
      <c r="G222" s="1">
        <f>'Unformatted Trip Summary'!G220</f>
        <v>0</v>
      </c>
      <c r="H222" s="1">
        <f>'Unformatted Trip Summary'!H220</f>
        <v>0.11298378670000001</v>
      </c>
    </row>
    <row r="223" spans="1:8" x14ac:dyDescent="0.2">
      <c r="A223" t="str">
        <f>'Unformatted Trip Summary'!A221</f>
        <v>03 WAIKATO</v>
      </c>
      <c r="B223" t="str">
        <f>'Unformatted Trip Summary'!J221</f>
        <v>2022/23</v>
      </c>
      <c r="C223" t="str">
        <f>'Unformatted Trip Summary'!I221</f>
        <v>Local Ferry</v>
      </c>
      <c r="D223">
        <f>'Unformatted Trip Summary'!D221</f>
        <v>3</v>
      </c>
      <c r="E223">
        <f>'Unformatted Trip Summary'!E221</f>
        <v>7</v>
      </c>
      <c r="F223" s="1">
        <f>'Unformatted Trip Summary'!F221</f>
        <v>0.3031783985</v>
      </c>
      <c r="G223" s="1">
        <f>'Unformatted Trip Summary'!G221</f>
        <v>0</v>
      </c>
      <c r="H223" s="1">
        <f>'Unformatted Trip Summary'!H221</f>
        <v>0.11765181750000001</v>
      </c>
    </row>
    <row r="224" spans="1:8" x14ac:dyDescent="0.2">
      <c r="A224" t="str">
        <f>'Unformatted Trip Summary'!A222</f>
        <v>03 WAIKATO</v>
      </c>
      <c r="B224" t="str">
        <f>'Unformatted Trip Summary'!J222</f>
        <v>2027/28</v>
      </c>
      <c r="C224" t="str">
        <f>'Unformatted Trip Summary'!I222</f>
        <v>Local Ferry</v>
      </c>
      <c r="D224">
        <f>'Unformatted Trip Summary'!D222</f>
        <v>3</v>
      </c>
      <c r="E224">
        <f>'Unformatted Trip Summary'!E222</f>
        <v>7</v>
      </c>
      <c r="F224" s="1">
        <f>'Unformatted Trip Summary'!F222</f>
        <v>0.3355506378</v>
      </c>
      <c r="G224" s="1">
        <f>'Unformatted Trip Summary'!G222</f>
        <v>0</v>
      </c>
      <c r="H224" s="1">
        <f>'Unformatted Trip Summary'!H222</f>
        <v>0.1310279188</v>
      </c>
    </row>
    <row r="225" spans="1:8" x14ac:dyDescent="0.2">
      <c r="A225" t="str">
        <f>'Unformatted Trip Summary'!A223</f>
        <v>03 WAIKATO</v>
      </c>
      <c r="B225" t="str">
        <f>'Unformatted Trip Summary'!J223</f>
        <v>2032/33</v>
      </c>
      <c r="C225" t="str">
        <f>'Unformatted Trip Summary'!I223</f>
        <v>Local Ferry</v>
      </c>
      <c r="D225">
        <f>'Unformatted Trip Summary'!D223</f>
        <v>3</v>
      </c>
      <c r="E225">
        <f>'Unformatted Trip Summary'!E223</f>
        <v>7</v>
      </c>
      <c r="F225" s="1">
        <f>'Unformatted Trip Summary'!F223</f>
        <v>0.34914429340000003</v>
      </c>
      <c r="G225" s="1">
        <f>'Unformatted Trip Summary'!G223</f>
        <v>0</v>
      </c>
      <c r="H225" s="1">
        <f>'Unformatted Trip Summary'!H223</f>
        <v>0.13476014</v>
      </c>
    </row>
    <row r="226" spans="1:8" x14ac:dyDescent="0.2">
      <c r="A226" t="str">
        <f>'Unformatted Trip Summary'!A224</f>
        <v>03 WAIKATO</v>
      </c>
      <c r="B226" t="str">
        <f>'Unformatted Trip Summary'!J224</f>
        <v>2037/38</v>
      </c>
      <c r="C226" t="str">
        <f>'Unformatted Trip Summary'!I224</f>
        <v>Local Ferry</v>
      </c>
      <c r="D226">
        <f>'Unformatted Trip Summary'!D224</f>
        <v>3</v>
      </c>
      <c r="E226">
        <f>'Unformatted Trip Summary'!E224</f>
        <v>7</v>
      </c>
      <c r="F226" s="1">
        <f>'Unformatted Trip Summary'!F224</f>
        <v>0.3433485</v>
      </c>
      <c r="G226" s="1">
        <f>'Unformatted Trip Summary'!G224</f>
        <v>0</v>
      </c>
      <c r="H226" s="1">
        <f>'Unformatted Trip Summary'!H224</f>
        <v>0.1296033828</v>
      </c>
    </row>
    <row r="227" spans="1:8" x14ac:dyDescent="0.2">
      <c r="A227" t="str">
        <f>'Unformatted Trip Summary'!A225</f>
        <v>03 WAIKATO</v>
      </c>
      <c r="B227" t="str">
        <f>'Unformatted Trip Summary'!J225</f>
        <v>2042/43</v>
      </c>
      <c r="C227" t="str">
        <f>'Unformatted Trip Summary'!I225</f>
        <v>Local Ferry</v>
      </c>
      <c r="D227">
        <f>'Unformatted Trip Summary'!D225</f>
        <v>3</v>
      </c>
      <c r="E227">
        <f>'Unformatted Trip Summary'!E225</f>
        <v>7</v>
      </c>
      <c r="F227" s="1">
        <f>'Unformatted Trip Summary'!F225</f>
        <v>0.33064341720000001</v>
      </c>
      <c r="G227" s="1">
        <f>'Unformatted Trip Summary'!G225</f>
        <v>0</v>
      </c>
      <c r="H227" s="1">
        <f>'Unformatted Trip Summary'!H225</f>
        <v>0.12117115470000001</v>
      </c>
    </row>
    <row r="228" spans="1:8" x14ac:dyDescent="0.2">
      <c r="A228" t="str">
        <f>'Unformatted Trip Summary'!A226</f>
        <v>03 WAIKATO</v>
      </c>
      <c r="B228" t="str">
        <f>'Unformatted Trip Summary'!J226</f>
        <v>2012/13</v>
      </c>
      <c r="C228" t="str">
        <f>'Unformatted Trip Summary'!I226</f>
        <v>Other Household Travel</v>
      </c>
      <c r="D228">
        <f>'Unformatted Trip Summary'!D226</f>
        <v>17</v>
      </c>
      <c r="E228">
        <f>'Unformatted Trip Summary'!E226</f>
        <v>46</v>
      </c>
      <c r="F228" s="1">
        <f>'Unformatted Trip Summary'!F226</f>
        <v>1.8854250596</v>
      </c>
      <c r="G228" s="1">
        <f>'Unformatted Trip Summary'!G226</f>
        <v>0</v>
      </c>
      <c r="H228" s="1">
        <f>'Unformatted Trip Summary'!H226</f>
        <v>0.63404452519999999</v>
      </c>
    </row>
    <row r="229" spans="1:8" x14ac:dyDescent="0.2">
      <c r="A229" t="str">
        <f>'Unformatted Trip Summary'!A227</f>
        <v>03 WAIKATO</v>
      </c>
      <c r="B229" t="str">
        <f>'Unformatted Trip Summary'!J227</f>
        <v>2017/18</v>
      </c>
      <c r="C229" t="str">
        <f>'Unformatted Trip Summary'!I227</f>
        <v>Other Household Travel</v>
      </c>
      <c r="D229">
        <f>'Unformatted Trip Summary'!D227</f>
        <v>17</v>
      </c>
      <c r="E229">
        <f>'Unformatted Trip Summary'!E227</f>
        <v>46</v>
      </c>
      <c r="F229" s="1">
        <f>'Unformatted Trip Summary'!F227</f>
        <v>2.1109372978000001</v>
      </c>
      <c r="G229" s="1">
        <f>'Unformatted Trip Summary'!G227</f>
        <v>0</v>
      </c>
      <c r="H229" s="1">
        <f>'Unformatted Trip Summary'!H227</f>
        <v>0.68774651519999996</v>
      </c>
    </row>
    <row r="230" spans="1:8" x14ac:dyDescent="0.2">
      <c r="A230" t="str">
        <f>'Unformatted Trip Summary'!A228</f>
        <v>03 WAIKATO</v>
      </c>
      <c r="B230" t="str">
        <f>'Unformatted Trip Summary'!J228</f>
        <v>2022/23</v>
      </c>
      <c r="C230" t="str">
        <f>'Unformatted Trip Summary'!I228</f>
        <v>Other Household Travel</v>
      </c>
      <c r="D230">
        <f>'Unformatted Trip Summary'!D228</f>
        <v>17</v>
      </c>
      <c r="E230">
        <f>'Unformatted Trip Summary'!E228</f>
        <v>46</v>
      </c>
      <c r="F230" s="1">
        <f>'Unformatted Trip Summary'!F228</f>
        <v>2.3159901019000002</v>
      </c>
      <c r="G230" s="1">
        <f>'Unformatted Trip Summary'!G228</f>
        <v>0</v>
      </c>
      <c r="H230" s="1">
        <f>'Unformatted Trip Summary'!H228</f>
        <v>0.73058293100000005</v>
      </c>
    </row>
    <row r="231" spans="1:8" x14ac:dyDescent="0.2">
      <c r="A231" t="str">
        <f>'Unformatted Trip Summary'!A229</f>
        <v>03 WAIKATO</v>
      </c>
      <c r="B231" t="str">
        <f>'Unformatted Trip Summary'!J229</f>
        <v>2027/28</v>
      </c>
      <c r="C231" t="str">
        <f>'Unformatted Trip Summary'!I229</f>
        <v>Other Household Travel</v>
      </c>
      <c r="D231">
        <f>'Unformatted Trip Summary'!D229</f>
        <v>17</v>
      </c>
      <c r="E231">
        <f>'Unformatted Trip Summary'!E229</f>
        <v>46</v>
      </c>
      <c r="F231" s="1">
        <f>'Unformatted Trip Summary'!F229</f>
        <v>2.4531408495</v>
      </c>
      <c r="G231" s="1">
        <f>'Unformatted Trip Summary'!G229</f>
        <v>0</v>
      </c>
      <c r="H231" s="1">
        <f>'Unformatted Trip Summary'!H229</f>
        <v>0.74325035819999996</v>
      </c>
    </row>
    <row r="232" spans="1:8" x14ac:dyDescent="0.2">
      <c r="A232" t="str">
        <f>'Unformatted Trip Summary'!A230</f>
        <v>03 WAIKATO</v>
      </c>
      <c r="B232" t="str">
        <f>'Unformatted Trip Summary'!J230</f>
        <v>2032/33</v>
      </c>
      <c r="C232" t="str">
        <f>'Unformatted Trip Summary'!I230</f>
        <v>Other Household Travel</v>
      </c>
      <c r="D232">
        <f>'Unformatted Trip Summary'!D230</f>
        <v>17</v>
      </c>
      <c r="E232">
        <f>'Unformatted Trip Summary'!E230</f>
        <v>46</v>
      </c>
      <c r="F232" s="1">
        <f>'Unformatted Trip Summary'!F230</f>
        <v>2.5804062957</v>
      </c>
      <c r="G232" s="1">
        <f>'Unformatted Trip Summary'!G230</f>
        <v>0</v>
      </c>
      <c r="H232" s="1">
        <f>'Unformatted Trip Summary'!H230</f>
        <v>0.74423115289999997</v>
      </c>
    </row>
    <row r="233" spans="1:8" x14ac:dyDescent="0.2">
      <c r="A233" t="str">
        <f>'Unformatted Trip Summary'!A231</f>
        <v>03 WAIKATO</v>
      </c>
      <c r="B233" t="str">
        <f>'Unformatted Trip Summary'!J231</f>
        <v>2037/38</v>
      </c>
      <c r="C233" t="str">
        <f>'Unformatted Trip Summary'!I231</f>
        <v>Other Household Travel</v>
      </c>
      <c r="D233">
        <f>'Unformatted Trip Summary'!D231</f>
        <v>17</v>
      </c>
      <c r="E233">
        <f>'Unformatted Trip Summary'!E231</f>
        <v>46</v>
      </c>
      <c r="F233" s="1">
        <f>'Unformatted Trip Summary'!F231</f>
        <v>2.6090711172000001</v>
      </c>
      <c r="G233" s="1">
        <f>'Unformatted Trip Summary'!G231</f>
        <v>0</v>
      </c>
      <c r="H233" s="1">
        <f>'Unformatted Trip Summary'!H231</f>
        <v>0.74053890310000003</v>
      </c>
    </row>
    <row r="234" spans="1:8" x14ac:dyDescent="0.2">
      <c r="A234" t="str">
        <f>'Unformatted Trip Summary'!A232</f>
        <v>03 WAIKATO</v>
      </c>
      <c r="B234" t="str">
        <f>'Unformatted Trip Summary'!J232</f>
        <v>2042/43</v>
      </c>
      <c r="C234" t="str">
        <f>'Unformatted Trip Summary'!I232</f>
        <v>Other Household Travel</v>
      </c>
      <c r="D234">
        <f>'Unformatted Trip Summary'!D232</f>
        <v>17</v>
      </c>
      <c r="E234">
        <f>'Unformatted Trip Summary'!E232</f>
        <v>46</v>
      </c>
      <c r="F234" s="1">
        <f>'Unformatted Trip Summary'!F232</f>
        <v>2.4973065691</v>
      </c>
      <c r="G234" s="1">
        <f>'Unformatted Trip Summary'!G232</f>
        <v>0</v>
      </c>
      <c r="H234" s="1">
        <f>'Unformatted Trip Summary'!H232</f>
        <v>0.71404514519999995</v>
      </c>
    </row>
    <row r="235" spans="1:8" x14ac:dyDescent="0.2">
      <c r="A235" t="str">
        <f>'Unformatted Trip Summary'!A233</f>
        <v>03 WAIKATO</v>
      </c>
      <c r="B235" t="str">
        <f>'Unformatted Trip Summary'!J233</f>
        <v>2012/13</v>
      </c>
      <c r="C235" t="str">
        <f>'Unformatted Trip Summary'!I233</f>
        <v>Air/Non-Local PT</v>
      </c>
      <c r="D235">
        <f>'Unformatted Trip Summary'!D233</f>
        <v>18</v>
      </c>
      <c r="E235">
        <f>'Unformatted Trip Summary'!E233</f>
        <v>32</v>
      </c>
      <c r="F235" s="1">
        <f>'Unformatted Trip Summary'!F233</f>
        <v>0.92406733060000001</v>
      </c>
      <c r="G235" s="1">
        <f>'Unformatted Trip Summary'!G233</f>
        <v>54.768337629999998</v>
      </c>
      <c r="H235" s="1">
        <f>'Unformatted Trip Summary'!H233</f>
        <v>2.3234459650999999</v>
      </c>
    </row>
    <row r="236" spans="1:8" x14ac:dyDescent="0.2">
      <c r="A236" t="str">
        <f>'Unformatted Trip Summary'!A234</f>
        <v>03 WAIKATO</v>
      </c>
      <c r="B236" t="str">
        <f>'Unformatted Trip Summary'!J234</f>
        <v>2017/18</v>
      </c>
      <c r="C236" t="str">
        <f>'Unformatted Trip Summary'!I234</f>
        <v>Air/Non-Local PT</v>
      </c>
      <c r="D236">
        <f>'Unformatted Trip Summary'!D234</f>
        <v>18</v>
      </c>
      <c r="E236">
        <f>'Unformatted Trip Summary'!E234</f>
        <v>32</v>
      </c>
      <c r="F236" s="1">
        <f>'Unformatted Trip Summary'!F234</f>
        <v>1.1250877552</v>
      </c>
      <c r="G236" s="1">
        <f>'Unformatted Trip Summary'!G234</f>
        <v>62.634060808000001</v>
      </c>
      <c r="H236" s="1">
        <f>'Unformatted Trip Summary'!H234</f>
        <v>2.8764451037000001</v>
      </c>
    </row>
    <row r="237" spans="1:8" x14ac:dyDescent="0.2">
      <c r="A237" t="str">
        <f>'Unformatted Trip Summary'!A235</f>
        <v>03 WAIKATO</v>
      </c>
      <c r="B237" t="str">
        <f>'Unformatted Trip Summary'!J235</f>
        <v>2022/23</v>
      </c>
      <c r="C237" t="str">
        <f>'Unformatted Trip Summary'!I235</f>
        <v>Air/Non-Local PT</v>
      </c>
      <c r="D237">
        <f>'Unformatted Trip Summary'!D235</f>
        <v>18</v>
      </c>
      <c r="E237">
        <f>'Unformatted Trip Summary'!E235</f>
        <v>32</v>
      </c>
      <c r="F237" s="1">
        <f>'Unformatted Trip Summary'!F235</f>
        <v>1.3052989923</v>
      </c>
      <c r="G237" s="1">
        <f>'Unformatted Trip Summary'!G235</f>
        <v>65.980986221999999</v>
      </c>
      <c r="H237" s="1">
        <f>'Unformatted Trip Summary'!H235</f>
        <v>3.3461208493000001</v>
      </c>
    </row>
    <row r="238" spans="1:8" x14ac:dyDescent="0.2">
      <c r="A238" t="str">
        <f>'Unformatted Trip Summary'!A236</f>
        <v>03 WAIKATO</v>
      </c>
      <c r="B238" t="str">
        <f>'Unformatted Trip Summary'!J236</f>
        <v>2027/28</v>
      </c>
      <c r="C238" t="str">
        <f>'Unformatted Trip Summary'!I236</f>
        <v>Air/Non-Local PT</v>
      </c>
      <c r="D238">
        <f>'Unformatted Trip Summary'!D236</f>
        <v>18</v>
      </c>
      <c r="E238">
        <f>'Unformatted Trip Summary'!E236</f>
        <v>32</v>
      </c>
      <c r="F238" s="1">
        <f>'Unformatted Trip Summary'!F236</f>
        <v>1.5363519937000001</v>
      </c>
      <c r="G238" s="1">
        <f>'Unformatted Trip Summary'!G236</f>
        <v>71.410014904999997</v>
      </c>
      <c r="H238" s="1">
        <f>'Unformatted Trip Summary'!H236</f>
        <v>3.9988873081</v>
      </c>
    </row>
    <row r="239" spans="1:8" x14ac:dyDescent="0.2">
      <c r="A239" t="str">
        <f>'Unformatted Trip Summary'!A237</f>
        <v>03 WAIKATO</v>
      </c>
      <c r="B239" t="str">
        <f>'Unformatted Trip Summary'!J237</f>
        <v>2032/33</v>
      </c>
      <c r="C239" t="str">
        <f>'Unformatted Trip Summary'!I237</f>
        <v>Air/Non-Local PT</v>
      </c>
      <c r="D239">
        <f>'Unformatted Trip Summary'!D237</f>
        <v>18</v>
      </c>
      <c r="E239">
        <f>'Unformatted Trip Summary'!E237</f>
        <v>32</v>
      </c>
      <c r="F239" s="1">
        <f>'Unformatted Trip Summary'!F237</f>
        <v>1.7421235163</v>
      </c>
      <c r="G239" s="1">
        <f>'Unformatted Trip Summary'!G237</f>
        <v>78.537010249999994</v>
      </c>
      <c r="H239" s="1">
        <f>'Unformatted Trip Summary'!H237</f>
        <v>4.5800394821000001</v>
      </c>
    </row>
    <row r="240" spans="1:8" x14ac:dyDescent="0.2">
      <c r="A240" t="str">
        <f>'Unformatted Trip Summary'!A238</f>
        <v>03 WAIKATO</v>
      </c>
      <c r="B240" t="str">
        <f>'Unformatted Trip Summary'!J238</f>
        <v>2037/38</v>
      </c>
      <c r="C240" t="str">
        <f>'Unformatted Trip Summary'!I238</f>
        <v>Air/Non-Local PT</v>
      </c>
      <c r="D240">
        <f>'Unformatted Trip Summary'!D238</f>
        <v>18</v>
      </c>
      <c r="E240">
        <f>'Unformatted Trip Summary'!E238</f>
        <v>32</v>
      </c>
      <c r="F240" s="1">
        <f>'Unformatted Trip Summary'!F238</f>
        <v>1.9176510794999999</v>
      </c>
      <c r="G240" s="1">
        <f>'Unformatted Trip Summary'!G238</f>
        <v>88.194570710999997</v>
      </c>
      <c r="H240" s="1">
        <f>'Unformatted Trip Summary'!H238</f>
        <v>4.9360183427999997</v>
      </c>
    </row>
    <row r="241" spans="1:8" x14ac:dyDescent="0.2">
      <c r="A241" t="str">
        <f>'Unformatted Trip Summary'!A239</f>
        <v>03 WAIKATO</v>
      </c>
      <c r="B241" t="str">
        <f>'Unformatted Trip Summary'!J239</f>
        <v>2042/43</v>
      </c>
      <c r="C241" t="str">
        <f>'Unformatted Trip Summary'!I239</f>
        <v>Air/Non-Local PT</v>
      </c>
      <c r="D241">
        <f>'Unformatted Trip Summary'!D239</f>
        <v>18</v>
      </c>
      <c r="E241">
        <f>'Unformatted Trip Summary'!E239</f>
        <v>32</v>
      </c>
      <c r="F241" s="1">
        <f>'Unformatted Trip Summary'!F239</f>
        <v>2.0943938629000001</v>
      </c>
      <c r="G241" s="1">
        <f>'Unformatted Trip Summary'!G239</f>
        <v>99.371082638000004</v>
      </c>
      <c r="H241" s="1">
        <f>'Unformatted Trip Summary'!H239</f>
        <v>5.2768829593</v>
      </c>
    </row>
    <row r="242" spans="1:8" x14ac:dyDescent="0.2">
      <c r="A242" t="str">
        <f>'Unformatted Trip Summary'!A240</f>
        <v>03 WAIKATO</v>
      </c>
      <c r="B242" t="str">
        <f>'Unformatted Trip Summary'!J240</f>
        <v>2012/13</v>
      </c>
      <c r="C242" t="str">
        <f>'Unformatted Trip Summary'!I240</f>
        <v>Non-Household Travel</v>
      </c>
      <c r="D242">
        <f>'Unformatted Trip Summary'!D240</f>
        <v>52</v>
      </c>
      <c r="E242">
        <f>'Unformatted Trip Summary'!E240</f>
        <v>244</v>
      </c>
      <c r="F242" s="1">
        <f>'Unformatted Trip Summary'!F240</f>
        <v>8.7527428694000005</v>
      </c>
      <c r="G242" s="1">
        <f>'Unformatted Trip Summary'!G240</f>
        <v>166.86894676</v>
      </c>
      <c r="H242" s="1">
        <f>'Unformatted Trip Summary'!H240</f>
        <v>3.3327759721999999</v>
      </c>
    </row>
    <row r="243" spans="1:8" x14ac:dyDescent="0.2">
      <c r="A243" t="str">
        <f>'Unformatted Trip Summary'!A241</f>
        <v>03 WAIKATO</v>
      </c>
      <c r="B243" t="str">
        <f>'Unformatted Trip Summary'!J241</f>
        <v>2017/18</v>
      </c>
      <c r="C243" t="str">
        <f>'Unformatted Trip Summary'!I241</f>
        <v>Non-Household Travel</v>
      </c>
      <c r="D243">
        <f>'Unformatted Trip Summary'!D241</f>
        <v>52</v>
      </c>
      <c r="E243">
        <f>'Unformatted Trip Summary'!E241</f>
        <v>244</v>
      </c>
      <c r="F243" s="1">
        <f>'Unformatted Trip Summary'!F241</f>
        <v>9.8107755917000006</v>
      </c>
      <c r="G243" s="1">
        <f>'Unformatted Trip Summary'!G241</f>
        <v>185.38545687999999</v>
      </c>
      <c r="H243" s="1">
        <f>'Unformatted Trip Summary'!H241</f>
        <v>3.7214320117000002</v>
      </c>
    </row>
    <row r="244" spans="1:8" x14ac:dyDescent="0.2">
      <c r="A244" t="str">
        <f>'Unformatted Trip Summary'!A242</f>
        <v>03 WAIKATO</v>
      </c>
      <c r="B244" t="str">
        <f>'Unformatted Trip Summary'!J242</f>
        <v>2022/23</v>
      </c>
      <c r="C244" t="str">
        <f>'Unformatted Trip Summary'!I242</f>
        <v>Non-Household Travel</v>
      </c>
      <c r="D244">
        <f>'Unformatted Trip Summary'!D242</f>
        <v>52</v>
      </c>
      <c r="E244">
        <f>'Unformatted Trip Summary'!E242</f>
        <v>244</v>
      </c>
      <c r="F244" s="1">
        <f>'Unformatted Trip Summary'!F242</f>
        <v>10.129382171</v>
      </c>
      <c r="G244" s="1">
        <f>'Unformatted Trip Summary'!G242</f>
        <v>192.38651579</v>
      </c>
      <c r="H244" s="1">
        <f>'Unformatted Trip Summary'!H242</f>
        <v>3.8492908156999999</v>
      </c>
    </row>
    <row r="245" spans="1:8" x14ac:dyDescent="0.2">
      <c r="A245" t="str">
        <f>'Unformatted Trip Summary'!A243</f>
        <v>03 WAIKATO</v>
      </c>
      <c r="B245" t="str">
        <f>'Unformatted Trip Summary'!J243</f>
        <v>2027/28</v>
      </c>
      <c r="C245" t="str">
        <f>'Unformatted Trip Summary'!I243</f>
        <v>Non-Household Travel</v>
      </c>
      <c r="D245">
        <f>'Unformatted Trip Summary'!D243</f>
        <v>52</v>
      </c>
      <c r="E245">
        <f>'Unformatted Trip Summary'!E243</f>
        <v>244</v>
      </c>
      <c r="F245" s="1">
        <f>'Unformatted Trip Summary'!F243</f>
        <v>10.787904995</v>
      </c>
      <c r="G245" s="1">
        <f>'Unformatted Trip Summary'!G243</f>
        <v>208.15851117</v>
      </c>
      <c r="H245" s="1">
        <f>'Unformatted Trip Summary'!H243</f>
        <v>4.1454031931999999</v>
      </c>
    </row>
    <row r="246" spans="1:8" x14ac:dyDescent="0.2">
      <c r="A246" t="str">
        <f>'Unformatted Trip Summary'!A244</f>
        <v>03 WAIKATO</v>
      </c>
      <c r="B246" t="str">
        <f>'Unformatted Trip Summary'!J244</f>
        <v>2032/33</v>
      </c>
      <c r="C246" t="str">
        <f>'Unformatted Trip Summary'!I244</f>
        <v>Non-Household Travel</v>
      </c>
      <c r="D246">
        <f>'Unformatted Trip Summary'!D244</f>
        <v>52</v>
      </c>
      <c r="E246">
        <f>'Unformatted Trip Summary'!E244</f>
        <v>244</v>
      </c>
      <c r="F246" s="1">
        <f>'Unformatted Trip Summary'!F244</f>
        <v>11.412044238</v>
      </c>
      <c r="G246" s="1">
        <f>'Unformatted Trip Summary'!G244</f>
        <v>224.80162383999999</v>
      </c>
      <c r="H246" s="1">
        <f>'Unformatted Trip Summary'!H244</f>
        <v>4.4501819550999997</v>
      </c>
    </row>
    <row r="247" spans="1:8" x14ac:dyDescent="0.2">
      <c r="A247" t="str">
        <f>'Unformatted Trip Summary'!A245</f>
        <v>03 WAIKATO</v>
      </c>
      <c r="B247" t="str">
        <f>'Unformatted Trip Summary'!J245</f>
        <v>2037/38</v>
      </c>
      <c r="C247" t="str">
        <f>'Unformatted Trip Summary'!I245</f>
        <v>Non-Household Travel</v>
      </c>
      <c r="D247">
        <f>'Unformatted Trip Summary'!D245</f>
        <v>52</v>
      </c>
      <c r="E247">
        <f>'Unformatted Trip Summary'!E245</f>
        <v>244</v>
      </c>
      <c r="F247" s="1">
        <f>'Unformatted Trip Summary'!F245</f>
        <v>12.170055550000001</v>
      </c>
      <c r="G247" s="1">
        <f>'Unformatted Trip Summary'!G245</f>
        <v>242.94849549</v>
      </c>
      <c r="H247" s="1">
        <f>'Unformatted Trip Summary'!H245</f>
        <v>4.7950214493000001</v>
      </c>
    </row>
    <row r="248" spans="1:8" x14ac:dyDescent="0.2">
      <c r="A248" t="str">
        <f>'Unformatted Trip Summary'!A246</f>
        <v>03 WAIKATO</v>
      </c>
      <c r="B248" t="str">
        <f>'Unformatted Trip Summary'!J246</f>
        <v>2042/43</v>
      </c>
      <c r="C248" t="str">
        <f>'Unformatted Trip Summary'!I246</f>
        <v>Non-Household Travel</v>
      </c>
      <c r="D248">
        <f>'Unformatted Trip Summary'!D246</f>
        <v>52</v>
      </c>
      <c r="E248">
        <f>'Unformatted Trip Summary'!E246</f>
        <v>244</v>
      </c>
      <c r="F248" s="1">
        <f>'Unformatted Trip Summary'!F246</f>
        <v>12.890645868</v>
      </c>
      <c r="G248" s="1">
        <f>'Unformatted Trip Summary'!G246</f>
        <v>260.24550664999998</v>
      </c>
      <c r="H248" s="1">
        <f>'Unformatted Trip Summary'!H246</f>
        <v>5.1216806647000004</v>
      </c>
    </row>
    <row r="249" spans="1:8" x14ac:dyDescent="0.2">
      <c r="A249" t="str">
        <f>'Unformatted Trip Summary'!A247</f>
        <v>04 BAY OF PLENTY</v>
      </c>
      <c r="B249" t="str">
        <f>'Unformatted Trip Summary'!J247</f>
        <v>2012/13</v>
      </c>
      <c r="C249" t="str">
        <f>'Unformatted Trip Summary'!I247</f>
        <v>Pedestrian</v>
      </c>
      <c r="D249">
        <f>'Unformatted Trip Summary'!D247</f>
        <v>436</v>
      </c>
      <c r="E249">
        <f>'Unformatted Trip Summary'!E247</f>
        <v>1419</v>
      </c>
      <c r="F249" s="1">
        <f>'Unformatted Trip Summary'!F247</f>
        <v>43.402809341999998</v>
      </c>
      <c r="G249" s="1">
        <f>'Unformatted Trip Summary'!G247</f>
        <v>35.579183637</v>
      </c>
      <c r="H249" s="1">
        <f>'Unformatted Trip Summary'!H247</f>
        <v>9.1706746114000008</v>
      </c>
    </row>
    <row r="250" spans="1:8" x14ac:dyDescent="0.2">
      <c r="A250" t="str">
        <f>'Unformatted Trip Summary'!A248</f>
        <v>04 BAY OF PLENTY</v>
      </c>
      <c r="B250" t="str">
        <f>'Unformatted Trip Summary'!J248</f>
        <v>2017/18</v>
      </c>
      <c r="C250" t="str">
        <f>'Unformatted Trip Summary'!I248</f>
        <v>Pedestrian</v>
      </c>
      <c r="D250">
        <f>'Unformatted Trip Summary'!D248</f>
        <v>436</v>
      </c>
      <c r="E250">
        <f>'Unformatted Trip Summary'!E248</f>
        <v>1419</v>
      </c>
      <c r="F250" s="1">
        <f>'Unformatted Trip Summary'!F248</f>
        <v>45.934142506999997</v>
      </c>
      <c r="G250" s="1">
        <f>'Unformatted Trip Summary'!G248</f>
        <v>36.550679711999997</v>
      </c>
      <c r="H250" s="1">
        <f>'Unformatted Trip Summary'!H248</f>
        <v>9.6234601037999994</v>
      </c>
    </row>
    <row r="251" spans="1:8" x14ac:dyDescent="0.2">
      <c r="A251" t="str">
        <f>'Unformatted Trip Summary'!A249</f>
        <v>04 BAY OF PLENTY</v>
      </c>
      <c r="B251" t="str">
        <f>'Unformatted Trip Summary'!J249</f>
        <v>2022/23</v>
      </c>
      <c r="C251" t="str">
        <f>'Unformatted Trip Summary'!I249</f>
        <v>Pedestrian</v>
      </c>
      <c r="D251">
        <f>'Unformatted Trip Summary'!D249</f>
        <v>436</v>
      </c>
      <c r="E251">
        <f>'Unformatted Trip Summary'!E249</f>
        <v>1419</v>
      </c>
      <c r="F251" s="1">
        <f>'Unformatted Trip Summary'!F249</f>
        <v>49.685100239</v>
      </c>
      <c r="G251" s="1">
        <f>'Unformatted Trip Summary'!G249</f>
        <v>38.541227867000003</v>
      </c>
      <c r="H251" s="1">
        <f>'Unformatted Trip Summary'!H249</f>
        <v>10.301146993</v>
      </c>
    </row>
    <row r="252" spans="1:8" x14ac:dyDescent="0.2">
      <c r="A252" t="str">
        <f>'Unformatted Trip Summary'!A250</f>
        <v>04 BAY OF PLENTY</v>
      </c>
      <c r="B252" t="str">
        <f>'Unformatted Trip Summary'!J250</f>
        <v>2027/28</v>
      </c>
      <c r="C252" t="str">
        <f>'Unformatted Trip Summary'!I250</f>
        <v>Pedestrian</v>
      </c>
      <c r="D252">
        <f>'Unformatted Trip Summary'!D250</f>
        <v>436</v>
      </c>
      <c r="E252">
        <f>'Unformatted Trip Summary'!E250</f>
        <v>1419</v>
      </c>
      <c r="F252" s="1">
        <f>'Unformatted Trip Summary'!F250</f>
        <v>53.768865067</v>
      </c>
      <c r="G252" s="1">
        <f>'Unformatted Trip Summary'!G250</f>
        <v>40.175542599000003</v>
      </c>
      <c r="H252" s="1">
        <f>'Unformatted Trip Summary'!H250</f>
        <v>10.910594609</v>
      </c>
    </row>
    <row r="253" spans="1:8" x14ac:dyDescent="0.2">
      <c r="A253" t="str">
        <f>'Unformatted Trip Summary'!A251</f>
        <v>04 BAY OF PLENTY</v>
      </c>
      <c r="B253" t="str">
        <f>'Unformatted Trip Summary'!J251</f>
        <v>2032/33</v>
      </c>
      <c r="C253" t="str">
        <f>'Unformatted Trip Summary'!I251</f>
        <v>Pedestrian</v>
      </c>
      <c r="D253">
        <f>'Unformatted Trip Summary'!D251</f>
        <v>436</v>
      </c>
      <c r="E253">
        <f>'Unformatted Trip Summary'!E251</f>
        <v>1419</v>
      </c>
      <c r="F253" s="1">
        <f>'Unformatted Trip Summary'!F251</f>
        <v>57.597267168000002</v>
      </c>
      <c r="G253" s="1">
        <f>'Unformatted Trip Summary'!G251</f>
        <v>41.465039760000003</v>
      </c>
      <c r="H253" s="1">
        <f>'Unformatted Trip Summary'!H251</f>
        <v>11.403210272000001</v>
      </c>
    </row>
    <row r="254" spans="1:8" x14ac:dyDescent="0.2">
      <c r="A254" t="str">
        <f>'Unformatted Trip Summary'!A252</f>
        <v>04 BAY OF PLENTY</v>
      </c>
      <c r="B254" t="str">
        <f>'Unformatted Trip Summary'!J252</f>
        <v>2037/38</v>
      </c>
      <c r="C254" t="str">
        <f>'Unformatted Trip Summary'!I252</f>
        <v>Pedestrian</v>
      </c>
      <c r="D254">
        <f>'Unformatted Trip Summary'!D252</f>
        <v>436</v>
      </c>
      <c r="E254">
        <f>'Unformatted Trip Summary'!E252</f>
        <v>1419</v>
      </c>
      <c r="F254" s="1">
        <f>'Unformatted Trip Summary'!F252</f>
        <v>61.473643576000001</v>
      </c>
      <c r="G254" s="1">
        <f>'Unformatted Trip Summary'!G252</f>
        <v>43.002514327999997</v>
      </c>
      <c r="H254" s="1">
        <f>'Unformatted Trip Summary'!H252</f>
        <v>11.890909710000001</v>
      </c>
    </row>
    <row r="255" spans="1:8" x14ac:dyDescent="0.2">
      <c r="A255" t="str">
        <f>'Unformatted Trip Summary'!A253</f>
        <v>04 BAY OF PLENTY</v>
      </c>
      <c r="B255" t="str">
        <f>'Unformatted Trip Summary'!J253</f>
        <v>2042/43</v>
      </c>
      <c r="C255" t="str">
        <f>'Unformatted Trip Summary'!I253</f>
        <v>Pedestrian</v>
      </c>
      <c r="D255">
        <f>'Unformatted Trip Summary'!D253</f>
        <v>436</v>
      </c>
      <c r="E255">
        <f>'Unformatted Trip Summary'!E253</f>
        <v>1419</v>
      </c>
      <c r="F255" s="1">
        <f>'Unformatted Trip Summary'!F253</f>
        <v>65.171720121000007</v>
      </c>
      <c r="G255" s="1">
        <f>'Unformatted Trip Summary'!G253</f>
        <v>44.398519757000003</v>
      </c>
      <c r="H255" s="1">
        <f>'Unformatted Trip Summary'!H253</f>
        <v>12.317281894000001</v>
      </c>
    </row>
    <row r="256" spans="1:8" x14ac:dyDescent="0.2">
      <c r="A256" t="str">
        <f>'Unformatted Trip Summary'!A254</f>
        <v>04 BAY OF PLENTY</v>
      </c>
      <c r="B256" t="str">
        <f>'Unformatted Trip Summary'!J254</f>
        <v>2012/13</v>
      </c>
      <c r="C256" t="str">
        <f>'Unformatted Trip Summary'!I254</f>
        <v>Cyclist</v>
      </c>
      <c r="D256">
        <f>'Unformatted Trip Summary'!D254</f>
        <v>53</v>
      </c>
      <c r="E256">
        <f>'Unformatted Trip Summary'!E254</f>
        <v>183</v>
      </c>
      <c r="F256" s="1">
        <f>'Unformatted Trip Summary'!F254</f>
        <v>5.1579391552000002</v>
      </c>
      <c r="G256" s="1">
        <f>'Unformatted Trip Summary'!G254</f>
        <v>8.5028812633000008</v>
      </c>
      <c r="H256" s="1">
        <f>'Unformatted Trip Summary'!H254</f>
        <v>0.91801276549999999</v>
      </c>
    </row>
    <row r="257" spans="1:8" x14ac:dyDescent="0.2">
      <c r="A257" t="str">
        <f>'Unformatted Trip Summary'!A255</f>
        <v>04 BAY OF PLENTY</v>
      </c>
      <c r="B257" t="str">
        <f>'Unformatted Trip Summary'!J255</f>
        <v>2017/18</v>
      </c>
      <c r="C257" t="str">
        <f>'Unformatted Trip Summary'!I255</f>
        <v>Cyclist</v>
      </c>
      <c r="D257">
        <f>'Unformatted Trip Summary'!D255</f>
        <v>53</v>
      </c>
      <c r="E257">
        <f>'Unformatted Trip Summary'!E255</f>
        <v>183</v>
      </c>
      <c r="F257" s="1">
        <f>'Unformatted Trip Summary'!F255</f>
        <v>5.2308373600999998</v>
      </c>
      <c r="G257" s="1">
        <f>'Unformatted Trip Summary'!G255</f>
        <v>8.6485852841999993</v>
      </c>
      <c r="H257" s="1">
        <f>'Unformatted Trip Summary'!H255</f>
        <v>0.91928520739999997</v>
      </c>
    </row>
    <row r="258" spans="1:8" x14ac:dyDescent="0.2">
      <c r="A258" t="str">
        <f>'Unformatted Trip Summary'!A256</f>
        <v>04 BAY OF PLENTY</v>
      </c>
      <c r="B258" t="str">
        <f>'Unformatted Trip Summary'!J256</f>
        <v>2022/23</v>
      </c>
      <c r="C258" t="str">
        <f>'Unformatted Trip Summary'!I256</f>
        <v>Cyclist</v>
      </c>
      <c r="D258">
        <f>'Unformatted Trip Summary'!D256</f>
        <v>53</v>
      </c>
      <c r="E258">
        <f>'Unformatted Trip Summary'!E256</f>
        <v>183</v>
      </c>
      <c r="F258" s="1">
        <f>'Unformatted Trip Summary'!F256</f>
        <v>5.6097752838000003</v>
      </c>
      <c r="G258" s="1">
        <f>'Unformatted Trip Summary'!G256</f>
        <v>9.2925703774000006</v>
      </c>
      <c r="H258" s="1">
        <f>'Unformatted Trip Summary'!H256</f>
        <v>0.9693672431</v>
      </c>
    </row>
    <row r="259" spans="1:8" x14ac:dyDescent="0.2">
      <c r="A259" t="str">
        <f>'Unformatted Trip Summary'!A257</f>
        <v>04 BAY OF PLENTY</v>
      </c>
      <c r="B259" t="str">
        <f>'Unformatted Trip Summary'!J257</f>
        <v>2027/28</v>
      </c>
      <c r="C259" t="str">
        <f>'Unformatted Trip Summary'!I257</f>
        <v>Cyclist</v>
      </c>
      <c r="D259">
        <f>'Unformatted Trip Summary'!D257</f>
        <v>53</v>
      </c>
      <c r="E259">
        <f>'Unformatted Trip Summary'!E257</f>
        <v>183</v>
      </c>
      <c r="F259" s="1">
        <f>'Unformatted Trip Summary'!F257</f>
        <v>6.1446513771999998</v>
      </c>
      <c r="G259" s="1">
        <f>'Unformatted Trip Summary'!G257</f>
        <v>10.117998124</v>
      </c>
      <c r="H259" s="1">
        <f>'Unformatted Trip Summary'!H257</f>
        <v>1.0415897864999999</v>
      </c>
    </row>
    <row r="260" spans="1:8" x14ac:dyDescent="0.2">
      <c r="A260" t="str">
        <f>'Unformatted Trip Summary'!A258</f>
        <v>04 BAY OF PLENTY</v>
      </c>
      <c r="B260" t="str">
        <f>'Unformatted Trip Summary'!J258</f>
        <v>2032/33</v>
      </c>
      <c r="C260" t="str">
        <f>'Unformatted Trip Summary'!I258</f>
        <v>Cyclist</v>
      </c>
      <c r="D260">
        <f>'Unformatted Trip Summary'!D258</f>
        <v>53</v>
      </c>
      <c r="E260">
        <f>'Unformatted Trip Summary'!E258</f>
        <v>183</v>
      </c>
      <c r="F260" s="1">
        <f>'Unformatted Trip Summary'!F258</f>
        <v>6.6560279222999998</v>
      </c>
      <c r="G260" s="1">
        <f>'Unformatted Trip Summary'!G258</f>
        <v>10.840179726000001</v>
      </c>
      <c r="H260" s="1">
        <f>'Unformatted Trip Summary'!H258</f>
        <v>1.1066925942000001</v>
      </c>
    </row>
    <row r="261" spans="1:8" x14ac:dyDescent="0.2">
      <c r="A261" t="str">
        <f>'Unformatted Trip Summary'!A259</f>
        <v>04 BAY OF PLENTY</v>
      </c>
      <c r="B261" t="str">
        <f>'Unformatted Trip Summary'!J259</f>
        <v>2037/38</v>
      </c>
      <c r="C261" t="str">
        <f>'Unformatted Trip Summary'!I259</f>
        <v>Cyclist</v>
      </c>
      <c r="D261">
        <f>'Unformatted Trip Summary'!D259</f>
        <v>53</v>
      </c>
      <c r="E261">
        <f>'Unformatted Trip Summary'!E259</f>
        <v>183</v>
      </c>
      <c r="F261" s="1">
        <f>'Unformatted Trip Summary'!F259</f>
        <v>7.1434943006999996</v>
      </c>
      <c r="G261" s="1">
        <f>'Unformatted Trip Summary'!G259</f>
        <v>11.768116671</v>
      </c>
      <c r="H261" s="1">
        <f>'Unformatted Trip Summary'!H259</f>
        <v>1.1789529375000001</v>
      </c>
    </row>
    <row r="262" spans="1:8" x14ac:dyDescent="0.2">
      <c r="A262" t="str">
        <f>'Unformatted Trip Summary'!A260</f>
        <v>04 BAY OF PLENTY</v>
      </c>
      <c r="B262" t="str">
        <f>'Unformatted Trip Summary'!J260</f>
        <v>2042/43</v>
      </c>
      <c r="C262" t="str">
        <f>'Unformatted Trip Summary'!I260</f>
        <v>Cyclist</v>
      </c>
      <c r="D262">
        <f>'Unformatted Trip Summary'!D260</f>
        <v>53</v>
      </c>
      <c r="E262">
        <f>'Unformatted Trip Summary'!E260</f>
        <v>183</v>
      </c>
      <c r="F262" s="1">
        <f>'Unformatted Trip Summary'!F260</f>
        <v>7.6365353724</v>
      </c>
      <c r="G262" s="1">
        <f>'Unformatted Trip Summary'!G260</f>
        <v>12.739463131999999</v>
      </c>
      <c r="H262" s="1">
        <f>'Unformatted Trip Summary'!H260</f>
        <v>1.2542477613</v>
      </c>
    </row>
    <row r="263" spans="1:8" x14ac:dyDescent="0.2">
      <c r="A263" t="str">
        <f>'Unformatted Trip Summary'!A261</f>
        <v>04 BAY OF PLENTY</v>
      </c>
      <c r="B263" t="str">
        <f>'Unformatted Trip Summary'!J261</f>
        <v>2012/13</v>
      </c>
      <c r="C263" t="str">
        <f>'Unformatted Trip Summary'!I261</f>
        <v>Light Vehicle Driver</v>
      </c>
      <c r="D263">
        <f>'Unformatted Trip Summary'!D261</f>
        <v>777</v>
      </c>
      <c r="E263">
        <f>'Unformatted Trip Summary'!E261</f>
        <v>5260</v>
      </c>
      <c r="F263" s="1">
        <f>'Unformatted Trip Summary'!F261</f>
        <v>178.59124365</v>
      </c>
      <c r="G263" s="1">
        <f>'Unformatted Trip Summary'!G261</f>
        <v>1972.0747595</v>
      </c>
      <c r="H263" s="1">
        <f>'Unformatted Trip Summary'!H261</f>
        <v>45.59682093</v>
      </c>
    </row>
    <row r="264" spans="1:8" x14ac:dyDescent="0.2">
      <c r="A264" t="str">
        <f>'Unformatted Trip Summary'!A262</f>
        <v>04 BAY OF PLENTY</v>
      </c>
      <c r="B264" t="str">
        <f>'Unformatted Trip Summary'!J262</f>
        <v>2017/18</v>
      </c>
      <c r="C264" t="str">
        <f>'Unformatted Trip Summary'!I262</f>
        <v>Light Vehicle Driver</v>
      </c>
      <c r="D264">
        <f>'Unformatted Trip Summary'!D262</f>
        <v>777</v>
      </c>
      <c r="E264">
        <f>'Unformatted Trip Summary'!E262</f>
        <v>5260</v>
      </c>
      <c r="F264" s="1">
        <f>'Unformatted Trip Summary'!F262</f>
        <v>194.34567933</v>
      </c>
      <c r="G264" s="1">
        <f>'Unformatted Trip Summary'!G262</f>
        <v>2199.1335918999998</v>
      </c>
      <c r="H264" s="1">
        <f>'Unformatted Trip Summary'!H262</f>
        <v>50.319263319000001</v>
      </c>
    </row>
    <row r="265" spans="1:8" x14ac:dyDescent="0.2">
      <c r="A265" t="str">
        <f>'Unformatted Trip Summary'!A263</f>
        <v>04 BAY OF PLENTY</v>
      </c>
      <c r="B265" t="str">
        <f>'Unformatted Trip Summary'!J263</f>
        <v>2022/23</v>
      </c>
      <c r="C265" t="str">
        <f>'Unformatted Trip Summary'!I263</f>
        <v>Light Vehicle Driver</v>
      </c>
      <c r="D265">
        <f>'Unformatted Trip Summary'!D263</f>
        <v>777</v>
      </c>
      <c r="E265">
        <f>'Unformatted Trip Summary'!E263</f>
        <v>5260</v>
      </c>
      <c r="F265" s="1">
        <f>'Unformatted Trip Summary'!F263</f>
        <v>212.64479111</v>
      </c>
      <c r="G265" s="1">
        <f>'Unformatted Trip Summary'!G263</f>
        <v>2448.4970898000001</v>
      </c>
      <c r="H265" s="1">
        <f>'Unformatted Trip Summary'!H263</f>
        <v>55.569370247000002</v>
      </c>
    </row>
    <row r="266" spans="1:8" x14ac:dyDescent="0.2">
      <c r="A266" t="str">
        <f>'Unformatted Trip Summary'!A264</f>
        <v>04 BAY OF PLENTY</v>
      </c>
      <c r="B266" t="str">
        <f>'Unformatted Trip Summary'!J264</f>
        <v>2027/28</v>
      </c>
      <c r="C266" t="str">
        <f>'Unformatted Trip Summary'!I264</f>
        <v>Light Vehicle Driver</v>
      </c>
      <c r="D266">
        <f>'Unformatted Trip Summary'!D264</f>
        <v>777</v>
      </c>
      <c r="E266">
        <f>'Unformatted Trip Summary'!E264</f>
        <v>5260</v>
      </c>
      <c r="F266" s="1">
        <f>'Unformatted Trip Summary'!F264</f>
        <v>236.22519788</v>
      </c>
      <c r="G266" s="1">
        <f>'Unformatted Trip Summary'!G264</f>
        <v>2772.5101733000001</v>
      </c>
      <c r="H266" s="1">
        <f>'Unformatted Trip Summary'!H264</f>
        <v>62.473695186999997</v>
      </c>
    </row>
    <row r="267" spans="1:8" x14ac:dyDescent="0.2">
      <c r="A267" t="str">
        <f>'Unformatted Trip Summary'!A265</f>
        <v>04 BAY OF PLENTY</v>
      </c>
      <c r="B267" t="str">
        <f>'Unformatted Trip Summary'!J265</f>
        <v>2032/33</v>
      </c>
      <c r="C267" t="str">
        <f>'Unformatted Trip Summary'!I265</f>
        <v>Light Vehicle Driver</v>
      </c>
      <c r="D267">
        <f>'Unformatted Trip Summary'!D265</f>
        <v>777</v>
      </c>
      <c r="E267">
        <f>'Unformatted Trip Summary'!E265</f>
        <v>5260</v>
      </c>
      <c r="F267" s="1">
        <f>'Unformatted Trip Summary'!F265</f>
        <v>256.51564825999998</v>
      </c>
      <c r="G267" s="1">
        <f>'Unformatted Trip Summary'!G265</f>
        <v>3049.6628753</v>
      </c>
      <c r="H267" s="1">
        <f>'Unformatted Trip Summary'!H265</f>
        <v>68.414198896000002</v>
      </c>
    </row>
    <row r="268" spans="1:8" x14ac:dyDescent="0.2">
      <c r="A268" t="str">
        <f>'Unformatted Trip Summary'!A266</f>
        <v>04 BAY OF PLENTY</v>
      </c>
      <c r="B268" t="str">
        <f>'Unformatted Trip Summary'!J266</f>
        <v>2037/38</v>
      </c>
      <c r="C268" t="str">
        <f>'Unformatted Trip Summary'!I266</f>
        <v>Light Vehicle Driver</v>
      </c>
      <c r="D268">
        <f>'Unformatted Trip Summary'!D266</f>
        <v>777</v>
      </c>
      <c r="E268">
        <f>'Unformatted Trip Summary'!E266</f>
        <v>5260</v>
      </c>
      <c r="F268" s="1">
        <f>'Unformatted Trip Summary'!F266</f>
        <v>272.66662051999998</v>
      </c>
      <c r="G268" s="1">
        <f>'Unformatted Trip Summary'!G266</f>
        <v>3264.6283297999998</v>
      </c>
      <c r="H268" s="1">
        <f>'Unformatted Trip Summary'!H266</f>
        <v>73.175855677000001</v>
      </c>
    </row>
    <row r="269" spans="1:8" x14ac:dyDescent="0.2">
      <c r="A269" t="str">
        <f>'Unformatted Trip Summary'!A267</f>
        <v>04 BAY OF PLENTY</v>
      </c>
      <c r="B269" t="str">
        <f>'Unformatted Trip Summary'!J267</f>
        <v>2042/43</v>
      </c>
      <c r="C269" t="str">
        <f>'Unformatted Trip Summary'!I267</f>
        <v>Light Vehicle Driver</v>
      </c>
      <c r="D269">
        <f>'Unformatted Trip Summary'!D267</f>
        <v>777</v>
      </c>
      <c r="E269">
        <f>'Unformatted Trip Summary'!E267</f>
        <v>5260</v>
      </c>
      <c r="F269" s="1">
        <f>'Unformatted Trip Summary'!F267</f>
        <v>287.47025480000002</v>
      </c>
      <c r="G269" s="1">
        <f>'Unformatted Trip Summary'!G267</f>
        <v>3459.3979097000001</v>
      </c>
      <c r="H269" s="1">
        <f>'Unformatted Trip Summary'!H267</f>
        <v>77.565173388000005</v>
      </c>
    </row>
    <row r="270" spans="1:8" x14ac:dyDescent="0.2">
      <c r="A270" t="str">
        <f>'Unformatted Trip Summary'!A268</f>
        <v>04 BAY OF PLENTY</v>
      </c>
      <c r="B270" t="str">
        <f>'Unformatted Trip Summary'!J268</f>
        <v>2012/13</v>
      </c>
      <c r="C270" t="str">
        <f>'Unformatted Trip Summary'!I268</f>
        <v>Light Vehicle Passenger</v>
      </c>
      <c r="D270">
        <f>'Unformatted Trip Summary'!D268</f>
        <v>591</v>
      </c>
      <c r="E270">
        <f>'Unformatted Trip Summary'!E268</f>
        <v>2668</v>
      </c>
      <c r="F270" s="1">
        <f>'Unformatted Trip Summary'!F268</f>
        <v>98.719582360000004</v>
      </c>
      <c r="G270" s="1">
        <f>'Unformatted Trip Summary'!G268</f>
        <v>1385.2330090999999</v>
      </c>
      <c r="H270" s="1">
        <f>'Unformatted Trip Summary'!H268</f>
        <v>28.895615969000001</v>
      </c>
    </row>
    <row r="271" spans="1:8" x14ac:dyDescent="0.2">
      <c r="A271" t="str">
        <f>'Unformatted Trip Summary'!A269</f>
        <v>04 BAY OF PLENTY</v>
      </c>
      <c r="B271" t="str">
        <f>'Unformatted Trip Summary'!J269</f>
        <v>2017/18</v>
      </c>
      <c r="C271" t="str">
        <f>'Unformatted Trip Summary'!I269</f>
        <v>Light Vehicle Passenger</v>
      </c>
      <c r="D271">
        <f>'Unformatted Trip Summary'!D269</f>
        <v>591</v>
      </c>
      <c r="E271">
        <f>'Unformatted Trip Summary'!E269</f>
        <v>2668</v>
      </c>
      <c r="F271" s="1">
        <f>'Unformatted Trip Summary'!F269</f>
        <v>102.84895456</v>
      </c>
      <c r="G271" s="1">
        <f>'Unformatted Trip Summary'!G269</f>
        <v>1548.2250696999999</v>
      </c>
      <c r="H271" s="1">
        <f>'Unformatted Trip Summary'!H269</f>
        <v>31.525414812000001</v>
      </c>
    </row>
    <row r="272" spans="1:8" x14ac:dyDescent="0.2">
      <c r="A272" t="str">
        <f>'Unformatted Trip Summary'!A270</f>
        <v>04 BAY OF PLENTY</v>
      </c>
      <c r="B272" t="str">
        <f>'Unformatted Trip Summary'!J270</f>
        <v>2022/23</v>
      </c>
      <c r="C272" t="str">
        <f>'Unformatted Trip Summary'!I270</f>
        <v>Light Vehicle Passenger</v>
      </c>
      <c r="D272">
        <f>'Unformatted Trip Summary'!D270</f>
        <v>591</v>
      </c>
      <c r="E272">
        <f>'Unformatted Trip Summary'!E270</f>
        <v>2668</v>
      </c>
      <c r="F272" s="1">
        <f>'Unformatted Trip Summary'!F270</f>
        <v>111.25140664</v>
      </c>
      <c r="G272" s="1">
        <f>'Unformatted Trip Summary'!G270</f>
        <v>1739.2012608</v>
      </c>
      <c r="H272" s="1">
        <f>'Unformatted Trip Summary'!H270</f>
        <v>34.934292024999998</v>
      </c>
    </row>
    <row r="273" spans="1:8" x14ac:dyDescent="0.2">
      <c r="A273" t="str">
        <f>'Unformatted Trip Summary'!A271</f>
        <v>04 BAY OF PLENTY</v>
      </c>
      <c r="B273" t="str">
        <f>'Unformatted Trip Summary'!J271</f>
        <v>2027/28</v>
      </c>
      <c r="C273" t="str">
        <f>'Unformatted Trip Summary'!I271</f>
        <v>Light Vehicle Passenger</v>
      </c>
      <c r="D273">
        <f>'Unformatted Trip Summary'!D271</f>
        <v>591</v>
      </c>
      <c r="E273">
        <f>'Unformatted Trip Summary'!E271</f>
        <v>2668</v>
      </c>
      <c r="F273" s="1">
        <f>'Unformatted Trip Summary'!F271</f>
        <v>119.98846928</v>
      </c>
      <c r="G273" s="1">
        <f>'Unformatted Trip Summary'!G271</f>
        <v>1942.4205881</v>
      </c>
      <c r="H273" s="1">
        <f>'Unformatted Trip Summary'!H271</f>
        <v>38.549634044999998</v>
      </c>
    </row>
    <row r="274" spans="1:8" x14ac:dyDescent="0.2">
      <c r="A274" t="str">
        <f>'Unformatted Trip Summary'!A272</f>
        <v>04 BAY OF PLENTY</v>
      </c>
      <c r="B274" t="str">
        <f>'Unformatted Trip Summary'!J272</f>
        <v>2032/33</v>
      </c>
      <c r="C274" t="str">
        <f>'Unformatted Trip Summary'!I272</f>
        <v>Light Vehicle Passenger</v>
      </c>
      <c r="D274">
        <f>'Unformatted Trip Summary'!D272</f>
        <v>591</v>
      </c>
      <c r="E274">
        <f>'Unformatted Trip Summary'!E272</f>
        <v>2668</v>
      </c>
      <c r="F274" s="1">
        <f>'Unformatted Trip Summary'!F272</f>
        <v>128.27306325999999</v>
      </c>
      <c r="G274" s="1">
        <f>'Unformatted Trip Summary'!G272</f>
        <v>2116.3626675</v>
      </c>
      <c r="H274" s="1">
        <f>'Unformatted Trip Summary'!H272</f>
        <v>41.672092231000001</v>
      </c>
    </row>
    <row r="275" spans="1:8" x14ac:dyDescent="0.2">
      <c r="A275" t="str">
        <f>'Unformatted Trip Summary'!A273</f>
        <v>04 BAY OF PLENTY</v>
      </c>
      <c r="B275" t="str">
        <f>'Unformatted Trip Summary'!J273</f>
        <v>2037/38</v>
      </c>
      <c r="C275" t="str">
        <f>'Unformatted Trip Summary'!I273</f>
        <v>Light Vehicle Passenger</v>
      </c>
      <c r="D275">
        <f>'Unformatted Trip Summary'!D273</f>
        <v>591</v>
      </c>
      <c r="E275">
        <f>'Unformatted Trip Summary'!E273</f>
        <v>2668</v>
      </c>
      <c r="F275" s="1">
        <f>'Unformatted Trip Summary'!F273</f>
        <v>136.21036971999999</v>
      </c>
      <c r="G275" s="1">
        <f>'Unformatted Trip Summary'!G273</f>
        <v>2281.1483194000002</v>
      </c>
      <c r="H275" s="1">
        <f>'Unformatted Trip Summary'!H273</f>
        <v>44.637418965999998</v>
      </c>
    </row>
    <row r="276" spans="1:8" x14ac:dyDescent="0.2">
      <c r="A276" t="str">
        <f>'Unformatted Trip Summary'!A274</f>
        <v>04 BAY OF PLENTY</v>
      </c>
      <c r="B276" t="str">
        <f>'Unformatted Trip Summary'!J274</f>
        <v>2042/43</v>
      </c>
      <c r="C276" t="str">
        <f>'Unformatted Trip Summary'!I274</f>
        <v>Light Vehicle Passenger</v>
      </c>
      <c r="D276">
        <f>'Unformatted Trip Summary'!D274</f>
        <v>591</v>
      </c>
      <c r="E276">
        <f>'Unformatted Trip Summary'!E274</f>
        <v>2668</v>
      </c>
      <c r="F276" s="1">
        <f>'Unformatted Trip Summary'!F274</f>
        <v>144.09257395</v>
      </c>
      <c r="G276" s="1">
        <f>'Unformatted Trip Summary'!G274</f>
        <v>2438.6724073999999</v>
      </c>
      <c r="H276" s="1">
        <f>'Unformatted Trip Summary'!H274</f>
        <v>47.497617793000003</v>
      </c>
    </row>
    <row r="277" spans="1:8" x14ac:dyDescent="0.2">
      <c r="A277" t="str">
        <f>'Unformatted Trip Summary'!A275</f>
        <v>04 BAY OF PLENTY</v>
      </c>
      <c r="B277" t="str">
        <f>'Unformatted Trip Summary'!J275</f>
        <v>2012/13</v>
      </c>
      <c r="C277" t="str">
        <f>'Unformatted Trip Summary'!I275</f>
        <v>Taxi/Vehicle Share</v>
      </c>
      <c r="D277">
        <f>'Unformatted Trip Summary'!D275</f>
        <v>4</v>
      </c>
      <c r="E277">
        <f>'Unformatted Trip Summary'!E275</f>
        <v>8</v>
      </c>
      <c r="F277" s="1">
        <f>'Unformatted Trip Summary'!F275</f>
        <v>0.15552198610000001</v>
      </c>
      <c r="G277" s="1">
        <f>'Unformatted Trip Summary'!G275</f>
        <v>0.98369936449999995</v>
      </c>
      <c r="H277" s="1">
        <f>'Unformatted Trip Summary'!H275</f>
        <v>7.3048454499999999E-2</v>
      </c>
    </row>
    <row r="278" spans="1:8" x14ac:dyDescent="0.2">
      <c r="A278" t="str">
        <f>'Unformatted Trip Summary'!A276</f>
        <v>04 BAY OF PLENTY</v>
      </c>
      <c r="B278" t="str">
        <f>'Unformatted Trip Summary'!J276</f>
        <v>2017/18</v>
      </c>
      <c r="C278" t="str">
        <f>'Unformatted Trip Summary'!I276</f>
        <v>Taxi/Vehicle Share</v>
      </c>
      <c r="D278">
        <f>'Unformatted Trip Summary'!D276</f>
        <v>4</v>
      </c>
      <c r="E278">
        <f>'Unformatted Trip Summary'!E276</f>
        <v>8</v>
      </c>
      <c r="F278" s="1">
        <f>'Unformatted Trip Summary'!F276</f>
        <v>0.1428360062</v>
      </c>
      <c r="G278" s="1">
        <f>'Unformatted Trip Summary'!G276</f>
        <v>0.91316791100000005</v>
      </c>
      <c r="H278" s="1">
        <f>'Unformatted Trip Summary'!H276</f>
        <v>6.7913321600000007E-2</v>
      </c>
    </row>
    <row r="279" spans="1:8" x14ac:dyDescent="0.2">
      <c r="A279" t="str">
        <f>'Unformatted Trip Summary'!A277</f>
        <v>04 BAY OF PLENTY</v>
      </c>
      <c r="B279" t="str">
        <f>'Unformatted Trip Summary'!J277</f>
        <v>2022/23</v>
      </c>
      <c r="C279" t="str">
        <f>'Unformatted Trip Summary'!I277</f>
        <v>Taxi/Vehicle Share</v>
      </c>
      <c r="D279">
        <f>'Unformatted Trip Summary'!D277</f>
        <v>4</v>
      </c>
      <c r="E279">
        <f>'Unformatted Trip Summary'!E277</f>
        <v>8</v>
      </c>
      <c r="F279" s="1">
        <f>'Unformatted Trip Summary'!F277</f>
        <v>0.13872412210000001</v>
      </c>
      <c r="G279" s="1">
        <f>'Unformatted Trip Summary'!G277</f>
        <v>0.93489858449999996</v>
      </c>
      <c r="H279" s="1">
        <f>'Unformatted Trip Summary'!H277</f>
        <v>6.9449696800000002E-2</v>
      </c>
    </row>
    <row r="280" spans="1:8" x14ac:dyDescent="0.2">
      <c r="A280" t="str">
        <f>'Unformatted Trip Summary'!A278</f>
        <v>04 BAY OF PLENTY</v>
      </c>
      <c r="B280" t="str">
        <f>'Unformatted Trip Summary'!J278</f>
        <v>2027/28</v>
      </c>
      <c r="C280" t="str">
        <f>'Unformatted Trip Summary'!I278</f>
        <v>Taxi/Vehicle Share</v>
      </c>
      <c r="D280">
        <f>'Unformatted Trip Summary'!D278</f>
        <v>4</v>
      </c>
      <c r="E280">
        <f>'Unformatted Trip Summary'!E278</f>
        <v>8</v>
      </c>
      <c r="F280" s="1">
        <f>'Unformatted Trip Summary'!F278</f>
        <v>0.13531017840000001</v>
      </c>
      <c r="G280" s="1">
        <f>'Unformatted Trip Summary'!G278</f>
        <v>0.98196069480000003</v>
      </c>
      <c r="H280" s="1">
        <f>'Unformatted Trip Summary'!H278</f>
        <v>7.27043577E-2</v>
      </c>
    </row>
    <row r="281" spans="1:8" x14ac:dyDescent="0.2">
      <c r="A281" t="str">
        <f>'Unformatted Trip Summary'!A279</f>
        <v>04 BAY OF PLENTY</v>
      </c>
      <c r="B281" t="str">
        <f>'Unformatted Trip Summary'!J279</f>
        <v>2032/33</v>
      </c>
      <c r="C281" t="str">
        <f>'Unformatted Trip Summary'!I279</f>
        <v>Taxi/Vehicle Share</v>
      </c>
      <c r="D281">
        <f>'Unformatted Trip Summary'!D279</f>
        <v>4</v>
      </c>
      <c r="E281">
        <f>'Unformatted Trip Summary'!E279</f>
        <v>8</v>
      </c>
      <c r="F281" s="1">
        <f>'Unformatted Trip Summary'!F279</f>
        <v>0.13361230190000001</v>
      </c>
      <c r="G281" s="1">
        <f>'Unformatted Trip Summary'!G279</f>
        <v>1.0018092452</v>
      </c>
      <c r="H281" s="1">
        <f>'Unformatted Trip Summary'!H279</f>
        <v>7.4013146200000005E-2</v>
      </c>
    </row>
    <row r="282" spans="1:8" x14ac:dyDescent="0.2">
      <c r="A282" t="str">
        <f>'Unformatted Trip Summary'!A280</f>
        <v>04 BAY OF PLENTY</v>
      </c>
      <c r="B282" t="str">
        <f>'Unformatted Trip Summary'!J280</f>
        <v>2037/38</v>
      </c>
      <c r="C282" t="str">
        <f>'Unformatted Trip Summary'!I280</f>
        <v>Taxi/Vehicle Share</v>
      </c>
      <c r="D282">
        <f>'Unformatted Trip Summary'!D280</f>
        <v>4</v>
      </c>
      <c r="E282">
        <f>'Unformatted Trip Summary'!E280</f>
        <v>8</v>
      </c>
      <c r="F282" s="1">
        <f>'Unformatted Trip Summary'!F280</f>
        <v>0.1334085542</v>
      </c>
      <c r="G282" s="1">
        <f>'Unformatted Trip Summary'!G280</f>
        <v>1.0270649344</v>
      </c>
      <c r="H282" s="1">
        <f>'Unformatted Trip Summary'!H280</f>
        <v>7.6363938699999995E-2</v>
      </c>
    </row>
    <row r="283" spans="1:8" x14ac:dyDescent="0.2">
      <c r="A283" t="str">
        <f>'Unformatted Trip Summary'!A281</f>
        <v>04 BAY OF PLENTY</v>
      </c>
      <c r="B283" t="str">
        <f>'Unformatted Trip Summary'!J281</f>
        <v>2042/43</v>
      </c>
      <c r="C283" t="str">
        <f>'Unformatted Trip Summary'!I281</f>
        <v>Taxi/Vehicle Share</v>
      </c>
      <c r="D283">
        <f>'Unformatted Trip Summary'!D281</f>
        <v>4</v>
      </c>
      <c r="E283">
        <f>'Unformatted Trip Summary'!E281</f>
        <v>8</v>
      </c>
      <c r="F283" s="1">
        <f>'Unformatted Trip Summary'!F281</f>
        <v>0.13205134099999999</v>
      </c>
      <c r="G283" s="1">
        <f>'Unformatted Trip Summary'!G281</f>
        <v>1.0446343888</v>
      </c>
      <c r="H283" s="1">
        <f>'Unformatted Trip Summary'!H281</f>
        <v>7.8171195200000002E-2</v>
      </c>
    </row>
    <row r="284" spans="1:8" x14ac:dyDescent="0.2">
      <c r="A284" t="str">
        <f>'Unformatted Trip Summary'!A282</f>
        <v>04 BAY OF PLENTY</v>
      </c>
      <c r="B284" t="str">
        <f>'Unformatted Trip Summary'!J282</f>
        <v>2012/13</v>
      </c>
      <c r="C284" t="str">
        <f>'Unformatted Trip Summary'!I282</f>
        <v>Motorcyclist</v>
      </c>
      <c r="D284">
        <f>'Unformatted Trip Summary'!D282</f>
        <v>10</v>
      </c>
      <c r="E284">
        <f>'Unformatted Trip Summary'!E282</f>
        <v>40</v>
      </c>
      <c r="F284" s="1">
        <f>'Unformatted Trip Summary'!F282</f>
        <v>0.90641599910000004</v>
      </c>
      <c r="G284" s="1">
        <f>'Unformatted Trip Summary'!G282</f>
        <v>35.608960758999999</v>
      </c>
      <c r="H284" s="1">
        <f>'Unformatted Trip Summary'!H282</f>
        <v>0.60409197079999999</v>
      </c>
    </row>
    <row r="285" spans="1:8" x14ac:dyDescent="0.2">
      <c r="A285" t="str">
        <f>'Unformatted Trip Summary'!A283</f>
        <v>04 BAY OF PLENTY</v>
      </c>
      <c r="B285" t="str">
        <f>'Unformatted Trip Summary'!J283</f>
        <v>2017/18</v>
      </c>
      <c r="C285" t="str">
        <f>'Unformatted Trip Summary'!I283</f>
        <v>Motorcyclist</v>
      </c>
      <c r="D285">
        <f>'Unformatted Trip Summary'!D283</f>
        <v>10</v>
      </c>
      <c r="E285">
        <f>'Unformatted Trip Summary'!E283</f>
        <v>40</v>
      </c>
      <c r="F285" s="1">
        <f>'Unformatted Trip Summary'!F283</f>
        <v>1.0300694527000001</v>
      </c>
      <c r="G285" s="1">
        <f>'Unformatted Trip Summary'!G283</f>
        <v>41.347645206000003</v>
      </c>
      <c r="H285" s="1">
        <f>'Unformatted Trip Summary'!H283</f>
        <v>0.69757636909999998</v>
      </c>
    </row>
    <row r="286" spans="1:8" x14ac:dyDescent="0.2">
      <c r="A286" t="str">
        <f>'Unformatted Trip Summary'!A284</f>
        <v>04 BAY OF PLENTY</v>
      </c>
      <c r="B286" t="str">
        <f>'Unformatted Trip Summary'!J284</f>
        <v>2022/23</v>
      </c>
      <c r="C286" t="str">
        <f>'Unformatted Trip Summary'!I284</f>
        <v>Motorcyclist</v>
      </c>
      <c r="D286">
        <f>'Unformatted Trip Summary'!D284</f>
        <v>10</v>
      </c>
      <c r="E286">
        <f>'Unformatted Trip Summary'!E284</f>
        <v>40</v>
      </c>
      <c r="F286" s="1">
        <f>'Unformatted Trip Summary'!F284</f>
        <v>1.1004107425</v>
      </c>
      <c r="G286" s="1">
        <f>'Unformatted Trip Summary'!G284</f>
        <v>43.713429290999997</v>
      </c>
      <c r="H286" s="1">
        <f>'Unformatted Trip Summary'!H284</f>
        <v>0.73841885100000004</v>
      </c>
    </row>
    <row r="287" spans="1:8" x14ac:dyDescent="0.2">
      <c r="A287" t="str">
        <f>'Unformatted Trip Summary'!A285</f>
        <v>04 BAY OF PLENTY</v>
      </c>
      <c r="B287" t="str">
        <f>'Unformatted Trip Summary'!J285</f>
        <v>2027/28</v>
      </c>
      <c r="C287" t="str">
        <f>'Unformatted Trip Summary'!I285</f>
        <v>Motorcyclist</v>
      </c>
      <c r="D287">
        <f>'Unformatted Trip Summary'!D285</f>
        <v>10</v>
      </c>
      <c r="E287">
        <f>'Unformatted Trip Summary'!E285</f>
        <v>40</v>
      </c>
      <c r="F287" s="1">
        <f>'Unformatted Trip Summary'!F285</f>
        <v>1.2286701550000001</v>
      </c>
      <c r="G287" s="1">
        <f>'Unformatted Trip Summary'!G285</f>
        <v>48.926216367000002</v>
      </c>
      <c r="H287" s="1">
        <f>'Unformatted Trip Summary'!H285</f>
        <v>0.823124313</v>
      </c>
    </row>
    <row r="288" spans="1:8" x14ac:dyDescent="0.2">
      <c r="A288" t="str">
        <f>'Unformatted Trip Summary'!A286</f>
        <v>04 BAY OF PLENTY</v>
      </c>
      <c r="B288" t="str">
        <f>'Unformatted Trip Summary'!J286</f>
        <v>2032/33</v>
      </c>
      <c r="C288" t="str">
        <f>'Unformatted Trip Summary'!I286</f>
        <v>Motorcyclist</v>
      </c>
      <c r="D288">
        <f>'Unformatted Trip Summary'!D286</f>
        <v>10</v>
      </c>
      <c r="E288">
        <f>'Unformatted Trip Summary'!E286</f>
        <v>40</v>
      </c>
      <c r="F288" s="1">
        <f>'Unformatted Trip Summary'!F286</f>
        <v>1.3167143603</v>
      </c>
      <c r="G288" s="1">
        <f>'Unformatted Trip Summary'!G286</f>
        <v>52.552415062000001</v>
      </c>
      <c r="H288" s="1">
        <f>'Unformatted Trip Summary'!H286</f>
        <v>0.88336067169999999</v>
      </c>
    </row>
    <row r="289" spans="1:8" x14ac:dyDescent="0.2">
      <c r="A289" t="str">
        <f>'Unformatted Trip Summary'!A287</f>
        <v>04 BAY OF PLENTY</v>
      </c>
      <c r="B289" t="str">
        <f>'Unformatted Trip Summary'!J287</f>
        <v>2037/38</v>
      </c>
      <c r="C289" t="str">
        <f>'Unformatted Trip Summary'!I287</f>
        <v>Motorcyclist</v>
      </c>
      <c r="D289">
        <f>'Unformatted Trip Summary'!D287</f>
        <v>10</v>
      </c>
      <c r="E289">
        <f>'Unformatted Trip Summary'!E287</f>
        <v>40</v>
      </c>
      <c r="F289" s="1">
        <f>'Unformatted Trip Summary'!F287</f>
        <v>1.3781432322</v>
      </c>
      <c r="G289" s="1">
        <f>'Unformatted Trip Summary'!G287</f>
        <v>55.181821820000003</v>
      </c>
      <c r="H289" s="1">
        <f>'Unformatted Trip Summary'!H287</f>
        <v>0.92835045329999999</v>
      </c>
    </row>
    <row r="290" spans="1:8" x14ac:dyDescent="0.2">
      <c r="A290" t="str">
        <f>'Unformatted Trip Summary'!A288</f>
        <v>04 BAY OF PLENTY</v>
      </c>
      <c r="B290" t="str">
        <f>'Unformatted Trip Summary'!J288</f>
        <v>2042/43</v>
      </c>
      <c r="C290" t="str">
        <f>'Unformatted Trip Summary'!I288</f>
        <v>Motorcyclist</v>
      </c>
      <c r="D290">
        <f>'Unformatted Trip Summary'!D288</f>
        <v>10</v>
      </c>
      <c r="E290">
        <f>'Unformatted Trip Summary'!E288</f>
        <v>40</v>
      </c>
      <c r="F290" s="1">
        <f>'Unformatted Trip Summary'!F288</f>
        <v>1.4246634074</v>
      </c>
      <c r="G290" s="1">
        <f>'Unformatted Trip Summary'!G288</f>
        <v>57.091918905999997</v>
      </c>
      <c r="H290" s="1">
        <f>'Unformatted Trip Summary'!H288</f>
        <v>0.96178948789999996</v>
      </c>
    </row>
    <row r="291" spans="1:8" x14ac:dyDescent="0.2">
      <c r="A291" t="str">
        <f>'Unformatted Trip Summary'!A289</f>
        <v>04 BAY OF PLENTY</v>
      </c>
      <c r="B291" t="str">
        <f>'Unformatted Trip Summary'!J289</f>
        <v>2012/13</v>
      </c>
      <c r="C291" t="str">
        <f>'Unformatted Trip Summary'!I289</f>
        <v>Local Bus</v>
      </c>
      <c r="D291">
        <f>'Unformatted Trip Summary'!D289</f>
        <v>73</v>
      </c>
      <c r="E291">
        <f>'Unformatted Trip Summary'!E289</f>
        <v>194</v>
      </c>
      <c r="F291" s="1">
        <f>'Unformatted Trip Summary'!F289</f>
        <v>7.4672006229000001</v>
      </c>
      <c r="G291" s="1">
        <f>'Unformatted Trip Summary'!G289</f>
        <v>52.669440211999998</v>
      </c>
      <c r="H291" s="1">
        <f>'Unformatted Trip Summary'!H289</f>
        <v>2.9412276716000001</v>
      </c>
    </row>
    <row r="292" spans="1:8" x14ac:dyDescent="0.2">
      <c r="A292" t="str">
        <f>'Unformatted Trip Summary'!A290</f>
        <v>04 BAY OF PLENTY</v>
      </c>
      <c r="B292" t="str">
        <f>'Unformatted Trip Summary'!J290</f>
        <v>2017/18</v>
      </c>
      <c r="C292" t="str">
        <f>'Unformatted Trip Summary'!I290</f>
        <v>Local Bus</v>
      </c>
      <c r="D292">
        <f>'Unformatted Trip Summary'!D290</f>
        <v>73</v>
      </c>
      <c r="E292">
        <f>'Unformatted Trip Summary'!E290</f>
        <v>194</v>
      </c>
      <c r="F292" s="1">
        <f>'Unformatted Trip Summary'!F290</f>
        <v>7.5586600339999999</v>
      </c>
      <c r="G292" s="1">
        <f>'Unformatted Trip Summary'!G290</f>
        <v>52.004413630999998</v>
      </c>
      <c r="H292" s="1">
        <f>'Unformatted Trip Summary'!H290</f>
        <v>2.9210554277999998</v>
      </c>
    </row>
    <row r="293" spans="1:8" x14ac:dyDescent="0.2">
      <c r="A293" t="str">
        <f>'Unformatted Trip Summary'!A291</f>
        <v>04 BAY OF PLENTY</v>
      </c>
      <c r="B293" t="str">
        <f>'Unformatted Trip Summary'!J291</f>
        <v>2022/23</v>
      </c>
      <c r="C293" t="str">
        <f>'Unformatted Trip Summary'!I291</f>
        <v>Local Bus</v>
      </c>
      <c r="D293">
        <f>'Unformatted Trip Summary'!D291</f>
        <v>73</v>
      </c>
      <c r="E293">
        <f>'Unformatted Trip Summary'!E291</f>
        <v>194</v>
      </c>
      <c r="F293" s="1">
        <f>'Unformatted Trip Summary'!F291</f>
        <v>8.2733592537000007</v>
      </c>
      <c r="G293" s="1">
        <f>'Unformatted Trip Summary'!G291</f>
        <v>55.953030867999999</v>
      </c>
      <c r="H293" s="1">
        <f>'Unformatted Trip Summary'!H291</f>
        <v>3.1681289224000002</v>
      </c>
    </row>
    <row r="294" spans="1:8" x14ac:dyDescent="0.2">
      <c r="A294" t="str">
        <f>'Unformatted Trip Summary'!A292</f>
        <v>04 BAY OF PLENTY</v>
      </c>
      <c r="B294" t="str">
        <f>'Unformatted Trip Summary'!J292</f>
        <v>2027/28</v>
      </c>
      <c r="C294" t="str">
        <f>'Unformatted Trip Summary'!I292</f>
        <v>Local Bus</v>
      </c>
      <c r="D294">
        <f>'Unformatted Trip Summary'!D292</f>
        <v>73</v>
      </c>
      <c r="E294">
        <f>'Unformatted Trip Summary'!E292</f>
        <v>194</v>
      </c>
      <c r="F294" s="1">
        <f>'Unformatted Trip Summary'!F292</f>
        <v>8.9481632001999998</v>
      </c>
      <c r="G294" s="1">
        <f>'Unformatted Trip Summary'!G292</f>
        <v>57.770672953999998</v>
      </c>
      <c r="H294" s="1">
        <f>'Unformatted Trip Summary'!H292</f>
        <v>3.3645774195999998</v>
      </c>
    </row>
    <row r="295" spans="1:8" x14ac:dyDescent="0.2">
      <c r="A295" t="str">
        <f>'Unformatted Trip Summary'!A293</f>
        <v>04 BAY OF PLENTY</v>
      </c>
      <c r="B295" t="str">
        <f>'Unformatted Trip Summary'!J293</f>
        <v>2032/33</v>
      </c>
      <c r="C295" t="str">
        <f>'Unformatted Trip Summary'!I293</f>
        <v>Local Bus</v>
      </c>
      <c r="D295">
        <f>'Unformatted Trip Summary'!D293</f>
        <v>73</v>
      </c>
      <c r="E295">
        <f>'Unformatted Trip Summary'!E293</f>
        <v>194</v>
      </c>
      <c r="F295" s="1">
        <f>'Unformatted Trip Summary'!F293</f>
        <v>9.6824298881999997</v>
      </c>
      <c r="G295" s="1">
        <f>'Unformatted Trip Summary'!G293</f>
        <v>59.641243056999997</v>
      </c>
      <c r="H295" s="1">
        <f>'Unformatted Trip Summary'!H293</f>
        <v>3.5813993547999998</v>
      </c>
    </row>
    <row r="296" spans="1:8" x14ac:dyDescent="0.2">
      <c r="A296" t="str">
        <f>'Unformatted Trip Summary'!A294</f>
        <v>04 BAY OF PLENTY</v>
      </c>
      <c r="B296" t="str">
        <f>'Unformatted Trip Summary'!J294</f>
        <v>2037/38</v>
      </c>
      <c r="C296" t="str">
        <f>'Unformatted Trip Summary'!I294</f>
        <v>Local Bus</v>
      </c>
      <c r="D296">
        <f>'Unformatted Trip Summary'!D294</f>
        <v>73</v>
      </c>
      <c r="E296">
        <f>'Unformatted Trip Summary'!E294</f>
        <v>194</v>
      </c>
      <c r="F296" s="1">
        <f>'Unformatted Trip Summary'!F294</f>
        <v>10.422957627000001</v>
      </c>
      <c r="G296" s="1">
        <f>'Unformatted Trip Summary'!G294</f>
        <v>61.636426614999998</v>
      </c>
      <c r="H296" s="1">
        <f>'Unformatted Trip Summary'!H294</f>
        <v>3.7925891114999999</v>
      </c>
    </row>
    <row r="297" spans="1:8" x14ac:dyDescent="0.2">
      <c r="A297" t="str">
        <f>'Unformatted Trip Summary'!A295</f>
        <v>04 BAY OF PLENTY</v>
      </c>
      <c r="B297" t="str">
        <f>'Unformatted Trip Summary'!J295</f>
        <v>2042/43</v>
      </c>
      <c r="C297" t="str">
        <f>'Unformatted Trip Summary'!I295</f>
        <v>Local Bus</v>
      </c>
      <c r="D297">
        <f>'Unformatted Trip Summary'!D295</f>
        <v>73</v>
      </c>
      <c r="E297">
        <f>'Unformatted Trip Summary'!E295</f>
        <v>194</v>
      </c>
      <c r="F297" s="1">
        <f>'Unformatted Trip Summary'!F295</f>
        <v>11.156395733</v>
      </c>
      <c r="G297" s="1">
        <f>'Unformatted Trip Summary'!G295</f>
        <v>63.459278947000001</v>
      </c>
      <c r="H297" s="1">
        <f>'Unformatted Trip Summary'!H295</f>
        <v>4.0008471649999997</v>
      </c>
    </row>
    <row r="298" spans="1:8" x14ac:dyDescent="0.2">
      <c r="A298" t="str">
        <f>'Unformatted Trip Summary'!A296</f>
        <v>04 BAY OF PLENTY</v>
      </c>
      <c r="B298" t="str">
        <f>'Unformatted Trip Summary'!J296</f>
        <v>2012/13</v>
      </c>
      <c r="C298" t="str">
        <f>'Unformatted Trip Summary'!I296</f>
        <v>Other Household Travel</v>
      </c>
      <c r="D298">
        <f>'Unformatted Trip Summary'!D296</f>
        <v>13</v>
      </c>
      <c r="E298">
        <f>'Unformatted Trip Summary'!E296</f>
        <v>34</v>
      </c>
      <c r="F298" s="1">
        <f>'Unformatted Trip Summary'!F296</f>
        <v>0.59853678389999998</v>
      </c>
      <c r="G298" s="1">
        <f>'Unformatted Trip Summary'!G296</f>
        <v>0</v>
      </c>
      <c r="H298" s="1">
        <f>'Unformatted Trip Summary'!H296</f>
        <v>0.21279540499999999</v>
      </c>
    </row>
    <row r="299" spans="1:8" x14ac:dyDescent="0.2">
      <c r="A299" t="str">
        <f>'Unformatted Trip Summary'!A297</f>
        <v>04 BAY OF PLENTY</v>
      </c>
      <c r="B299" t="str">
        <f>'Unformatted Trip Summary'!J297</f>
        <v>2017/18</v>
      </c>
      <c r="C299" t="str">
        <f>'Unformatted Trip Summary'!I297</f>
        <v>Other Household Travel</v>
      </c>
      <c r="D299">
        <f>'Unformatted Trip Summary'!D297</f>
        <v>13</v>
      </c>
      <c r="E299">
        <f>'Unformatted Trip Summary'!E297</f>
        <v>34</v>
      </c>
      <c r="F299" s="1">
        <f>'Unformatted Trip Summary'!F297</f>
        <v>0.61298969579999996</v>
      </c>
      <c r="G299" s="1">
        <f>'Unformatted Trip Summary'!G297</f>
        <v>0</v>
      </c>
      <c r="H299" s="1">
        <f>'Unformatted Trip Summary'!H297</f>
        <v>0.2246261064</v>
      </c>
    </row>
    <row r="300" spans="1:8" x14ac:dyDescent="0.2">
      <c r="A300" t="str">
        <f>'Unformatted Trip Summary'!A298</f>
        <v>04 BAY OF PLENTY</v>
      </c>
      <c r="B300" t="str">
        <f>'Unformatted Trip Summary'!J298</f>
        <v>2022/23</v>
      </c>
      <c r="C300" t="str">
        <f>'Unformatted Trip Summary'!I298</f>
        <v>Other Household Travel</v>
      </c>
      <c r="D300">
        <f>'Unformatted Trip Summary'!D298</f>
        <v>13</v>
      </c>
      <c r="E300">
        <f>'Unformatted Trip Summary'!E298</f>
        <v>34</v>
      </c>
      <c r="F300" s="1">
        <f>'Unformatted Trip Summary'!F298</f>
        <v>0.59499340690000002</v>
      </c>
      <c r="G300" s="1">
        <f>'Unformatted Trip Summary'!G298</f>
        <v>0</v>
      </c>
      <c r="H300" s="1">
        <f>'Unformatted Trip Summary'!H298</f>
        <v>0.23262154409999999</v>
      </c>
    </row>
    <row r="301" spans="1:8" x14ac:dyDescent="0.2">
      <c r="A301" t="str">
        <f>'Unformatted Trip Summary'!A299</f>
        <v>04 BAY OF PLENTY</v>
      </c>
      <c r="B301" t="str">
        <f>'Unformatted Trip Summary'!J299</f>
        <v>2027/28</v>
      </c>
      <c r="C301" t="str">
        <f>'Unformatted Trip Summary'!I299</f>
        <v>Other Household Travel</v>
      </c>
      <c r="D301">
        <f>'Unformatted Trip Summary'!D299</f>
        <v>13</v>
      </c>
      <c r="E301">
        <f>'Unformatted Trip Summary'!E299</f>
        <v>34</v>
      </c>
      <c r="F301" s="1">
        <f>'Unformatted Trip Summary'!F299</f>
        <v>0.52851421399999998</v>
      </c>
      <c r="G301" s="1">
        <f>'Unformatted Trip Summary'!G299</f>
        <v>0</v>
      </c>
      <c r="H301" s="1">
        <f>'Unformatted Trip Summary'!H299</f>
        <v>0.2130721096</v>
      </c>
    </row>
    <row r="302" spans="1:8" x14ac:dyDescent="0.2">
      <c r="A302" t="str">
        <f>'Unformatted Trip Summary'!A300</f>
        <v>04 BAY OF PLENTY</v>
      </c>
      <c r="B302" t="str">
        <f>'Unformatted Trip Summary'!J300</f>
        <v>2032/33</v>
      </c>
      <c r="C302" t="str">
        <f>'Unformatted Trip Summary'!I300</f>
        <v>Other Household Travel</v>
      </c>
      <c r="D302">
        <f>'Unformatted Trip Summary'!D300</f>
        <v>13</v>
      </c>
      <c r="E302">
        <f>'Unformatted Trip Summary'!E300</f>
        <v>34</v>
      </c>
      <c r="F302" s="1">
        <f>'Unformatted Trip Summary'!F300</f>
        <v>0.4676912848</v>
      </c>
      <c r="G302" s="1">
        <f>'Unformatted Trip Summary'!G300</f>
        <v>0</v>
      </c>
      <c r="H302" s="1">
        <f>'Unformatted Trip Summary'!H300</f>
        <v>0.18821963550000001</v>
      </c>
    </row>
    <row r="303" spans="1:8" x14ac:dyDescent="0.2">
      <c r="A303" t="str">
        <f>'Unformatted Trip Summary'!A301</f>
        <v>04 BAY OF PLENTY</v>
      </c>
      <c r="B303" t="str">
        <f>'Unformatted Trip Summary'!J301</f>
        <v>2037/38</v>
      </c>
      <c r="C303" t="str">
        <f>'Unformatted Trip Summary'!I301</f>
        <v>Other Household Travel</v>
      </c>
      <c r="D303">
        <f>'Unformatted Trip Summary'!D301</f>
        <v>13</v>
      </c>
      <c r="E303">
        <f>'Unformatted Trip Summary'!E301</f>
        <v>34</v>
      </c>
      <c r="F303" s="1">
        <f>'Unformatted Trip Summary'!F301</f>
        <v>0.41949895790000002</v>
      </c>
      <c r="G303" s="1">
        <f>'Unformatted Trip Summary'!G301</f>
        <v>0</v>
      </c>
      <c r="H303" s="1">
        <f>'Unformatted Trip Summary'!H301</f>
        <v>0.1679451481</v>
      </c>
    </row>
    <row r="304" spans="1:8" x14ac:dyDescent="0.2">
      <c r="A304" t="str">
        <f>'Unformatted Trip Summary'!A302</f>
        <v>04 BAY OF PLENTY</v>
      </c>
      <c r="B304" t="str">
        <f>'Unformatted Trip Summary'!J302</f>
        <v>2042/43</v>
      </c>
      <c r="C304" t="str">
        <f>'Unformatted Trip Summary'!I302</f>
        <v>Other Household Travel</v>
      </c>
      <c r="D304">
        <f>'Unformatted Trip Summary'!D302</f>
        <v>13</v>
      </c>
      <c r="E304">
        <f>'Unformatted Trip Summary'!E302</f>
        <v>34</v>
      </c>
      <c r="F304" s="1">
        <f>'Unformatted Trip Summary'!F302</f>
        <v>0.37366664630000002</v>
      </c>
      <c r="G304" s="1">
        <f>'Unformatted Trip Summary'!G302</f>
        <v>0</v>
      </c>
      <c r="H304" s="1">
        <f>'Unformatted Trip Summary'!H302</f>
        <v>0.14820853470000001</v>
      </c>
    </row>
    <row r="305" spans="1:8" x14ac:dyDescent="0.2">
      <c r="A305" t="str">
        <f>'Unformatted Trip Summary'!A303</f>
        <v>04 BAY OF PLENTY</v>
      </c>
      <c r="B305" t="str">
        <f>'Unformatted Trip Summary'!J303</f>
        <v>2012/13</v>
      </c>
      <c r="C305" t="str">
        <f>'Unformatted Trip Summary'!I303</f>
        <v>Air/Non-Local PT</v>
      </c>
      <c r="D305">
        <f>'Unformatted Trip Summary'!D303</f>
        <v>10</v>
      </c>
      <c r="E305">
        <f>'Unformatted Trip Summary'!E303</f>
        <v>20</v>
      </c>
      <c r="F305" s="1">
        <f>'Unformatted Trip Summary'!F303</f>
        <v>0.7132672793</v>
      </c>
      <c r="G305" s="1">
        <f>'Unformatted Trip Summary'!G303</f>
        <v>34.241381883000003</v>
      </c>
      <c r="H305" s="1">
        <f>'Unformatted Trip Summary'!H303</f>
        <v>1.7899343983</v>
      </c>
    </row>
    <row r="306" spans="1:8" x14ac:dyDescent="0.2">
      <c r="A306" t="str">
        <f>'Unformatted Trip Summary'!A304</f>
        <v>04 BAY OF PLENTY</v>
      </c>
      <c r="B306" t="str">
        <f>'Unformatted Trip Summary'!J304</f>
        <v>2017/18</v>
      </c>
      <c r="C306" t="str">
        <f>'Unformatted Trip Summary'!I304</f>
        <v>Air/Non-Local PT</v>
      </c>
      <c r="D306">
        <f>'Unformatted Trip Summary'!D304</f>
        <v>10</v>
      </c>
      <c r="E306">
        <f>'Unformatted Trip Summary'!E304</f>
        <v>20</v>
      </c>
      <c r="F306" s="1">
        <f>'Unformatted Trip Summary'!F304</f>
        <v>0.82215910869999997</v>
      </c>
      <c r="G306" s="1">
        <f>'Unformatted Trip Summary'!G304</f>
        <v>41.036302919999997</v>
      </c>
      <c r="H306" s="1">
        <f>'Unformatted Trip Summary'!H304</f>
        <v>2.4445007157999998</v>
      </c>
    </row>
    <row r="307" spans="1:8" x14ac:dyDescent="0.2">
      <c r="A307" t="str">
        <f>'Unformatted Trip Summary'!A305</f>
        <v>04 BAY OF PLENTY</v>
      </c>
      <c r="B307" t="str">
        <f>'Unformatted Trip Summary'!J305</f>
        <v>2022/23</v>
      </c>
      <c r="C307" t="str">
        <f>'Unformatted Trip Summary'!I305</f>
        <v>Air/Non-Local PT</v>
      </c>
      <c r="D307">
        <f>'Unformatted Trip Summary'!D305</f>
        <v>10</v>
      </c>
      <c r="E307">
        <f>'Unformatted Trip Summary'!E305</f>
        <v>20</v>
      </c>
      <c r="F307" s="1">
        <f>'Unformatted Trip Summary'!F305</f>
        <v>0.96011477379999999</v>
      </c>
      <c r="G307" s="1">
        <f>'Unformatted Trip Summary'!G305</f>
        <v>49.464822112</v>
      </c>
      <c r="H307" s="1">
        <f>'Unformatted Trip Summary'!H305</f>
        <v>3.0877956076999999</v>
      </c>
    </row>
    <row r="308" spans="1:8" x14ac:dyDescent="0.2">
      <c r="A308" t="str">
        <f>'Unformatted Trip Summary'!A306</f>
        <v>04 BAY OF PLENTY</v>
      </c>
      <c r="B308" t="str">
        <f>'Unformatted Trip Summary'!J306</f>
        <v>2027/28</v>
      </c>
      <c r="C308" t="str">
        <f>'Unformatted Trip Summary'!I306</f>
        <v>Air/Non-Local PT</v>
      </c>
      <c r="D308">
        <f>'Unformatted Trip Summary'!D306</f>
        <v>10</v>
      </c>
      <c r="E308">
        <f>'Unformatted Trip Summary'!E306</f>
        <v>20</v>
      </c>
      <c r="F308" s="1">
        <f>'Unformatted Trip Summary'!F306</f>
        <v>1.0735331276</v>
      </c>
      <c r="G308" s="1">
        <f>'Unformatted Trip Summary'!G306</f>
        <v>56.992588058000003</v>
      </c>
      <c r="H308" s="1">
        <f>'Unformatted Trip Summary'!H306</f>
        <v>3.6497832736000002</v>
      </c>
    </row>
    <row r="309" spans="1:8" x14ac:dyDescent="0.2">
      <c r="A309" t="str">
        <f>'Unformatted Trip Summary'!A307</f>
        <v>04 BAY OF PLENTY</v>
      </c>
      <c r="B309" t="str">
        <f>'Unformatted Trip Summary'!J307</f>
        <v>2032/33</v>
      </c>
      <c r="C309" t="str">
        <f>'Unformatted Trip Summary'!I307</f>
        <v>Air/Non-Local PT</v>
      </c>
      <c r="D309">
        <f>'Unformatted Trip Summary'!D307</f>
        <v>10</v>
      </c>
      <c r="E309">
        <f>'Unformatted Trip Summary'!E307</f>
        <v>20</v>
      </c>
      <c r="F309" s="1">
        <f>'Unformatted Trip Summary'!F307</f>
        <v>1.1767869937</v>
      </c>
      <c r="G309" s="1">
        <f>'Unformatted Trip Summary'!G307</f>
        <v>64.699929897000004</v>
      </c>
      <c r="H309" s="1">
        <f>'Unformatted Trip Summary'!H307</f>
        <v>4.0830619428999997</v>
      </c>
    </row>
    <row r="310" spans="1:8" x14ac:dyDescent="0.2">
      <c r="A310" t="str">
        <f>'Unformatted Trip Summary'!A308</f>
        <v>04 BAY OF PLENTY</v>
      </c>
      <c r="B310" t="str">
        <f>'Unformatted Trip Summary'!J308</f>
        <v>2037/38</v>
      </c>
      <c r="C310" t="str">
        <f>'Unformatted Trip Summary'!I308</f>
        <v>Air/Non-Local PT</v>
      </c>
      <c r="D310">
        <f>'Unformatted Trip Summary'!D308</f>
        <v>10</v>
      </c>
      <c r="E310">
        <f>'Unformatted Trip Summary'!E308</f>
        <v>20</v>
      </c>
      <c r="F310" s="1">
        <f>'Unformatted Trip Summary'!F308</f>
        <v>1.3403891139999999</v>
      </c>
      <c r="G310" s="1">
        <f>'Unformatted Trip Summary'!G308</f>
        <v>78.842720029000006</v>
      </c>
      <c r="H310" s="1">
        <f>'Unformatted Trip Summary'!H308</f>
        <v>4.5341585557000004</v>
      </c>
    </row>
    <row r="311" spans="1:8" x14ac:dyDescent="0.2">
      <c r="A311" t="str">
        <f>'Unformatted Trip Summary'!A309</f>
        <v>04 BAY OF PLENTY</v>
      </c>
      <c r="B311" t="str">
        <f>'Unformatted Trip Summary'!J309</f>
        <v>2042/43</v>
      </c>
      <c r="C311" t="str">
        <f>'Unformatted Trip Summary'!I309</f>
        <v>Air/Non-Local PT</v>
      </c>
      <c r="D311">
        <f>'Unformatted Trip Summary'!D309</f>
        <v>10</v>
      </c>
      <c r="E311">
        <f>'Unformatted Trip Summary'!E309</f>
        <v>20</v>
      </c>
      <c r="F311" s="1">
        <f>'Unformatted Trip Summary'!F309</f>
        <v>1.5188268518000001</v>
      </c>
      <c r="G311" s="1">
        <f>'Unformatted Trip Summary'!G309</f>
        <v>94.597112664999997</v>
      </c>
      <c r="H311" s="1">
        <f>'Unformatted Trip Summary'!H309</f>
        <v>4.9634568424000003</v>
      </c>
    </row>
    <row r="312" spans="1:8" x14ac:dyDescent="0.2">
      <c r="A312" t="str">
        <f>'Unformatted Trip Summary'!A310</f>
        <v>04 BAY OF PLENTY</v>
      </c>
      <c r="B312" t="str">
        <f>'Unformatted Trip Summary'!J310</f>
        <v>2012/13</v>
      </c>
      <c r="C312" t="str">
        <f>'Unformatted Trip Summary'!I310</f>
        <v>Non-Household Travel</v>
      </c>
      <c r="D312">
        <f>'Unformatted Trip Summary'!D310</f>
        <v>6</v>
      </c>
      <c r="E312">
        <f>'Unformatted Trip Summary'!E310</f>
        <v>33</v>
      </c>
      <c r="F312" s="1">
        <f>'Unformatted Trip Summary'!F310</f>
        <v>1.4872690419000001</v>
      </c>
      <c r="G312" s="1">
        <f>'Unformatted Trip Summary'!G310</f>
        <v>13.901388431999999</v>
      </c>
      <c r="H312" s="1">
        <f>'Unformatted Trip Summary'!H310</f>
        <v>0.32958292379999998</v>
      </c>
    </row>
    <row r="313" spans="1:8" x14ac:dyDescent="0.2">
      <c r="A313" t="str">
        <f>'Unformatted Trip Summary'!A311</f>
        <v>04 BAY OF PLENTY</v>
      </c>
      <c r="B313" t="str">
        <f>'Unformatted Trip Summary'!J311</f>
        <v>2017/18</v>
      </c>
      <c r="C313" t="str">
        <f>'Unformatted Trip Summary'!I311</f>
        <v>Non-Household Travel</v>
      </c>
      <c r="D313">
        <f>'Unformatted Trip Summary'!D311</f>
        <v>6</v>
      </c>
      <c r="E313">
        <f>'Unformatted Trip Summary'!E311</f>
        <v>33</v>
      </c>
      <c r="F313" s="1">
        <f>'Unformatted Trip Summary'!F311</f>
        <v>1.7340928390999999</v>
      </c>
      <c r="G313" s="1">
        <f>'Unformatted Trip Summary'!G311</f>
        <v>14.448185294</v>
      </c>
      <c r="H313" s="1">
        <f>'Unformatted Trip Summary'!H311</f>
        <v>0.366562006</v>
      </c>
    </row>
    <row r="314" spans="1:8" x14ac:dyDescent="0.2">
      <c r="A314" t="str">
        <f>'Unformatted Trip Summary'!A312</f>
        <v>04 BAY OF PLENTY</v>
      </c>
      <c r="B314" t="str">
        <f>'Unformatted Trip Summary'!J312</f>
        <v>2022/23</v>
      </c>
      <c r="C314" t="str">
        <f>'Unformatted Trip Summary'!I312</f>
        <v>Non-Household Travel</v>
      </c>
      <c r="D314">
        <f>'Unformatted Trip Summary'!D312</f>
        <v>6</v>
      </c>
      <c r="E314">
        <f>'Unformatted Trip Summary'!E312</f>
        <v>33</v>
      </c>
      <c r="F314" s="1">
        <f>'Unformatted Trip Summary'!F312</f>
        <v>1.8582949415000001</v>
      </c>
      <c r="G314" s="1">
        <f>'Unformatted Trip Summary'!G312</f>
        <v>14.386176074</v>
      </c>
      <c r="H314" s="1">
        <f>'Unformatted Trip Summary'!H312</f>
        <v>0.38252332010000001</v>
      </c>
    </row>
    <row r="315" spans="1:8" x14ac:dyDescent="0.2">
      <c r="A315" t="str">
        <f>'Unformatted Trip Summary'!A313</f>
        <v>04 BAY OF PLENTY</v>
      </c>
      <c r="B315" t="str">
        <f>'Unformatted Trip Summary'!J313</f>
        <v>2027/28</v>
      </c>
      <c r="C315" t="str">
        <f>'Unformatted Trip Summary'!I313</f>
        <v>Non-Household Travel</v>
      </c>
      <c r="D315">
        <f>'Unformatted Trip Summary'!D313</f>
        <v>6</v>
      </c>
      <c r="E315">
        <f>'Unformatted Trip Summary'!E313</f>
        <v>33</v>
      </c>
      <c r="F315" s="1">
        <f>'Unformatted Trip Summary'!F313</f>
        <v>2.0483226533000001</v>
      </c>
      <c r="G315" s="1">
        <f>'Unformatted Trip Summary'!G313</f>
        <v>14.707443228000001</v>
      </c>
      <c r="H315" s="1">
        <f>'Unformatted Trip Summary'!H313</f>
        <v>0.4080537105</v>
      </c>
    </row>
    <row r="316" spans="1:8" x14ac:dyDescent="0.2">
      <c r="A316" t="str">
        <f>'Unformatted Trip Summary'!A314</f>
        <v>04 BAY OF PLENTY</v>
      </c>
      <c r="B316" t="str">
        <f>'Unformatted Trip Summary'!J314</f>
        <v>2032/33</v>
      </c>
      <c r="C316" t="str">
        <f>'Unformatted Trip Summary'!I314</f>
        <v>Non-Household Travel</v>
      </c>
      <c r="D316">
        <f>'Unformatted Trip Summary'!D314</f>
        <v>6</v>
      </c>
      <c r="E316">
        <f>'Unformatted Trip Summary'!E314</f>
        <v>33</v>
      </c>
      <c r="F316" s="1">
        <f>'Unformatted Trip Summary'!F314</f>
        <v>2.2094434254999999</v>
      </c>
      <c r="G316" s="1">
        <f>'Unformatted Trip Summary'!G314</f>
        <v>15.184080188999999</v>
      </c>
      <c r="H316" s="1">
        <f>'Unformatted Trip Summary'!H314</f>
        <v>0.4316218959</v>
      </c>
    </row>
    <row r="317" spans="1:8" x14ac:dyDescent="0.2">
      <c r="A317" t="str">
        <f>'Unformatted Trip Summary'!A315</f>
        <v>04 BAY OF PLENTY</v>
      </c>
      <c r="B317" t="str">
        <f>'Unformatted Trip Summary'!J315</f>
        <v>2037/38</v>
      </c>
      <c r="C317" t="str">
        <f>'Unformatted Trip Summary'!I315</f>
        <v>Non-Household Travel</v>
      </c>
      <c r="D317">
        <f>'Unformatted Trip Summary'!D315</f>
        <v>6</v>
      </c>
      <c r="E317">
        <f>'Unformatted Trip Summary'!E315</f>
        <v>33</v>
      </c>
      <c r="F317" s="1">
        <f>'Unformatted Trip Summary'!F315</f>
        <v>2.3651783494999998</v>
      </c>
      <c r="G317" s="1">
        <f>'Unformatted Trip Summary'!G315</f>
        <v>15.742067343</v>
      </c>
      <c r="H317" s="1">
        <f>'Unformatted Trip Summary'!H315</f>
        <v>0.4556201815</v>
      </c>
    </row>
    <row r="318" spans="1:8" x14ac:dyDescent="0.2">
      <c r="A318" t="str">
        <f>'Unformatted Trip Summary'!A316</f>
        <v>04 BAY OF PLENTY</v>
      </c>
      <c r="B318" t="str">
        <f>'Unformatted Trip Summary'!J316</f>
        <v>2042/43</v>
      </c>
      <c r="C318" t="str">
        <f>'Unformatted Trip Summary'!I316</f>
        <v>Non-Household Travel</v>
      </c>
      <c r="D318">
        <f>'Unformatted Trip Summary'!D316</f>
        <v>6</v>
      </c>
      <c r="E318">
        <f>'Unformatted Trip Summary'!E316</f>
        <v>33</v>
      </c>
      <c r="F318" s="1">
        <f>'Unformatted Trip Summary'!F316</f>
        <v>2.5002115431999998</v>
      </c>
      <c r="G318" s="1">
        <f>'Unformatted Trip Summary'!G316</f>
        <v>16.095985329000001</v>
      </c>
      <c r="H318" s="1">
        <f>'Unformatted Trip Summary'!H316</f>
        <v>0.47493204719999998</v>
      </c>
    </row>
    <row r="319" spans="1:8" x14ac:dyDescent="0.2">
      <c r="A319" t="str">
        <f>'Unformatted Trip Summary'!A317</f>
        <v>05 GISBORNE</v>
      </c>
      <c r="B319" t="str">
        <f>'Unformatted Trip Summary'!J317</f>
        <v>2012/13</v>
      </c>
      <c r="C319" t="str">
        <f>'Unformatted Trip Summary'!I317</f>
        <v>Pedestrian</v>
      </c>
      <c r="D319">
        <f>'Unformatted Trip Summary'!D317</f>
        <v>242</v>
      </c>
      <c r="E319">
        <f>'Unformatted Trip Summary'!E317</f>
        <v>910</v>
      </c>
      <c r="F319" s="1">
        <f>'Unformatted Trip Summary'!F317</f>
        <v>12.564280467</v>
      </c>
      <c r="G319" s="1">
        <f>'Unformatted Trip Summary'!G317</f>
        <v>7.5635235767999998</v>
      </c>
      <c r="H319" s="1">
        <f>'Unformatted Trip Summary'!H317</f>
        <v>2.2694063563000002</v>
      </c>
    </row>
    <row r="320" spans="1:8" x14ac:dyDescent="0.2">
      <c r="A320" t="str">
        <f>'Unformatted Trip Summary'!A318</f>
        <v>05 GISBORNE</v>
      </c>
      <c r="B320" t="str">
        <f>'Unformatted Trip Summary'!J318</f>
        <v>2017/18</v>
      </c>
      <c r="C320" t="str">
        <f>'Unformatted Trip Summary'!I318</f>
        <v>Pedestrian</v>
      </c>
      <c r="D320">
        <f>'Unformatted Trip Summary'!D318</f>
        <v>242</v>
      </c>
      <c r="E320">
        <f>'Unformatted Trip Summary'!E318</f>
        <v>910</v>
      </c>
      <c r="F320" s="1">
        <f>'Unformatted Trip Summary'!F318</f>
        <v>11.031352663</v>
      </c>
      <c r="G320" s="1">
        <f>'Unformatted Trip Summary'!G318</f>
        <v>6.7095778239000001</v>
      </c>
      <c r="H320" s="1">
        <f>'Unformatted Trip Summary'!H318</f>
        <v>1.9663865806</v>
      </c>
    </row>
    <row r="321" spans="1:8" x14ac:dyDescent="0.2">
      <c r="A321" t="str">
        <f>'Unformatted Trip Summary'!A319</f>
        <v>05 GISBORNE</v>
      </c>
      <c r="B321" t="str">
        <f>'Unformatted Trip Summary'!J319</f>
        <v>2022/23</v>
      </c>
      <c r="C321" t="str">
        <f>'Unformatted Trip Summary'!I319</f>
        <v>Pedestrian</v>
      </c>
      <c r="D321">
        <f>'Unformatted Trip Summary'!D319</f>
        <v>242</v>
      </c>
      <c r="E321">
        <f>'Unformatted Trip Summary'!E319</f>
        <v>910</v>
      </c>
      <c r="F321" s="1">
        <f>'Unformatted Trip Summary'!F319</f>
        <v>10.5963881</v>
      </c>
      <c r="G321" s="1">
        <f>'Unformatted Trip Summary'!G319</f>
        <v>6.5445717515000004</v>
      </c>
      <c r="H321" s="1">
        <f>'Unformatted Trip Summary'!H319</f>
        <v>1.8699849319999999</v>
      </c>
    </row>
    <row r="322" spans="1:8" x14ac:dyDescent="0.2">
      <c r="A322" t="str">
        <f>'Unformatted Trip Summary'!A320</f>
        <v>05 GISBORNE</v>
      </c>
      <c r="B322" t="str">
        <f>'Unformatted Trip Summary'!J320</f>
        <v>2027/28</v>
      </c>
      <c r="C322" t="str">
        <f>'Unformatted Trip Summary'!I320</f>
        <v>Pedestrian</v>
      </c>
      <c r="D322">
        <f>'Unformatted Trip Summary'!D320</f>
        <v>242</v>
      </c>
      <c r="E322">
        <f>'Unformatted Trip Summary'!E320</f>
        <v>910</v>
      </c>
      <c r="F322" s="1">
        <f>'Unformatted Trip Summary'!F320</f>
        <v>9.9976077593999992</v>
      </c>
      <c r="G322" s="1">
        <f>'Unformatted Trip Summary'!G320</f>
        <v>6.3607804584999998</v>
      </c>
      <c r="H322" s="1">
        <f>'Unformatted Trip Summary'!H320</f>
        <v>1.7665445741000001</v>
      </c>
    </row>
    <row r="323" spans="1:8" x14ac:dyDescent="0.2">
      <c r="A323" t="str">
        <f>'Unformatted Trip Summary'!A321</f>
        <v>05 GISBORNE</v>
      </c>
      <c r="B323" t="str">
        <f>'Unformatted Trip Summary'!J321</f>
        <v>2032/33</v>
      </c>
      <c r="C323" t="str">
        <f>'Unformatted Trip Summary'!I321</f>
        <v>Pedestrian</v>
      </c>
      <c r="D323">
        <f>'Unformatted Trip Summary'!D321</f>
        <v>242</v>
      </c>
      <c r="E323">
        <f>'Unformatted Trip Summary'!E321</f>
        <v>910</v>
      </c>
      <c r="F323" s="1">
        <f>'Unformatted Trip Summary'!F321</f>
        <v>9.4589008146999998</v>
      </c>
      <c r="G323" s="1">
        <f>'Unformatted Trip Summary'!G321</f>
        <v>6.2530206583999997</v>
      </c>
      <c r="H323" s="1">
        <f>'Unformatted Trip Summary'!H321</f>
        <v>1.6868638014999999</v>
      </c>
    </row>
    <row r="324" spans="1:8" x14ac:dyDescent="0.2">
      <c r="A324" t="str">
        <f>'Unformatted Trip Summary'!A322</f>
        <v>05 GISBORNE</v>
      </c>
      <c r="B324" t="str">
        <f>'Unformatted Trip Summary'!J322</f>
        <v>2037/38</v>
      </c>
      <c r="C324" t="str">
        <f>'Unformatted Trip Summary'!I322</f>
        <v>Pedestrian</v>
      </c>
      <c r="D324">
        <f>'Unformatted Trip Summary'!D322</f>
        <v>242</v>
      </c>
      <c r="E324">
        <f>'Unformatted Trip Summary'!E322</f>
        <v>910</v>
      </c>
      <c r="F324" s="1">
        <f>'Unformatted Trip Summary'!F322</f>
        <v>8.9565942764000006</v>
      </c>
      <c r="G324" s="1">
        <f>'Unformatted Trip Summary'!G322</f>
        <v>6.0895447840000001</v>
      </c>
      <c r="H324" s="1">
        <f>'Unformatted Trip Summary'!H322</f>
        <v>1.6091812861999999</v>
      </c>
    </row>
    <row r="325" spans="1:8" x14ac:dyDescent="0.2">
      <c r="A325" t="str">
        <f>'Unformatted Trip Summary'!A323</f>
        <v>05 GISBORNE</v>
      </c>
      <c r="B325" t="str">
        <f>'Unformatted Trip Summary'!J323</f>
        <v>2042/43</v>
      </c>
      <c r="C325" t="str">
        <f>'Unformatted Trip Summary'!I323</f>
        <v>Pedestrian</v>
      </c>
      <c r="D325">
        <f>'Unformatted Trip Summary'!D323</f>
        <v>242</v>
      </c>
      <c r="E325">
        <f>'Unformatted Trip Summary'!E323</f>
        <v>910</v>
      </c>
      <c r="F325" s="1">
        <f>'Unformatted Trip Summary'!F323</f>
        <v>8.5269986341999999</v>
      </c>
      <c r="G325" s="1">
        <f>'Unformatted Trip Summary'!G323</f>
        <v>5.9826703909000001</v>
      </c>
      <c r="H325" s="1">
        <f>'Unformatted Trip Summary'!H323</f>
        <v>1.5459179377000001</v>
      </c>
    </row>
    <row r="326" spans="1:8" x14ac:dyDescent="0.2">
      <c r="A326" t="str">
        <f>'Unformatted Trip Summary'!A324</f>
        <v>05 GISBORNE</v>
      </c>
      <c r="B326" t="str">
        <f>'Unformatted Trip Summary'!J324</f>
        <v>2012/13</v>
      </c>
      <c r="C326" t="str">
        <f>'Unformatted Trip Summary'!I324</f>
        <v>Cyclist</v>
      </c>
      <c r="D326">
        <f>'Unformatted Trip Summary'!D324</f>
        <v>27</v>
      </c>
      <c r="E326">
        <f>'Unformatted Trip Summary'!E324</f>
        <v>100</v>
      </c>
      <c r="F326" s="1">
        <f>'Unformatted Trip Summary'!F324</f>
        <v>1.1119455742</v>
      </c>
      <c r="G326" s="1">
        <f>'Unformatted Trip Summary'!G324</f>
        <v>3.8031873472000002</v>
      </c>
      <c r="H326" s="1">
        <f>'Unformatted Trip Summary'!H324</f>
        <v>0.28046850410000002</v>
      </c>
    </row>
    <row r="327" spans="1:8" x14ac:dyDescent="0.2">
      <c r="A327" t="str">
        <f>'Unformatted Trip Summary'!A325</f>
        <v>05 GISBORNE</v>
      </c>
      <c r="B327" t="str">
        <f>'Unformatted Trip Summary'!J325</f>
        <v>2017/18</v>
      </c>
      <c r="C327" t="str">
        <f>'Unformatted Trip Summary'!I325</f>
        <v>Cyclist</v>
      </c>
      <c r="D327">
        <f>'Unformatted Trip Summary'!D325</f>
        <v>27</v>
      </c>
      <c r="E327">
        <f>'Unformatted Trip Summary'!E325</f>
        <v>100</v>
      </c>
      <c r="F327" s="1">
        <f>'Unformatted Trip Summary'!F325</f>
        <v>0.96763615169999995</v>
      </c>
      <c r="G327" s="1">
        <f>'Unformatted Trip Summary'!G325</f>
        <v>3.0706241145000002</v>
      </c>
      <c r="H327" s="1">
        <f>'Unformatted Trip Summary'!H325</f>
        <v>0.23354751879999999</v>
      </c>
    </row>
    <row r="328" spans="1:8" x14ac:dyDescent="0.2">
      <c r="A328" t="str">
        <f>'Unformatted Trip Summary'!A326</f>
        <v>05 GISBORNE</v>
      </c>
      <c r="B328" t="str">
        <f>'Unformatted Trip Summary'!J326</f>
        <v>2022/23</v>
      </c>
      <c r="C328" t="str">
        <f>'Unformatted Trip Summary'!I326</f>
        <v>Cyclist</v>
      </c>
      <c r="D328">
        <f>'Unformatted Trip Summary'!D326</f>
        <v>27</v>
      </c>
      <c r="E328">
        <f>'Unformatted Trip Summary'!E326</f>
        <v>100</v>
      </c>
      <c r="F328" s="1">
        <f>'Unformatted Trip Summary'!F326</f>
        <v>0.94639081530000002</v>
      </c>
      <c r="G328" s="1">
        <f>'Unformatted Trip Summary'!G326</f>
        <v>2.8096854634000001</v>
      </c>
      <c r="H328" s="1">
        <f>'Unformatted Trip Summary'!H326</f>
        <v>0.2169698055</v>
      </c>
    </row>
    <row r="329" spans="1:8" x14ac:dyDescent="0.2">
      <c r="A329" t="str">
        <f>'Unformatted Trip Summary'!A327</f>
        <v>05 GISBORNE</v>
      </c>
      <c r="B329" t="str">
        <f>'Unformatted Trip Summary'!J327</f>
        <v>2027/28</v>
      </c>
      <c r="C329" t="str">
        <f>'Unformatted Trip Summary'!I327</f>
        <v>Cyclist</v>
      </c>
      <c r="D329">
        <f>'Unformatted Trip Summary'!D327</f>
        <v>27</v>
      </c>
      <c r="E329">
        <f>'Unformatted Trip Summary'!E327</f>
        <v>100</v>
      </c>
      <c r="F329" s="1">
        <f>'Unformatted Trip Summary'!F327</f>
        <v>0.86330203189999999</v>
      </c>
      <c r="G329" s="1">
        <f>'Unformatted Trip Summary'!G327</f>
        <v>2.3433885093</v>
      </c>
      <c r="H329" s="1">
        <f>'Unformatted Trip Summary'!H327</f>
        <v>0.1844223552</v>
      </c>
    </row>
    <row r="330" spans="1:8" x14ac:dyDescent="0.2">
      <c r="A330" t="str">
        <f>'Unformatted Trip Summary'!A328</f>
        <v>05 GISBORNE</v>
      </c>
      <c r="B330" t="str">
        <f>'Unformatted Trip Summary'!J328</f>
        <v>2032/33</v>
      </c>
      <c r="C330" t="str">
        <f>'Unformatted Trip Summary'!I328</f>
        <v>Cyclist</v>
      </c>
      <c r="D330">
        <f>'Unformatted Trip Summary'!D328</f>
        <v>27</v>
      </c>
      <c r="E330">
        <f>'Unformatted Trip Summary'!E328</f>
        <v>100</v>
      </c>
      <c r="F330" s="1">
        <f>'Unformatted Trip Summary'!F328</f>
        <v>0.78762650069999995</v>
      </c>
      <c r="G330" s="1">
        <f>'Unformatted Trip Summary'!G328</f>
        <v>1.9614999001</v>
      </c>
      <c r="H330" s="1">
        <f>'Unformatted Trip Summary'!H328</f>
        <v>0.15945393290000001</v>
      </c>
    </row>
    <row r="331" spans="1:8" x14ac:dyDescent="0.2">
      <c r="A331" t="str">
        <f>'Unformatted Trip Summary'!A329</f>
        <v>05 GISBORNE</v>
      </c>
      <c r="B331" t="str">
        <f>'Unformatted Trip Summary'!J329</f>
        <v>2037/38</v>
      </c>
      <c r="C331" t="str">
        <f>'Unformatted Trip Summary'!I329</f>
        <v>Cyclist</v>
      </c>
      <c r="D331">
        <f>'Unformatted Trip Summary'!D329</f>
        <v>27</v>
      </c>
      <c r="E331">
        <f>'Unformatted Trip Summary'!E329</f>
        <v>100</v>
      </c>
      <c r="F331" s="1">
        <f>'Unformatted Trip Summary'!F329</f>
        <v>0.72151186450000004</v>
      </c>
      <c r="G331" s="1">
        <f>'Unformatted Trip Summary'!G329</f>
        <v>1.6595701759999999</v>
      </c>
      <c r="H331" s="1">
        <f>'Unformatted Trip Summary'!H329</f>
        <v>0.14068655050000001</v>
      </c>
    </row>
    <row r="332" spans="1:8" x14ac:dyDescent="0.2">
      <c r="A332" t="str">
        <f>'Unformatted Trip Summary'!A330</f>
        <v>05 GISBORNE</v>
      </c>
      <c r="B332" t="str">
        <f>'Unformatted Trip Summary'!J330</f>
        <v>2042/43</v>
      </c>
      <c r="C332" t="str">
        <f>'Unformatted Trip Summary'!I330</f>
        <v>Cyclist</v>
      </c>
      <c r="D332">
        <f>'Unformatted Trip Summary'!D330</f>
        <v>27</v>
      </c>
      <c r="E332">
        <f>'Unformatted Trip Summary'!E330</f>
        <v>100</v>
      </c>
      <c r="F332" s="1">
        <f>'Unformatted Trip Summary'!F330</f>
        <v>0.66868773560000005</v>
      </c>
      <c r="G332" s="1">
        <f>'Unformatted Trip Summary'!G330</f>
        <v>1.4420517204000001</v>
      </c>
      <c r="H332" s="1">
        <f>'Unformatted Trip Summary'!H330</f>
        <v>0.1270674876</v>
      </c>
    </row>
    <row r="333" spans="1:8" x14ac:dyDescent="0.2">
      <c r="A333" t="str">
        <f>'Unformatted Trip Summary'!A331</f>
        <v>05 GISBORNE</v>
      </c>
      <c r="B333" t="str">
        <f>'Unformatted Trip Summary'!J331</f>
        <v>2012/13</v>
      </c>
      <c r="C333" t="str">
        <f>'Unformatted Trip Summary'!I331</f>
        <v>Light Vehicle Driver</v>
      </c>
      <c r="D333">
        <f>'Unformatted Trip Summary'!D331</f>
        <v>319</v>
      </c>
      <c r="E333">
        <f>'Unformatted Trip Summary'!E331</f>
        <v>2307</v>
      </c>
      <c r="F333" s="1">
        <f>'Unformatted Trip Summary'!F331</f>
        <v>28.776347379000001</v>
      </c>
      <c r="G333" s="1">
        <f>'Unformatted Trip Summary'!G331</f>
        <v>241.40144318</v>
      </c>
      <c r="H333" s="1">
        <f>'Unformatted Trip Summary'!H331</f>
        <v>6.0182660548999998</v>
      </c>
    </row>
    <row r="334" spans="1:8" x14ac:dyDescent="0.2">
      <c r="A334" t="str">
        <f>'Unformatted Trip Summary'!A332</f>
        <v>05 GISBORNE</v>
      </c>
      <c r="B334" t="str">
        <f>'Unformatted Trip Summary'!J332</f>
        <v>2017/18</v>
      </c>
      <c r="C334" t="str">
        <f>'Unformatted Trip Summary'!I332</f>
        <v>Light Vehicle Driver</v>
      </c>
      <c r="D334">
        <f>'Unformatted Trip Summary'!D332</f>
        <v>319</v>
      </c>
      <c r="E334">
        <f>'Unformatted Trip Summary'!E332</f>
        <v>2307</v>
      </c>
      <c r="F334" s="1">
        <f>'Unformatted Trip Summary'!F332</f>
        <v>26.895989644</v>
      </c>
      <c r="G334" s="1">
        <f>'Unformatted Trip Summary'!G332</f>
        <v>231.43338102999999</v>
      </c>
      <c r="H334" s="1">
        <f>'Unformatted Trip Summary'!H332</f>
        <v>5.7384923941999997</v>
      </c>
    </row>
    <row r="335" spans="1:8" x14ac:dyDescent="0.2">
      <c r="A335" t="str">
        <f>'Unformatted Trip Summary'!A333</f>
        <v>05 GISBORNE</v>
      </c>
      <c r="B335" t="str">
        <f>'Unformatted Trip Summary'!J333</f>
        <v>2022/23</v>
      </c>
      <c r="C335" t="str">
        <f>'Unformatted Trip Summary'!I333</f>
        <v>Light Vehicle Driver</v>
      </c>
      <c r="D335">
        <f>'Unformatted Trip Summary'!D333</f>
        <v>319</v>
      </c>
      <c r="E335">
        <f>'Unformatted Trip Summary'!E333</f>
        <v>2307</v>
      </c>
      <c r="F335" s="1">
        <f>'Unformatted Trip Summary'!F333</f>
        <v>27.004577224999998</v>
      </c>
      <c r="G335" s="1">
        <f>'Unformatted Trip Summary'!G333</f>
        <v>236.77251361</v>
      </c>
      <c r="H335" s="1">
        <f>'Unformatted Trip Summary'!H333</f>
        <v>5.8621809522000001</v>
      </c>
    </row>
    <row r="336" spans="1:8" x14ac:dyDescent="0.2">
      <c r="A336" t="str">
        <f>'Unformatted Trip Summary'!A334</f>
        <v>05 GISBORNE</v>
      </c>
      <c r="B336" t="str">
        <f>'Unformatted Trip Summary'!J334</f>
        <v>2027/28</v>
      </c>
      <c r="C336" t="str">
        <f>'Unformatted Trip Summary'!I334</f>
        <v>Light Vehicle Driver</v>
      </c>
      <c r="D336">
        <f>'Unformatted Trip Summary'!D334</f>
        <v>319</v>
      </c>
      <c r="E336">
        <f>'Unformatted Trip Summary'!E334</f>
        <v>2307</v>
      </c>
      <c r="F336" s="1">
        <f>'Unformatted Trip Summary'!F334</f>
        <v>25.930514348999999</v>
      </c>
      <c r="G336" s="1">
        <f>'Unformatted Trip Summary'!G334</f>
        <v>230.58090272000001</v>
      </c>
      <c r="H336" s="1">
        <f>'Unformatted Trip Summary'!H334</f>
        <v>5.7039406110000002</v>
      </c>
    </row>
    <row r="337" spans="1:8" x14ac:dyDescent="0.2">
      <c r="A337" t="str">
        <f>'Unformatted Trip Summary'!A335</f>
        <v>05 GISBORNE</v>
      </c>
      <c r="B337" t="str">
        <f>'Unformatted Trip Summary'!J335</f>
        <v>2032/33</v>
      </c>
      <c r="C337" t="str">
        <f>'Unformatted Trip Summary'!I335</f>
        <v>Light Vehicle Driver</v>
      </c>
      <c r="D337">
        <f>'Unformatted Trip Summary'!D335</f>
        <v>319</v>
      </c>
      <c r="E337">
        <f>'Unformatted Trip Summary'!E335</f>
        <v>2307</v>
      </c>
      <c r="F337" s="1">
        <f>'Unformatted Trip Summary'!F335</f>
        <v>24.841491005000002</v>
      </c>
      <c r="G337" s="1">
        <f>'Unformatted Trip Summary'!G335</f>
        <v>223.58153055</v>
      </c>
      <c r="H337" s="1">
        <f>'Unformatted Trip Summary'!H335</f>
        <v>5.5255700399999998</v>
      </c>
    </row>
    <row r="338" spans="1:8" x14ac:dyDescent="0.2">
      <c r="A338" t="str">
        <f>'Unformatted Trip Summary'!A336</f>
        <v>05 GISBORNE</v>
      </c>
      <c r="B338" t="str">
        <f>'Unformatted Trip Summary'!J336</f>
        <v>2037/38</v>
      </c>
      <c r="C338" t="str">
        <f>'Unformatted Trip Summary'!I336</f>
        <v>Light Vehicle Driver</v>
      </c>
      <c r="D338">
        <f>'Unformatted Trip Summary'!D336</f>
        <v>319</v>
      </c>
      <c r="E338">
        <f>'Unformatted Trip Summary'!E336</f>
        <v>2307</v>
      </c>
      <c r="F338" s="1">
        <f>'Unformatted Trip Summary'!F336</f>
        <v>23.870676761999999</v>
      </c>
      <c r="G338" s="1">
        <f>'Unformatted Trip Summary'!G336</f>
        <v>216.34732116000001</v>
      </c>
      <c r="H338" s="1">
        <f>'Unformatted Trip Summary'!H336</f>
        <v>5.3573567305000003</v>
      </c>
    </row>
    <row r="339" spans="1:8" x14ac:dyDescent="0.2">
      <c r="A339" t="str">
        <f>'Unformatted Trip Summary'!A337</f>
        <v>05 GISBORNE</v>
      </c>
      <c r="B339" t="str">
        <f>'Unformatted Trip Summary'!J337</f>
        <v>2042/43</v>
      </c>
      <c r="C339" t="str">
        <f>'Unformatted Trip Summary'!I337</f>
        <v>Light Vehicle Driver</v>
      </c>
      <c r="D339">
        <f>'Unformatted Trip Summary'!D337</f>
        <v>319</v>
      </c>
      <c r="E339">
        <f>'Unformatted Trip Summary'!E337</f>
        <v>2307</v>
      </c>
      <c r="F339" s="1">
        <f>'Unformatted Trip Summary'!F337</f>
        <v>22.983705869000001</v>
      </c>
      <c r="G339" s="1">
        <f>'Unformatted Trip Summary'!G337</f>
        <v>208.96470134</v>
      </c>
      <c r="H339" s="1">
        <f>'Unformatted Trip Summary'!H337</f>
        <v>5.1960142060000001</v>
      </c>
    </row>
    <row r="340" spans="1:8" x14ac:dyDescent="0.2">
      <c r="A340" t="str">
        <f>'Unformatted Trip Summary'!A338</f>
        <v>05 GISBORNE</v>
      </c>
      <c r="B340" t="str">
        <f>'Unformatted Trip Summary'!J338</f>
        <v>2012/13</v>
      </c>
      <c r="C340" t="str">
        <f>'Unformatted Trip Summary'!I338</f>
        <v>Light Vehicle Passenger</v>
      </c>
      <c r="D340">
        <f>'Unformatted Trip Summary'!D338</f>
        <v>278</v>
      </c>
      <c r="E340">
        <f>'Unformatted Trip Summary'!E338</f>
        <v>1431</v>
      </c>
      <c r="F340" s="1">
        <f>'Unformatted Trip Summary'!F338</f>
        <v>18.791024854</v>
      </c>
      <c r="G340" s="1">
        <f>'Unformatted Trip Summary'!G338</f>
        <v>174.74236519999999</v>
      </c>
      <c r="H340" s="1">
        <f>'Unformatted Trip Summary'!H338</f>
        <v>4.5909579553000004</v>
      </c>
    </row>
    <row r="341" spans="1:8" x14ac:dyDescent="0.2">
      <c r="A341" t="str">
        <f>'Unformatted Trip Summary'!A339</f>
        <v>05 GISBORNE</v>
      </c>
      <c r="B341" t="str">
        <f>'Unformatted Trip Summary'!J339</f>
        <v>2017/18</v>
      </c>
      <c r="C341" t="str">
        <f>'Unformatted Trip Summary'!I339</f>
        <v>Light Vehicle Passenger</v>
      </c>
      <c r="D341">
        <f>'Unformatted Trip Summary'!D339</f>
        <v>278</v>
      </c>
      <c r="E341">
        <f>'Unformatted Trip Summary'!E339</f>
        <v>1431</v>
      </c>
      <c r="F341" s="1">
        <f>'Unformatted Trip Summary'!F339</f>
        <v>16.066332581000001</v>
      </c>
      <c r="G341" s="1">
        <f>'Unformatted Trip Summary'!G339</f>
        <v>150.74468472999999</v>
      </c>
      <c r="H341" s="1">
        <f>'Unformatted Trip Summary'!H339</f>
        <v>4.0091183035000002</v>
      </c>
    </row>
    <row r="342" spans="1:8" x14ac:dyDescent="0.2">
      <c r="A342" t="str">
        <f>'Unformatted Trip Summary'!A340</f>
        <v>05 GISBORNE</v>
      </c>
      <c r="B342" t="str">
        <f>'Unformatted Trip Summary'!J340</f>
        <v>2022/23</v>
      </c>
      <c r="C342" t="str">
        <f>'Unformatted Trip Summary'!I340</f>
        <v>Light Vehicle Passenger</v>
      </c>
      <c r="D342">
        <f>'Unformatted Trip Summary'!D340</f>
        <v>278</v>
      </c>
      <c r="E342">
        <f>'Unformatted Trip Summary'!E340</f>
        <v>1431</v>
      </c>
      <c r="F342" s="1">
        <f>'Unformatted Trip Summary'!F340</f>
        <v>15.169250449</v>
      </c>
      <c r="G342" s="1">
        <f>'Unformatted Trip Summary'!G340</f>
        <v>144.13316021</v>
      </c>
      <c r="H342" s="1">
        <f>'Unformatted Trip Summary'!H340</f>
        <v>3.8687531918000002</v>
      </c>
    </row>
    <row r="343" spans="1:8" x14ac:dyDescent="0.2">
      <c r="A343" t="str">
        <f>'Unformatted Trip Summary'!A341</f>
        <v>05 GISBORNE</v>
      </c>
      <c r="B343" t="str">
        <f>'Unformatted Trip Summary'!J341</f>
        <v>2027/28</v>
      </c>
      <c r="C343" t="str">
        <f>'Unformatted Trip Summary'!I341</f>
        <v>Light Vehicle Passenger</v>
      </c>
      <c r="D343">
        <f>'Unformatted Trip Summary'!D341</f>
        <v>278</v>
      </c>
      <c r="E343">
        <f>'Unformatted Trip Summary'!E341</f>
        <v>1431</v>
      </c>
      <c r="F343" s="1">
        <f>'Unformatted Trip Summary'!F341</f>
        <v>13.777104926</v>
      </c>
      <c r="G343" s="1">
        <f>'Unformatted Trip Summary'!G341</f>
        <v>132.43366549999999</v>
      </c>
      <c r="H343" s="1">
        <f>'Unformatted Trip Summary'!H341</f>
        <v>3.5642529458999999</v>
      </c>
    </row>
    <row r="344" spans="1:8" x14ac:dyDescent="0.2">
      <c r="A344" t="str">
        <f>'Unformatted Trip Summary'!A342</f>
        <v>05 GISBORNE</v>
      </c>
      <c r="B344" t="str">
        <f>'Unformatted Trip Summary'!J342</f>
        <v>2032/33</v>
      </c>
      <c r="C344" t="str">
        <f>'Unformatted Trip Summary'!I342</f>
        <v>Light Vehicle Passenger</v>
      </c>
      <c r="D344">
        <f>'Unformatted Trip Summary'!D342</f>
        <v>278</v>
      </c>
      <c r="E344">
        <f>'Unformatted Trip Summary'!E342</f>
        <v>1431</v>
      </c>
      <c r="F344" s="1">
        <f>'Unformatted Trip Summary'!F342</f>
        <v>12.618683002999999</v>
      </c>
      <c r="G344" s="1">
        <f>'Unformatted Trip Summary'!G342</f>
        <v>120.93791216</v>
      </c>
      <c r="H344" s="1">
        <f>'Unformatted Trip Summary'!H342</f>
        <v>3.2732480884999999</v>
      </c>
    </row>
    <row r="345" spans="1:8" x14ac:dyDescent="0.2">
      <c r="A345" t="str">
        <f>'Unformatted Trip Summary'!A343</f>
        <v>05 GISBORNE</v>
      </c>
      <c r="B345" t="str">
        <f>'Unformatted Trip Summary'!J343</f>
        <v>2037/38</v>
      </c>
      <c r="C345" t="str">
        <f>'Unformatted Trip Summary'!I343</f>
        <v>Light Vehicle Passenger</v>
      </c>
      <c r="D345">
        <f>'Unformatted Trip Summary'!D343</f>
        <v>278</v>
      </c>
      <c r="E345">
        <f>'Unformatted Trip Summary'!E343</f>
        <v>1431</v>
      </c>
      <c r="F345" s="1">
        <f>'Unformatted Trip Summary'!F343</f>
        <v>11.754636698000001</v>
      </c>
      <c r="G345" s="1">
        <f>'Unformatted Trip Summary'!G343</f>
        <v>112.36454981</v>
      </c>
      <c r="H345" s="1">
        <f>'Unformatted Trip Summary'!H343</f>
        <v>3.0868616392999999</v>
      </c>
    </row>
    <row r="346" spans="1:8" x14ac:dyDescent="0.2">
      <c r="A346" t="str">
        <f>'Unformatted Trip Summary'!A344</f>
        <v>05 GISBORNE</v>
      </c>
      <c r="B346" t="str">
        <f>'Unformatted Trip Summary'!J344</f>
        <v>2042/43</v>
      </c>
      <c r="C346" t="str">
        <f>'Unformatted Trip Summary'!I344</f>
        <v>Light Vehicle Passenger</v>
      </c>
      <c r="D346">
        <f>'Unformatted Trip Summary'!D344</f>
        <v>278</v>
      </c>
      <c r="E346">
        <f>'Unformatted Trip Summary'!E344</f>
        <v>1431</v>
      </c>
      <c r="F346" s="1">
        <f>'Unformatted Trip Summary'!F344</f>
        <v>11.012423116000001</v>
      </c>
      <c r="G346" s="1">
        <f>'Unformatted Trip Summary'!G344</f>
        <v>104.96033989999999</v>
      </c>
      <c r="H346" s="1">
        <f>'Unformatted Trip Summary'!H344</f>
        <v>2.9315756926000001</v>
      </c>
    </row>
    <row r="347" spans="1:8" x14ac:dyDescent="0.2">
      <c r="A347" t="str">
        <f>'Unformatted Trip Summary'!A345</f>
        <v>05 GISBORNE</v>
      </c>
      <c r="B347" t="str">
        <f>'Unformatted Trip Summary'!J345</f>
        <v>2012/13</v>
      </c>
      <c r="C347" t="str">
        <f>'Unformatted Trip Summary'!I345</f>
        <v>Taxi/Vehicle Share</v>
      </c>
      <c r="D347">
        <f>'Unformatted Trip Summary'!D345</f>
        <v>2</v>
      </c>
      <c r="E347">
        <f>'Unformatted Trip Summary'!E345</f>
        <v>2</v>
      </c>
      <c r="F347" s="1">
        <f>'Unformatted Trip Summary'!F345</f>
        <v>2.27015811E-2</v>
      </c>
      <c r="G347" s="1">
        <f>'Unformatted Trip Summary'!G345</f>
        <v>0.1174510768</v>
      </c>
      <c r="H347" s="1">
        <f>'Unformatted Trip Summary'!H345</f>
        <v>5.0534828E-3</v>
      </c>
    </row>
    <row r="348" spans="1:8" x14ac:dyDescent="0.2">
      <c r="A348" t="str">
        <f>'Unformatted Trip Summary'!A346</f>
        <v>05 GISBORNE</v>
      </c>
      <c r="B348" t="str">
        <f>'Unformatted Trip Summary'!J346</f>
        <v>2017/18</v>
      </c>
      <c r="C348" t="str">
        <f>'Unformatted Trip Summary'!I346</f>
        <v>Taxi/Vehicle Share</v>
      </c>
      <c r="D348">
        <f>'Unformatted Trip Summary'!D346</f>
        <v>2</v>
      </c>
      <c r="E348">
        <f>'Unformatted Trip Summary'!E346</f>
        <v>2</v>
      </c>
      <c r="F348" s="1">
        <f>'Unformatted Trip Summary'!F346</f>
        <v>2.45635731E-2</v>
      </c>
      <c r="G348" s="1">
        <f>'Unformatted Trip Summary'!G346</f>
        <v>0.17738402719999999</v>
      </c>
      <c r="H348" s="1">
        <f>'Unformatted Trip Summary'!H346</f>
        <v>7.3514525000000002E-3</v>
      </c>
    </row>
    <row r="349" spans="1:8" x14ac:dyDescent="0.2">
      <c r="A349" t="str">
        <f>'Unformatted Trip Summary'!A347</f>
        <v>05 GISBORNE</v>
      </c>
      <c r="B349" t="str">
        <f>'Unformatted Trip Summary'!J347</f>
        <v>2022/23</v>
      </c>
      <c r="C349" t="str">
        <f>'Unformatted Trip Summary'!I347</f>
        <v>Taxi/Vehicle Share</v>
      </c>
      <c r="D349">
        <f>'Unformatted Trip Summary'!D347</f>
        <v>2</v>
      </c>
      <c r="E349">
        <f>'Unformatted Trip Summary'!E347</f>
        <v>2</v>
      </c>
      <c r="F349" s="1">
        <f>'Unformatted Trip Summary'!F347</f>
        <v>3.2278462199999997E-2</v>
      </c>
      <c r="G349" s="1">
        <f>'Unformatted Trip Summary'!G347</f>
        <v>0.29374220420000002</v>
      </c>
      <c r="H349" s="1">
        <f>'Unformatted Trip Summary'!H347</f>
        <v>1.19312793E-2</v>
      </c>
    </row>
    <row r="350" spans="1:8" x14ac:dyDescent="0.2">
      <c r="A350" t="str">
        <f>'Unformatted Trip Summary'!A348</f>
        <v>05 GISBORNE</v>
      </c>
      <c r="B350" t="str">
        <f>'Unformatted Trip Summary'!J348</f>
        <v>2027/28</v>
      </c>
      <c r="C350" t="str">
        <f>'Unformatted Trip Summary'!I348</f>
        <v>Taxi/Vehicle Share</v>
      </c>
      <c r="D350">
        <f>'Unformatted Trip Summary'!D348</f>
        <v>2</v>
      </c>
      <c r="E350">
        <f>'Unformatted Trip Summary'!E348</f>
        <v>2</v>
      </c>
      <c r="F350" s="1">
        <f>'Unformatted Trip Summary'!F348</f>
        <v>4.4749733100000001E-2</v>
      </c>
      <c r="G350" s="1">
        <f>'Unformatted Trip Summary'!G348</f>
        <v>0.47067490249999999</v>
      </c>
      <c r="H350" s="1">
        <f>'Unformatted Trip Summary'!H348</f>
        <v>1.89166734E-2</v>
      </c>
    </row>
    <row r="351" spans="1:8" x14ac:dyDescent="0.2">
      <c r="A351" t="str">
        <f>'Unformatted Trip Summary'!A349</f>
        <v>05 GISBORNE</v>
      </c>
      <c r="B351" t="str">
        <f>'Unformatted Trip Summary'!J349</f>
        <v>2032/33</v>
      </c>
      <c r="C351" t="str">
        <f>'Unformatted Trip Summary'!I349</f>
        <v>Taxi/Vehicle Share</v>
      </c>
      <c r="D351">
        <f>'Unformatted Trip Summary'!D349</f>
        <v>2</v>
      </c>
      <c r="E351">
        <f>'Unformatted Trip Summary'!E349</f>
        <v>2</v>
      </c>
      <c r="F351" s="1">
        <f>'Unformatted Trip Summary'!F349</f>
        <v>5.9789534800000002E-2</v>
      </c>
      <c r="G351" s="1">
        <f>'Unformatted Trip Summary'!G349</f>
        <v>0.68066178990000004</v>
      </c>
      <c r="H351" s="1">
        <f>'Unformatted Trip Summary'!H349</f>
        <v>2.7213955500000001E-2</v>
      </c>
    </row>
    <row r="352" spans="1:8" x14ac:dyDescent="0.2">
      <c r="A352" t="str">
        <f>'Unformatted Trip Summary'!A350</f>
        <v>05 GISBORNE</v>
      </c>
      <c r="B352" t="str">
        <f>'Unformatted Trip Summary'!J350</f>
        <v>2037/38</v>
      </c>
      <c r="C352" t="str">
        <f>'Unformatted Trip Summary'!I350</f>
        <v>Taxi/Vehicle Share</v>
      </c>
      <c r="D352">
        <f>'Unformatted Trip Summary'!D350</f>
        <v>2</v>
      </c>
      <c r="E352">
        <f>'Unformatted Trip Summary'!E350</f>
        <v>2</v>
      </c>
      <c r="F352" s="1">
        <f>'Unformatted Trip Summary'!F350</f>
        <v>7.1550029200000004E-2</v>
      </c>
      <c r="G352" s="1">
        <f>'Unformatted Trip Summary'!G350</f>
        <v>0.83941530450000001</v>
      </c>
      <c r="H352" s="1">
        <f>'Unformatted Trip Summary'!H350</f>
        <v>3.3498101799999999E-2</v>
      </c>
    </row>
    <row r="353" spans="1:8" x14ac:dyDescent="0.2">
      <c r="A353" t="str">
        <f>'Unformatted Trip Summary'!A351</f>
        <v>05 GISBORNE</v>
      </c>
      <c r="B353" t="str">
        <f>'Unformatted Trip Summary'!J351</f>
        <v>2042/43</v>
      </c>
      <c r="C353" t="str">
        <f>'Unformatted Trip Summary'!I351</f>
        <v>Taxi/Vehicle Share</v>
      </c>
      <c r="D353">
        <f>'Unformatted Trip Summary'!D351</f>
        <v>2</v>
      </c>
      <c r="E353">
        <f>'Unformatted Trip Summary'!E351</f>
        <v>2</v>
      </c>
      <c r="F353" s="1">
        <f>'Unformatted Trip Summary'!F351</f>
        <v>8.3970096499999994E-2</v>
      </c>
      <c r="G353" s="1">
        <f>'Unformatted Trip Summary'!G351</f>
        <v>1.0061207832000001</v>
      </c>
      <c r="H353" s="1">
        <f>'Unformatted Trip Summary'!H351</f>
        <v>4.0099056399999999E-2</v>
      </c>
    </row>
    <row r="354" spans="1:8" x14ac:dyDescent="0.2">
      <c r="A354" t="str">
        <f>'Unformatted Trip Summary'!A352</f>
        <v>05 GISBORNE</v>
      </c>
      <c r="B354" t="str">
        <f>'Unformatted Trip Summary'!J352</f>
        <v>2012/13</v>
      </c>
      <c r="C354" t="str">
        <f>'Unformatted Trip Summary'!I352</f>
        <v>Motorcyclist</v>
      </c>
      <c r="D354">
        <f>'Unformatted Trip Summary'!D352</f>
        <v>3</v>
      </c>
      <c r="E354">
        <f>'Unformatted Trip Summary'!E352</f>
        <v>16</v>
      </c>
      <c r="F354" s="1">
        <f>'Unformatted Trip Summary'!F352</f>
        <v>0.20072163900000001</v>
      </c>
      <c r="G354" s="1">
        <f>'Unformatted Trip Summary'!G352</f>
        <v>0.95186353219999997</v>
      </c>
      <c r="H354" s="1">
        <f>'Unformatted Trip Summary'!H352</f>
        <v>4.6418087199999999E-2</v>
      </c>
    </row>
    <row r="355" spans="1:8" x14ac:dyDescent="0.2">
      <c r="A355" t="str">
        <f>'Unformatted Trip Summary'!A353</f>
        <v>05 GISBORNE</v>
      </c>
      <c r="B355" t="str">
        <f>'Unformatted Trip Summary'!J353</f>
        <v>2017/18</v>
      </c>
      <c r="C355" t="str">
        <f>'Unformatted Trip Summary'!I353</f>
        <v>Motorcyclist</v>
      </c>
      <c r="D355">
        <f>'Unformatted Trip Summary'!D353</f>
        <v>3</v>
      </c>
      <c r="E355">
        <f>'Unformatted Trip Summary'!E353</f>
        <v>16</v>
      </c>
      <c r="F355" s="1">
        <f>'Unformatted Trip Summary'!F353</f>
        <v>0.1800229364</v>
      </c>
      <c r="G355" s="1">
        <f>'Unformatted Trip Summary'!G353</f>
        <v>0.87975729199999997</v>
      </c>
      <c r="H355" s="1">
        <f>'Unformatted Trip Summary'!H353</f>
        <v>4.1696091499999997E-2</v>
      </c>
    </row>
    <row r="356" spans="1:8" x14ac:dyDescent="0.2">
      <c r="A356" t="str">
        <f>'Unformatted Trip Summary'!A354</f>
        <v>05 GISBORNE</v>
      </c>
      <c r="B356" t="str">
        <f>'Unformatted Trip Summary'!J354</f>
        <v>2022/23</v>
      </c>
      <c r="C356" t="str">
        <f>'Unformatted Trip Summary'!I354</f>
        <v>Motorcyclist</v>
      </c>
      <c r="D356">
        <f>'Unformatted Trip Summary'!D354</f>
        <v>3</v>
      </c>
      <c r="E356">
        <f>'Unformatted Trip Summary'!E354</f>
        <v>16</v>
      </c>
      <c r="F356" s="1">
        <f>'Unformatted Trip Summary'!F354</f>
        <v>0.17083532200000001</v>
      </c>
      <c r="G356" s="1">
        <f>'Unformatted Trip Summary'!G354</f>
        <v>0.86347665600000001</v>
      </c>
      <c r="H356" s="1">
        <f>'Unformatted Trip Summary'!H354</f>
        <v>3.9761759399999999E-2</v>
      </c>
    </row>
    <row r="357" spans="1:8" x14ac:dyDescent="0.2">
      <c r="A357" t="str">
        <f>'Unformatted Trip Summary'!A355</f>
        <v>05 GISBORNE</v>
      </c>
      <c r="B357" t="str">
        <f>'Unformatted Trip Summary'!J355</f>
        <v>2027/28</v>
      </c>
      <c r="C357" t="str">
        <f>'Unformatted Trip Summary'!I355</f>
        <v>Motorcyclist</v>
      </c>
      <c r="D357">
        <f>'Unformatted Trip Summary'!D355</f>
        <v>3</v>
      </c>
      <c r="E357">
        <f>'Unformatted Trip Summary'!E355</f>
        <v>16</v>
      </c>
      <c r="F357" s="1">
        <f>'Unformatted Trip Summary'!F355</f>
        <v>0.14971215430000001</v>
      </c>
      <c r="G357" s="1">
        <f>'Unformatted Trip Summary'!G355</f>
        <v>0.77706692990000004</v>
      </c>
      <c r="H357" s="1">
        <f>'Unformatted Trip Summary'!H355</f>
        <v>3.51243958E-2</v>
      </c>
    </row>
    <row r="358" spans="1:8" x14ac:dyDescent="0.2">
      <c r="A358" t="str">
        <f>'Unformatted Trip Summary'!A356</f>
        <v>05 GISBORNE</v>
      </c>
      <c r="B358" t="str">
        <f>'Unformatted Trip Summary'!J356</f>
        <v>2032/33</v>
      </c>
      <c r="C358" t="str">
        <f>'Unformatted Trip Summary'!I356</f>
        <v>Motorcyclist</v>
      </c>
      <c r="D358">
        <f>'Unformatted Trip Summary'!D356</f>
        <v>3</v>
      </c>
      <c r="E358">
        <f>'Unformatted Trip Summary'!E356</f>
        <v>16</v>
      </c>
      <c r="F358" s="1">
        <f>'Unformatted Trip Summary'!F356</f>
        <v>0.13077002670000001</v>
      </c>
      <c r="G358" s="1">
        <f>'Unformatted Trip Summary'!G356</f>
        <v>0.68142617589999999</v>
      </c>
      <c r="H358" s="1">
        <f>'Unformatted Trip Summary'!H356</f>
        <v>3.0847944299999999E-2</v>
      </c>
    </row>
    <row r="359" spans="1:8" x14ac:dyDescent="0.2">
      <c r="A359" t="str">
        <f>'Unformatted Trip Summary'!A357</f>
        <v>05 GISBORNE</v>
      </c>
      <c r="B359" t="str">
        <f>'Unformatted Trip Summary'!J357</f>
        <v>2037/38</v>
      </c>
      <c r="C359" t="str">
        <f>'Unformatted Trip Summary'!I357</f>
        <v>Motorcyclist</v>
      </c>
      <c r="D359">
        <f>'Unformatted Trip Summary'!D357</f>
        <v>3</v>
      </c>
      <c r="E359">
        <f>'Unformatted Trip Summary'!E357</f>
        <v>16</v>
      </c>
      <c r="F359" s="1">
        <f>'Unformatted Trip Summary'!F357</f>
        <v>0.1149460833</v>
      </c>
      <c r="G359" s="1">
        <f>'Unformatted Trip Summary'!G357</f>
        <v>0.59209425569999996</v>
      </c>
      <c r="H359" s="1">
        <f>'Unformatted Trip Summary'!H357</f>
        <v>2.7184605800000001E-2</v>
      </c>
    </row>
    <row r="360" spans="1:8" x14ac:dyDescent="0.2">
      <c r="A360" t="str">
        <f>'Unformatted Trip Summary'!A358</f>
        <v>05 GISBORNE</v>
      </c>
      <c r="B360" t="str">
        <f>'Unformatted Trip Summary'!J358</f>
        <v>2042/43</v>
      </c>
      <c r="C360" t="str">
        <f>'Unformatted Trip Summary'!I358</f>
        <v>Motorcyclist</v>
      </c>
      <c r="D360">
        <f>'Unformatted Trip Summary'!D358</f>
        <v>3</v>
      </c>
      <c r="E360">
        <f>'Unformatted Trip Summary'!E358</f>
        <v>16</v>
      </c>
      <c r="F360" s="1">
        <f>'Unformatted Trip Summary'!F358</f>
        <v>9.9504337999999998E-2</v>
      </c>
      <c r="G360" s="1">
        <f>'Unformatted Trip Summary'!G358</f>
        <v>0.50905765780000001</v>
      </c>
      <c r="H360" s="1">
        <f>'Unformatted Trip Summary'!H358</f>
        <v>2.3578624100000001E-2</v>
      </c>
    </row>
    <row r="361" spans="1:8" x14ac:dyDescent="0.2">
      <c r="A361" t="str">
        <f>'Unformatted Trip Summary'!A359</f>
        <v>05 GISBORNE</v>
      </c>
      <c r="B361" t="str">
        <f>'Unformatted Trip Summary'!J359</f>
        <v>2012/13</v>
      </c>
      <c r="C361" t="str">
        <f>'Unformatted Trip Summary'!I359</f>
        <v>Local Train</v>
      </c>
      <c r="D361">
        <f>'Unformatted Trip Summary'!D359</f>
        <v>1</v>
      </c>
      <c r="E361">
        <f>'Unformatted Trip Summary'!E359</f>
        <v>3</v>
      </c>
      <c r="F361" s="1">
        <f>'Unformatted Trip Summary'!F359</f>
        <v>2.2764127700000001E-2</v>
      </c>
      <c r="G361" s="1">
        <f>'Unformatted Trip Summary'!G359</f>
        <v>0</v>
      </c>
      <c r="H361" s="1">
        <f>'Unformatted Trip Summary'!H359</f>
        <v>2.5293475000000001E-3</v>
      </c>
    </row>
    <row r="362" spans="1:8" x14ac:dyDescent="0.2">
      <c r="A362" t="str">
        <f>'Unformatted Trip Summary'!A360</f>
        <v>05 GISBORNE</v>
      </c>
      <c r="B362" t="str">
        <f>'Unformatted Trip Summary'!J360</f>
        <v>2017/18</v>
      </c>
      <c r="C362" t="str">
        <f>'Unformatted Trip Summary'!I360</f>
        <v>Local Train</v>
      </c>
      <c r="D362">
        <f>'Unformatted Trip Summary'!D360</f>
        <v>1</v>
      </c>
      <c r="E362">
        <f>'Unformatted Trip Summary'!E360</f>
        <v>3</v>
      </c>
      <c r="F362" s="1">
        <f>'Unformatted Trip Summary'!F360</f>
        <v>3.77778842E-2</v>
      </c>
      <c r="G362" s="1">
        <f>'Unformatted Trip Summary'!G360</f>
        <v>0</v>
      </c>
      <c r="H362" s="1">
        <f>'Unformatted Trip Summary'!H360</f>
        <v>4.1917867000000001E-3</v>
      </c>
    </row>
    <row r="363" spans="1:8" x14ac:dyDescent="0.2">
      <c r="A363" t="str">
        <f>'Unformatted Trip Summary'!A361</f>
        <v>05 GISBORNE</v>
      </c>
      <c r="B363" t="str">
        <f>'Unformatted Trip Summary'!J361</f>
        <v>2022/23</v>
      </c>
      <c r="C363" t="str">
        <f>'Unformatted Trip Summary'!I361</f>
        <v>Local Train</v>
      </c>
      <c r="D363">
        <f>'Unformatted Trip Summary'!D361</f>
        <v>1</v>
      </c>
      <c r="E363">
        <f>'Unformatted Trip Summary'!E361</f>
        <v>3</v>
      </c>
      <c r="F363" s="1">
        <f>'Unformatted Trip Summary'!F361</f>
        <v>6.4978466799999995E-2</v>
      </c>
      <c r="G363" s="1">
        <f>'Unformatted Trip Summary'!G361</f>
        <v>0</v>
      </c>
      <c r="H363" s="1">
        <f>'Unformatted Trip Summary'!H361</f>
        <v>7.1981676000000003E-3</v>
      </c>
    </row>
    <row r="364" spans="1:8" x14ac:dyDescent="0.2">
      <c r="A364" t="str">
        <f>'Unformatted Trip Summary'!A362</f>
        <v>05 GISBORNE</v>
      </c>
      <c r="B364" t="str">
        <f>'Unformatted Trip Summary'!J362</f>
        <v>2027/28</v>
      </c>
      <c r="C364" t="str">
        <f>'Unformatted Trip Summary'!I362</f>
        <v>Local Train</v>
      </c>
      <c r="D364">
        <f>'Unformatted Trip Summary'!D362</f>
        <v>1</v>
      </c>
      <c r="E364">
        <f>'Unformatted Trip Summary'!E362</f>
        <v>3</v>
      </c>
      <c r="F364" s="1">
        <f>'Unformatted Trip Summary'!F362</f>
        <v>0.105513359</v>
      </c>
      <c r="G364" s="1">
        <f>'Unformatted Trip Summary'!G362</f>
        <v>0</v>
      </c>
      <c r="H364" s="1">
        <f>'Unformatted Trip Summary'!H362</f>
        <v>1.1670417000000001E-2</v>
      </c>
    </row>
    <row r="365" spans="1:8" x14ac:dyDescent="0.2">
      <c r="A365" t="str">
        <f>'Unformatted Trip Summary'!A363</f>
        <v>05 GISBORNE</v>
      </c>
      <c r="B365" t="str">
        <f>'Unformatted Trip Summary'!J363</f>
        <v>2032/33</v>
      </c>
      <c r="C365" t="str">
        <f>'Unformatted Trip Summary'!I363</f>
        <v>Local Train</v>
      </c>
      <c r="D365">
        <f>'Unformatted Trip Summary'!D363</f>
        <v>1</v>
      </c>
      <c r="E365">
        <f>'Unformatted Trip Summary'!E363</f>
        <v>3</v>
      </c>
      <c r="F365" s="1">
        <f>'Unformatted Trip Summary'!F363</f>
        <v>0.15251805830000001</v>
      </c>
      <c r="G365" s="1">
        <f>'Unformatted Trip Summary'!G363</f>
        <v>0</v>
      </c>
      <c r="H365" s="1">
        <f>'Unformatted Trip Summary'!H363</f>
        <v>1.68416079E-2</v>
      </c>
    </row>
    <row r="366" spans="1:8" x14ac:dyDescent="0.2">
      <c r="A366" t="str">
        <f>'Unformatted Trip Summary'!A364</f>
        <v>05 GISBORNE</v>
      </c>
      <c r="B366" t="str">
        <f>'Unformatted Trip Summary'!J364</f>
        <v>2037/38</v>
      </c>
      <c r="C366" t="str">
        <f>'Unformatted Trip Summary'!I364</f>
        <v>Local Train</v>
      </c>
      <c r="D366">
        <f>'Unformatted Trip Summary'!D364</f>
        <v>1</v>
      </c>
      <c r="E366">
        <f>'Unformatted Trip Summary'!E364</f>
        <v>3</v>
      </c>
      <c r="F366" s="1">
        <f>'Unformatted Trip Summary'!F364</f>
        <v>0.1861490596</v>
      </c>
      <c r="G366" s="1">
        <f>'Unformatted Trip Summary'!G364</f>
        <v>0</v>
      </c>
      <c r="H366" s="1">
        <f>'Unformatted Trip Summary'!H364</f>
        <v>2.0515072499999999E-2</v>
      </c>
    </row>
    <row r="367" spans="1:8" x14ac:dyDescent="0.2">
      <c r="A367" t="str">
        <f>'Unformatted Trip Summary'!A365</f>
        <v>05 GISBORNE</v>
      </c>
      <c r="B367" t="str">
        <f>'Unformatted Trip Summary'!J365</f>
        <v>2042/43</v>
      </c>
      <c r="C367" t="str">
        <f>'Unformatted Trip Summary'!I365</f>
        <v>Local Train</v>
      </c>
      <c r="D367">
        <f>'Unformatted Trip Summary'!D365</f>
        <v>1</v>
      </c>
      <c r="E367">
        <f>'Unformatted Trip Summary'!E365</f>
        <v>3</v>
      </c>
      <c r="F367" s="1">
        <f>'Unformatted Trip Summary'!F365</f>
        <v>0.22067698899999999</v>
      </c>
      <c r="G367" s="1">
        <f>'Unformatted Trip Summary'!G365</f>
        <v>0</v>
      </c>
      <c r="H367" s="1">
        <f>'Unformatted Trip Summary'!H365</f>
        <v>2.4274468800000001E-2</v>
      </c>
    </row>
    <row r="368" spans="1:8" x14ac:dyDescent="0.2">
      <c r="A368" t="str">
        <f>'Unformatted Trip Summary'!A366</f>
        <v>05 GISBORNE</v>
      </c>
      <c r="B368" t="str">
        <f>'Unformatted Trip Summary'!J366</f>
        <v>2012/13</v>
      </c>
      <c r="C368" t="str">
        <f>'Unformatted Trip Summary'!I366</f>
        <v>Local Bus</v>
      </c>
      <c r="D368">
        <f>'Unformatted Trip Summary'!D366</f>
        <v>18</v>
      </c>
      <c r="E368">
        <f>'Unformatted Trip Summary'!E366</f>
        <v>34</v>
      </c>
      <c r="F368" s="1">
        <f>'Unformatted Trip Summary'!F366</f>
        <v>0.39415976190000002</v>
      </c>
      <c r="G368" s="1">
        <f>'Unformatted Trip Summary'!G366</f>
        <v>4.8778387282000004</v>
      </c>
      <c r="H368" s="1">
        <f>'Unformatted Trip Summary'!H366</f>
        <v>0.17812381360000001</v>
      </c>
    </row>
    <row r="369" spans="1:8" x14ac:dyDescent="0.2">
      <c r="A369" t="str">
        <f>'Unformatted Trip Summary'!A367</f>
        <v>05 GISBORNE</v>
      </c>
      <c r="B369" t="str">
        <f>'Unformatted Trip Summary'!J367</f>
        <v>2017/18</v>
      </c>
      <c r="C369" t="str">
        <f>'Unformatted Trip Summary'!I367</f>
        <v>Local Bus</v>
      </c>
      <c r="D369">
        <f>'Unformatted Trip Summary'!D367</f>
        <v>18</v>
      </c>
      <c r="E369">
        <f>'Unformatted Trip Summary'!E367</f>
        <v>34</v>
      </c>
      <c r="F369" s="1">
        <f>'Unformatted Trip Summary'!F367</f>
        <v>0.32561049520000002</v>
      </c>
      <c r="G369" s="1">
        <f>'Unformatted Trip Summary'!G367</f>
        <v>3.9560555215000002</v>
      </c>
      <c r="H369" s="1">
        <f>'Unformatted Trip Summary'!H367</f>
        <v>0.14737933010000001</v>
      </c>
    </row>
    <row r="370" spans="1:8" x14ac:dyDescent="0.2">
      <c r="A370" t="str">
        <f>'Unformatted Trip Summary'!A368</f>
        <v>05 GISBORNE</v>
      </c>
      <c r="B370" t="str">
        <f>'Unformatted Trip Summary'!J368</f>
        <v>2022/23</v>
      </c>
      <c r="C370" t="str">
        <f>'Unformatted Trip Summary'!I368</f>
        <v>Local Bus</v>
      </c>
      <c r="D370">
        <f>'Unformatted Trip Summary'!D368</f>
        <v>18</v>
      </c>
      <c r="E370">
        <f>'Unformatted Trip Summary'!E368</f>
        <v>34</v>
      </c>
      <c r="F370" s="1">
        <f>'Unformatted Trip Summary'!F368</f>
        <v>0.30948882170000003</v>
      </c>
      <c r="G370" s="1">
        <f>'Unformatted Trip Summary'!G368</f>
        <v>3.6206602275000002</v>
      </c>
      <c r="H370" s="1">
        <f>'Unformatted Trip Summary'!H368</f>
        <v>0.1399183886</v>
      </c>
    </row>
    <row r="371" spans="1:8" x14ac:dyDescent="0.2">
      <c r="A371" t="str">
        <f>'Unformatted Trip Summary'!A369</f>
        <v>05 GISBORNE</v>
      </c>
      <c r="B371" t="str">
        <f>'Unformatted Trip Summary'!J369</f>
        <v>2027/28</v>
      </c>
      <c r="C371" t="str">
        <f>'Unformatted Trip Summary'!I369</f>
        <v>Local Bus</v>
      </c>
      <c r="D371">
        <f>'Unformatted Trip Summary'!D369</f>
        <v>18</v>
      </c>
      <c r="E371">
        <f>'Unformatted Trip Summary'!E369</f>
        <v>34</v>
      </c>
      <c r="F371" s="1">
        <f>'Unformatted Trip Summary'!F369</f>
        <v>0.31035847319999998</v>
      </c>
      <c r="G371" s="1">
        <f>'Unformatted Trip Summary'!G369</f>
        <v>3.2354607871000001</v>
      </c>
      <c r="H371" s="1">
        <f>'Unformatted Trip Summary'!H369</f>
        <v>0.1383155388</v>
      </c>
    </row>
    <row r="372" spans="1:8" x14ac:dyDescent="0.2">
      <c r="A372" t="str">
        <f>'Unformatted Trip Summary'!A370</f>
        <v>05 GISBORNE</v>
      </c>
      <c r="B372" t="str">
        <f>'Unformatted Trip Summary'!J370</f>
        <v>2032/33</v>
      </c>
      <c r="C372" t="str">
        <f>'Unformatted Trip Summary'!I370</f>
        <v>Local Bus</v>
      </c>
      <c r="D372">
        <f>'Unformatted Trip Summary'!D370</f>
        <v>18</v>
      </c>
      <c r="E372">
        <f>'Unformatted Trip Summary'!E370</f>
        <v>34</v>
      </c>
      <c r="F372" s="1">
        <f>'Unformatted Trip Summary'!F370</f>
        <v>0.32691121229999998</v>
      </c>
      <c r="G372" s="1">
        <f>'Unformatted Trip Summary'!G370</f>
        <v>2.8607936544000001</v>
      </c>
      <c r="H372" s="1">
        <f>'Unformatted Trip Summary'!H370</f>
        <v>0.1420258385</v>
      </c>
    </row>
    <row r="373" spans="1:8" x14ac:dyDescent="0.2">
      <c r="A373" t="str">
        <f>'Unformatted Trip Summary'!A371</f>
        <v>05 GISBORNE</v>
      </c>
      <c r="B373" t="str">
        <f>'Unformatted Trip Summary'!J371</f>
        <v>2037/38</v>
      </c>
      <c r="C373" t="str">
        <f>'Unformatted Trip Summary'!I371</f>
        <v>Local Bus</v>
      </c>
      <c r="D373">
        <f>'Unformatted Trip Summary'!D371</f>
        <v>18</v>
      </c>
      <c r="E373">
        <f>'Unformatted Trip Summary'!E371</f>
        <v>34</v>
      </c>
      <c r="F373" s="1">
        <f>'Unformatted Trip Summary'!F371</f>
        <v>0.33939189320000002</v>
      </c>
      <c r="G373" s="1">
        <f>'Unformatted Trip Summary'!G371</f>
        <v>2.6895364703000002</v>
      </c>
      <c r="H373" s="1">
        <f>'Unformatted Trip Summary'!H371</f>
        <v>0.14740256860000001</v>
      </c>
    </row>
    <row r="374" spans="1:8" x14ac:dyDescent="0.2">
      <c r="A374" t="str">
        <f>'Unformatted Trip Summary'!A372</f>
        <v>05 GISBORNE</v>
      </c>
      <c r="B374" t="str">
        <f>'Unformatted Trip Summary'!J372</f>
        <v>2042/43</v>
      </c>
      <c r="C374" t="str">
        <f>'Unformatted Trip Summary'!I372</f>
        <v>Local Bus</v>
      </c>
      <c r="D374">
        <f>'Unformatted Trip Summary'!D372</f>
        <v>18</v>
      </c>
      <c r="E374">
        <f>'Unformatted Trip Summary'!E372</f>
        <v>34</v>
      </c>
      <c r="F374" s="1">
        <f>'Unformatted Trip Summary'!F372</f>
        <v>0.35667972619999999</v>
      </c>
      <c r="G374" s="1">
        <f>'Unformatted Trip Summary'!G372</f>
        <v>2.5386672350000001</v>
      </c>
      <c r="H374" s="1">
        <f>'Unformatted Trip Summary'!H372</f>
        <v>0.1542887272</v>
      </c>
    </row>
    <row r="375" spans="1:8" x14ac:dyDescent="0.2">
      <c r="A375" t="str">
        <f>'Unformatted Trip Summary'!A373</f>
        <v>05 GISBORNE</v>
      </c>
      <c r="B375" t="str">
        <f>'Unformatted Trip Summary'!J373</f>
        <v>2012/13</v>
      </c>
      <c r="C375" t="str">
        <f>'Unformatted Trip Summary'!I373</f>
        <v>Local Ferry</v>
      </c>
      <c r="D375">
        <f>'Unformatted Trip Summary'!D373</f>
        <v>1</v>
      </c>
      <c r="E375">
        <f>'Unformatted Trip Summary'!E373</f>
        <v>2</v>
      </c>
      <c r="F375" s="1">
        <f>'Unformatted Trip Summary'!F373</f>
        <v>1.5651153399999999E-2</v>
      </c>
      <c r="G375" s="1">
        <f>'Unformatted Trip Summary'!G373</f>
        <v>0</v>
      </c>
      <c r="H375" s="1">
        <f>'Unformatted Trip Summary'!H373</f>
        <v>6.5213138999999998E-3</v>
      </c>
    </row>
    <row r="376" spans="1:8" x14ac:dyDescent="0.2">
      <c r="A376" t="str">
        <f>'Unformatted Trip Summary'!A374</f>
        <v>05 GISBORNE</v>
      </c>
      <c r="B376" t="str">
        <f>'Unformatted Trip Summary'!J374</f>
        <v>2017/18</v>
      </c>
      <c r="C376" t="str">
        <f>'Unformatted Trip Summary'!I374</f>
        <v>Local Ferry</v>
      </c>
      <c r="D376">
        <f>'Unformatted Trip Summary'!D374</f>
        <v>1</v>
      </c>
      <c r="E376">
        <f>'Unformatted Trip Summary'!E374</f>
        <v>2</v>
      </c>
      <c r="F376" s="1">
        <f>'Unformatted Trip Summary'!F374</f>
        <v>1.4467232E-2</v>
      </c>
      <c r="G376" s="1">
        <f>'Unformatted Trip Summary'!G374</f>
        <v>0</v>
      </c>
      <c r="H376" s="1">
        <f>'Unformatted Trip Summary'!H374</f>
        <v>6.0280133000000001E-3</v>
      </c>
    </row>
    <row r="377" spans="1:8" x14ac:dyDescent="0.2">
      <c r="A377" t="str">
        <f>'Unformatted Trip Summary'!A375</f>
        <v>05 GISBORNE</v>
      </c>
      <c r="B377" t="str">
        <f>'Unformatted Trip Summary'!J375</f>
        <v>2022/23</v>
      </c>
      <c r="C377" t="str">
        <f>'Unformatted Trip Summary'!I375</f>
        <v>Local Ferry</v>
      </c>
      <c r="D377">
        <f>'Unformatted Trip Summary'!D375</f>
        <v>1</v>
      </c>
      <c r="E377">
        <f>'Unformatted Trip Summary'!E375</f>
        <v>2</v>
      </c>
      <c r="F377" s="1">
        <f>'Unformatted Trip Summary'!F375</f>
        <v>1.31863398E-2</v>
      </c>
      <c r="G377" s="1">
        <f>'Unformatted Trip Summary'!G375</f>
        <v>0</v>
      </c>
      <c r="H377" s="1">
        <f>'Unformatted Trip Summary'!H375</f>
        <v>5.4943081999999999E-3</v>
      </c>
    </row>
    <row r="378" spans="1:8" x14ac:dyDescent="0.2">
      <c r="A378" t="str">
        <f>'Unformatted Trip Summary'!A376</f>
        <v>05 GISBORNE</v>
      </c>
      <c r="B378" t="str">
        <f>'Unformatted Trip Summary'!J376</f>
        <v>2027/28</v>
      </c>
      <c r="C378" t="str">
        <f>'Unformatted Trip Summary'!I376</f>
        <v>Local Ferry</v>
      </c>
      <c r="D378">
        <f>'Unformatted Trip Summary'!D376</f>
        <v>1</v>
      </c>
      <c r="E378">
        <f>'Unformatted Trip Summary'!E376</f>
        <v>2</v>
      </c>
      <c r="F378" s="1">
        <f>'Unformatted Trip Summary'!F376</f>
        <v>1.3009267E-2</v>
      </c>
      <c r="G378" s="1">
        <f>'Unformatted Trip Summary'!G376</f>
        <v>0</v>
      </c>
      <c r="H378" s="1">
        <f>'Unformatted Trip Summary'!H376</f>
        <v>5.4205279000000004E-3</v>
      </c>
    </row>
    <row r="379" spans="1:8" x14ac:dyDescent="0.2">
      <c r="A379" t="str">
        <f>'Unformatted Trip Summary'!A377</f>
        <v>05 GISBORNE</v>
      </c>
      <c r="B379" t="str">
        <f>'Unformatted Trip Summary'!J377</f>
        <v>2032/33</v>
      </c>
      <c r="C379" t="str">
        <f>'Unformatted Trip Summary'!I377</f>
        <v>Local Ferry</v>
      </c>
      <c r="D379">
        <f>'Unformatted Trip Summary'!D377</f>
        <v>1</v>
      </c>
      <c r="E379">
        <f>'Unformatted Trip Summary'!E377</f>
        <v>2</v>
      </c>
      <c r="F379" s="1">
        <f>'Unformatted Trip Summary'!F377</f>
        <v>1.4411093E-2</v>
      </c>
      <c r="G379" s="1">
        <f>'Unformatted Trip Summary'!G377</f>
        <v>0</v>
      </c>
      <c r="H379" s="1">
        <f>'Unformatted Trip Summary'!H377</f>
        <v>6.0046220999999999E-3</v>
      </c>
    </row>
    <row r="380" spans="1:8" x14ac:dyDescent="0.2">
      <c r="A380" t="str">
        <f>'Unformatted Trip Summary'!A378</f>
        <v>05 GISBORNE</v>
      </c>
      <c r="B380" t="str">
        <f>'Unformatted Trip Summary'!J378</f>
        <v>2037/38</v>
      </c>
      <c r="C380" t="str">
        <f>'Unformatted Trip Summary'!I378</f>
        <v>Local Ferry</v>
      </c>
      <c r="D380">
        <f>'Unformatted Trip Summary'!D378</f>
        <v>1</v>
      </c>
      <c r="E380">
        <f>'Unformatted Trip Summary'!E378</f>
        <v>2</v>
      </c>
      <c r="F380" s="1">
        <f>'Unformatted Trip Summary'!F378</f>
        <v>1.7040618300000001E-2</v>
      </c>
      <c r="G380" s="1">
        <f>'Unformatted Trip Summary'!G378</f>
        <v>0</v>
      </c>
      <c r="H380" s="1">
        <f>'Unformatted Trip Summary'!H378</f>
        <v>7.1002575999999998E-3</v>
      </c>
    </row>
    <row r="381" spans="1:8" x14ac:dyDescent="0.2">
      <c r="A381" t="str">
        <f>'Unformatted Trip Summary'!A379</f>
        <v>05 GISBORNE</v>
      </c>
      <c r="B381" t="str">
        <f>'Unformatted Trip Summary'!J379</f>
        <v>2042/43</v>
      </c>
      <c r="C381" t="str">
        <f>'Unformatted Trip Summary'!I379</f>
        <v>Local Ferry</v>
      </c>
      <c r="D381">
        <f>'Unformatted Trip Summary'!D379</f>
        <v>1</v>
      </c>
      <c r="E381">
        <f>'Unformatted Trip Summary'!E379</f>
        <v>2</v>
      </c>
      <c r="F381" s="1">
        <f>'Unformatted Trip Summary'!F379</f>
        <v>1.9717857200000001E-2</v>
      </c>
      <c r="G381" s="1">
        <f>'Unformatted Trip Summary'!G379</f>
        <v>0</v>
      </c>
      <c r="H381" s="1">
        <f>'Unformatted Trip Summary'!H379</f>
        <v>8.2157737999999994E-3</v>
      </c>
    </row>
    <row r="382" spans="1:8" x14ac:dyDescent="0.2">
      <c r="A382" t="str">
        <f>'Unformatted Trip Summary'!A380</f>
        <v>05 GISBORNE</v>
      </c>
      <c r="B382" t="str">
        <f>'Unformatted Trip Summary'!J380</f>
        <v>2012/13</v>
      </c>
      <c r="C382" t="str">
        <f>'Unformatted Trip Summary'!I380</f>
        <v>Other Household Travel</v>
      </c>
      <c r="D382">
        <f>'Unformatted Trip Summary'!D380</f>
        <v>1</v>
      </c>
      <c r="E382">
        <f>'Unformatted Trip Summary'!E380</f>
        <v>2</v>
      </c>
      <c r="F382" s="1">
        <f>'Unformatted Trip Summary'!F380</f>
        <v>3.13358953E-2</v>
      </c>
      <c r="G382" s="1">
        <f>'Unformatted Trip Summary'!G380</f>
        <v>0</v>
      </c>
      <c r="H382" s="1">
        <f>'Unformatted Trip Summary'!H380</f>
        <v>5.2226492000000003E-3</v>
      </c>
    </row>
    <row r="383" spans="1:8" x14ac:dyDescent="0.2">
      <c r="A383" t="str">
        <f>'Unformatted Trip Summary'!A381</f>
        <v>05 GISBORNE</v>
      </c>
      <c r="B383" t="str">
        <f>'Unformatted Trip Summary'!J381</f>
        <v>2017/18</v>
      </c>
      <c r="C383" t="str">
        <f>'Unformatted Trip Summary'!I381</f>
        <v>Other Household Travel</v>
      </c>
      <c r="D383">
        <f>'Unformatted Trip Summary'!D381</f>
        <v>1</v>
      </c>
      <c r="E383">
        <f>'Unformatted Trip Summary'!E381</f>
        <v>2</v>
      </c>
      <c r="F383" s="1">
        <f>'Unformatted Trip Summary'!F381</f>
        <v>2.3792926799999999E-2</v>
      </c>
      <c r="G383" s="1">
        <f>'Unformatted Trip Summary'!G381</f>
        <v>0</v>
      </c>
      <c r="H383" s="1">
        <f>'Unformatted Trip Summary'!H381</f>
        <v>3.9654877999999996E-3</v>
      </c>
    </row>
    <row r="384" spans="1:8" x14ac:dyDescent="0.2">
      <c r="A384" t="str">
        <f>'Unformatted Trip Summary'!A382</f>
        <v>05 GISBORNE</v>
      </c>
      <c r="B384" t="str">
        <f>'Unformatted Trip Summary'!J382</f>
        <v>2022/23</v>
      </c>
      <c r="C384" t="str">
        <f>'Unformatted Trip Summary'!I382</f>
        <v>Other Household Travel</v>
      </c>
      <c r="D384">
        <f>'Unformatted Trip Summary'!D382</f>
        <v>1</v>
      </c>
      <c r="E384">
        <f>'Unformatted Trip Summary'!E382</f>
        <v>2</v>
      </c>
      <c r="F384" s="1">
        <f>'Unformatted Trip Summary'!F382</f>
        <v>1.7145705899999999E-2</v>
      </c>
      <c r="G384" s="1">
        <f>'Unformatted Trip Summary'!G382</f>
        <v>0</v>
      </c>
      <c r="H384" s="1">
        <f>'Unformatted Trip Summary'!H382</f>
        <v>2.8576177E-3</v>
      </c>
    </row>
    <row r="385" spans="1:8" x14ac:dyDescent="0.2">
      <c r="A385" t="str">
        <f>'Unformatted Trip Summary'!A383</f>
        <v>05 GISBORNE</v>
      </c>
      <c r="B385" t="str">
        <f>'Unformatted Trip Summary'!J383</f>
        <v>2027/28</v>
      </c>
      <c r="C385" t="str">
        <f>'Unformatted Trip Summary'!I383</f>
        <v>Other Household Travel</v>
      </c>
      <c r="D385">
        <f>'Unformatted Trip Summary'!D383</f>
        <v>1</v>
      </c>
      <c r="E385">
        <f>'Unformatted Trip Summary'!E383</f>
        <v>2</v>
      </c>
      <c r="F385" s="1">
        <f>'Unformatted Trip Summary'!F383</f>
        <v>1.31948359E-2</v>
      </c>
      <c r="G385" s="1">
        <f>'Unformatted Trip Summary'!G383</f>
        <v>0</v>
      </c>
      <c r="H385" s="1">
        <f>'Unformatted Trip Summary'!H383</f>
        <v>2.1991392999999998E-3</v>
      </c>
    </row>
    <row r="386" spans="1:8" x14ac:dyDescent="0.2">
      <c r="A386" t="str">
        <f>'Unformatted Trip Summary'!A384</f>
        <v>05 GISBORNE</v>
      </c>
      <c r="B386" t="str">
        <f>'Unformatted Trip Summary'!J384</f>
        <v>2032/33</v>
      </c>
      <c r="C386" t="str">
        <f>'Unformatted Trip Summary'!I384</f>
        <v>Other Household Travel</v>
      </c>
      <c r="D386">
        <f>'Unformatted Trip Summary'!D384</f>
        <v>1</v>
      </c>
      <c r="E386">
        <f>'Unformatted Trip Summary'!E384</f>
        <v>2</v>
      </c>
      <c r="F386" s="1">
        <f>'Unformatted Trip Summary'!F384</f>
        <v>9.4502109000000004E-3</v>
      </c>
      <c r="G386" s="1">
        <f>'Unformatted Trip Summary'!G384</f>
        <v>0</v>
      </c>
      <c r="H386" s="1">
        <f>'Unformatted Trip Summary'!H384</f>
        <v>1.5750351000000001E-3</v>
      </c>
    </row>
    <row r="387" spans="1:8" x14ac:dyDescent="0.2">
      <c r="A387" t="str">
        <f>'Unformatted Trip Summary'!A385</f>
        <v>05 GISBORNE</v>
      </c>
      <c r="B387" t="str">
        <f>'Unformatted Trip Summary'!J385</f>
        <v>2037/38</v>
      </c>
      <c r="C387" t="str">
        <f>'Unformatted Trip Summary'!I385</f>
        <v>Other Household Travel</v>
      </c>
      <c r="D387">
        <f>'Unformatted Trip Summary'!D385</f>
        <v>1</v>
      </c>
      <c r="E387">
        <f>'Unformatted Trip Summary'!E385</f>
        <v>2</v>
      </c>
      <c r="F387" s="1">
        <f>'Unformatted Trip Summary'!F385</f>
        <v>5.6836604999999998E-3</v>
      </c>
      <c r="G387" s="1">
        <f>'Unformatted Trip Summary'!G385</f>
        <v>0</v>
      </c>
      <c r="H387" s="1">
        <f>'Unformatted Trip Summary'!H385</f>
        <v>9.4727669999999996E-4</v>
      </c>
    </row>
    <row r="388" spans="1:8" x14ac:dyDescent="0.2">
      <c r="A388" t="str">
        <f>'Unformatted Trip Summary'!A386</f>
        <v>05 GISBORNE</v>
      </c>
      <c r="B388" t="str">
        <f>'Unformatted Trip Summary'!J386</f>
        <v>2042/43</v>
      </c>
      <c r="C388" t="str">
        <f>'Unformatted Trip Summary'!I386</f>
        <v>Other Household Travel</v>
      </c>
      <c r="D388">
        <f>'Unformatted Trip Summary'!D386</f>
        <v>1</v>
      </c>
      <c r="E388">
        <f>'Unformatted Trip Summary'!E386</f>
        <v>2</v>
      </c>
      <c r="F388" s="1">
        <f>'Unformatted Trip Summary'!F386</f>
        <v>3.1182524999999999E-3</v>
      </c>
      <c r="G388" s="1">
        <f>'Unformatted Trip Summary'!G386</f>
        <v>0</v>
      </c>
      <c r="H388" s="1">
        <f>'Unformatted Trip Summary'!H386</f>
        <v>5.1970879999999997E-4</v>
      </c>
    </row>
    <row r="389" spans="1:8" x14ac:dyDescent="0.2">
      <c r="A389" t="str">
        <f>'Unformatted Trip Summary'!A387</f>
        <v>05 GISBORNE</v>
      </c>
      <c r="B389" t="str">
        <f>'Unformatted Trip Summary'!J387</f>
        <v>2012/13</v>
      </c>
      <c r="C389" t="str">
        <f>'Unformatted Trip Summary'!I387</f>
        <v>Air/Non-Local PT</v>
      </c>
      <c r="D389">
        <f>'Unformatted Trip Summary'!D387</f>
        <v>12</v>
      </c>
      <c r="E389">
        <f>'Unformatted Trip Summary'!E387</f>
        <v>20</v>
      </c>
      <c r="F389" s="1">
        <f>'Unformatted Trip Summary'!F387</f>
        <v>0.31271654580000002</v>
      </c>
      <c r="G389" s="1">
        <f>'Unformatted Trip Summary'!G387</f>
        <v>23.012948782999999</v>
      </c>
      <c r="H389" s="1">
        <f>'Unformatted Trip Summary'!H387</f>
        <v>0.66485160600000004</v>
      </c>
    </row>
    <row r="390" spans="1:8" x14ac:dyDescent="0.2">
      <c r="A390" t="str">
        <f>'Unformatted Trip Summary'!A388</f>
        <v>05 GISBORNE</v>
      </c>
      <c r="B390" t="str">
        <f>'Unformatted Trip Summary'!J388</f>
        <v>2017/18</v>
      </c>
      <c r="C390" t="str">
        <f>'Unformatted Trip Summary'!I388</f>
        <v>Air/Non-Local PT</v>
      </c>
      <c r="D390">
        <f>'Unformatted Trip Summary'!D388</f>
        <v>12</v>
      </c>
      <c r="E390">
        <f>'Unformatted Trip Summary'!E388</f>
        <v>20</v>
      </c>
      <c r="F390" s="1">
        <f>'Unformatted Trip Summary'!F388</f>
        <v>0.2952591222</v>
      </c>
      <c r="G390" s="1">
        <f>'Unformatted Trip Summary'!G388</f>
        <v>21.703982919000001</v>
      </c>
      <c r="H390" s="1">
        <f>'Unformatted Trip Summary'!H388</f>
        <v>0.61755028960000002</v>
      </c>
    </row>
    <row r="391" spans="1:8" x14ac:dyDescent="0.2">
      <c r="A391" t="str">
        <f>'Unformatted Trip Summary'!A389</f>
        <v>05 GISBORNE</v>
      </c>
      <c r="B391" t="str">
        <f>'Unformatted Trip Summary'!J389</f>
        <v>2022/23</v>
      </c>
      <c r="C391" t="str">
        <f>'Unformatted Trip Summary'!I389</f>
        <v>Air/Non-Local PT</v>
      </c>
      <c r="D391">
        <f>'Unformatted Trip Summary'!D389</f>
        <v>12</v>
      </c>
      <c r="E391">
        <f>'Unformatted Trip Summary'!E389</f>
        <v>20</v>
      </c>
      <c r="F391" s="1">
        <f>'Unformatted Trip Summary'!F389</f>
        <v>0.2940768165</v>
      </c>
      <c r="G391" s="1">
        <f>'Unformatted Trip Summary'!G389</f>
        <v>21.088433228</v>
      </c>
      <c r="H391" s="1">
        <f>'Unformatted Trip Summary'!H389</f>
        <v>0.60327027649999998</v>
      </c>
    </row>
    <row r="392" spans="1:8" x14ac:dyDescent="0.2">
      <c r="A392" t="str">
        <f>'Unformatted Trip Summary'!A390</f>
        <v>05 GISBORNE</v>
      </c>
      <c r="B392" t="str">
        <f>'Unformatted Trip Summary'!J390</f>
        <v>2027/28</v>
      </c>
      <c r="C392" t="str">
        <f>'Unformatted Trip Summary'!I390</f>
        <v>Air/Non-Local PT</v>
      </c>
      <c r="D392">
        <f>'Unformatted Trip Summary'!D390</f>
        <v>12</v>
      </c>
      <c r="E392">
        <f>'Unformatted Trip Summary'!E390</f>
        <v>20</v>
      </c>
      <c r="F392" s="1">
        <f>'Unformatted Trip Summary'!F390</f>
        <v>0.29857858809999999</v>
      </c>
      <c r="G392" s="1">
        <f>'Unformatted Trip Summary'!G390</f>
        <v>20.307054149999999</v>
      </c>
      <c r="H392" s="1">
        <f>'Unformatted Trip Summary'!H390</f>
        <v>0.5968311932</v>
      </c>
    </row>
    <row r="393" spans="1:8" x14ac:dyDescent="0.2">
      <c r="A393" t="str">
        <f>'Unformatted Trip Summary'!A391</f>
        <v>05 GISBORNE</v>
      </c>
      <c r="B393" t="str">
        <f>'Unformatted Trip Summary'!J391</f>
        <v>2032/33</v>
      </c>
      <c r="C393" t="str">
        <f>'Unformatted Trip Summary'!I391</f>
        <v>Air/Non-Local PT</v>
      </c>
      <c r="D393">
        <f>'Unformatted Trip Summary'!D391</f>
        <v>12</v>
      </c>
      <c r="E393">
        <f>'Unformatted Trip Summary'!E391</f>
        <v>20</v>
      </c>
      <c r="F393" s="1">
        <f>'Unformatted Trip Summary'!F391</f>
        <v>0.30372182130000003</v>
      </c>
      <c r="G393" s="1">
        <f>'Unformatted Trip Summary'!G391</f>
        <v>19.612375862</v>
      </c>
      <c r="H393" s="1">
        <f>'Unformatted Trip Summary'!H391</f>
        <v>0.59133466879999996</v>
      </c>
    </row>
    <row r="394" spans="1:8" x14ac:dyDescent="0.2">
      <c r="A394" t="str">
        <f>'Unformatted Trip Summary'!A392</f>
        <v>05 GISBORNE</v>
      </c>
      <c r="B394" t="str">
        <f>'Unformatted Trip Summary'!J392</f>
        <v>2037/38</v>
      </c>
      <c r="C394" t="str">
        <f>'Unformatted Trip Summary'!I392</f>
        <v>Air/Non-Local PT</v>
      </c>
      <c r="D394">
        <f>'Unformatted Trip Summary'!D392</f>
        <v>12</v>
      </c>
      <c r="E394">
        <f>'Unformatted Trip Summary'!E392</f>
        <v>20</v>
      </c>
      <c r="F394" s="1">
        <f>'Unformatted Trip Summary'!F392</f>
        <v>0.30360431180000003</v>
      </c>
      <c r="G394" s="1">
        <f>'Unformatted Trip Summary'!G392</f>
        <v>19.172497795000002</v>
      </c>
      <c r="H394" s="1">
        <f>'Unformatted Trip Summary'!H392</f>
        <v>0.57751973020000003</v>
      </c>
    </row>
    <row r="395" spans="1:8" x14ac:dyDescent="0.2">
      <c r="A395" t="str">
        <f>'Unformatted Trip Summary'!A393</f>
        <v>05 GISBORNE</v>
      </c>
      <c r="B395" t="str">
        <f>'Unformatted Trip Summary'!J393</f>
        <v>2042/43</v>
      </c>
      <c r="C395" t="str">
        <f>'Unformatted Trip Summary'!I393</f>
        <v>Air/Non-Local PT</v>
      </c>
      <c r="D395">
        <f>'Unformatted Trip Summary'!D393</f>
        <v>12</v>
      </c>
      <c r="E395">
        <f>'Unformatted Trip Summary'!E393</f>
        <v>20</v>
      </c>
      <c r="F395" s="1">
        <f>'Unformatted Trip Summary'!F393</f>
        <v>0.3059667197</v>
      </c>
      <c r="G395" s="1">
        <f>'Unformatted Trip Summary'!G393</f>
        <v>18.802244043999998</v>
      </c>
      <c r="H395" s="1">
        <f>'Unformatted Trip Summary'!H393</f>
        <v>0.56814199809999999</v>
      </c>
    </row>
    <row r="396" spans="1:8" x14ac:dyDescent="0.2">
      <c r="A396" t="str">
        <f>'Unformatted Trip Summary'!A394</f>
        <v>05 GISBORNE</v>
      </c>
      <c r="B396" t="str">
        <f>'Unformatted Trip Summary'!J394</f>
        <v>2012/13</v>
      </c>
      <c r="C396" t="str">
        <f>'Unformatted Trip Summary'!I394</f>
        <v>Non-Household Travel</v>
      </c>
      <c r="D396">
        <f>'Unformatted Trip Summary'!D394</f>
        <v>8</v>
      </c>
      <c r="E396">
        <f>'Unformatted Trip Summary'!E394</f>
        <v>22</v>
      </c>
      <c r="F396" s="1">
        <f>'Unformatted Trip Summary'!F394</f>
        <v>0.24434687620000001</v>
      </c>
      <c r="G396" s="1">
        <f>'Unformatted Trip Summary'!G394</f>
        <v>9.0032605469</v>
      </c>
      <c r="H396" s="1">
        <f>'Unformatted Trip Summary'!H394</f>
        <v>0.1991820503</v>
      </c>
    </row>
    <row r="397" spans="1:8" x14ac:dyDescent="0.2">
      <c r="A397" t="str">
        <f>'Unformatted Trip Summary'!A395</f>
        <v>05 GISBORNE</v>
      </c>
      <c r="B397" t="str">
        <f>'Unformatted Trip Summary'!J395</f>
        <v>2017/18</v>
      </c>
      <c r="C397" t="str">
        <f>'Unformatted Trip Summary'!I395</f>
        <v>Non-Household Travel</v>
      </c>
      <c r="D397">
        <f>'Unformatted Trip Summary'!D395</f>
        <v>8</v>
      </c>
      <c r="E397">
        <f>'Unformatted Trip Summary'!E395</f>
        <v>22</v>
      </c>
      <c r="F397" s="1">
        <f>'Unformatted Trip Summary'!F395</f>
        <v>0.25207000619999997</v>
      </c>
      <c r="G397" s="1">
        <f>'Unformatted Trip Summary'!G395</f>
        <v>8.9857057945999994</v>
      </c>
      <c r="H397" s="1">
        <f>'Unformatted Trip Summary'!H395</f>
        <v>0.1983831412</v>
      </c>
    </row>
    <row r="398" spans="1:8" x14ac:dyDescent="0.2">
      <c r="A398" t="str">
        <f>'Unformatted Trip Summary'!A396</f>
        <v>05 GISBORNE</v>
      </c>
      <c r="B398" t="str">
        <f>'Unformatted Trip Summary'!J396</f>
        <v>2022/23</v>
      </c>
      <c r="C398" t="str">
        <f>'Unformatted Trip Summary'!I396</f>
        <v>Non-Household Travel</v>
      </c>
      <c r="D398">
        <f>'Unformatted Trip Summary'!D396</f>
        <v>8</v>
      </c>
      <c r="E398">
        <f>'Unformatted Trip Summary'!E396</f>
        <v>22</v>
      </c>
      <c r="F398" s="1">
        <f>'Unformatted Trip Summary'!F396</f>
        <v>0.27057232959999999</v>
      </c>
      <c r="G398" s="1">
        <f>'Unformatted Trip Summary'!G396</f>
        <v>9.2325790056999999</v>
      </c>
      <c r="H398" s="1">
        <f>'Unformatted Trip Summary'!H396</f>
        <v>0.20550869159999999</v>
      </c>
    </row>
    <row r="399" spans="1:8" x14ac:dyDescent="0.2">
      <c r="A399" t="str">
        <f>'Unformatted Trip Summary'!A397</f>
        <v>05 GISBORNE</v>
      </c>
      <c r="B399" t="str">
        <f>'Unformatted Trip Summary'!J397</f>
        <v>2027/28</v>
      </c>
      <c r="C399" t="str">
        <f>'Unformatted Trip Summary'!I397</f>
        <v>Non-Household Travel</v>
      </c>
      <c r="D399">
        <f>'Unformatted Trip Summary'!D397</f>
        <v>8</v>
      </c>
      <c r="E399">
        <f>'Unformatted Trip Summary'!E397</f>
        <v>22</v>
      </c>
      <c r="F399" s="1">
        <f>'Unformatted Trip Summary'!F397</f>
        <v>0.26407965709999998</v>
      </c>
      <c r="G399" s="1">
        <f>'Unformatted Trip Summary'!G397</f>
        <v>8.6011114134</v>
      </c>
      <c r="H399" s="1">
        <f>'Unformatted Trip Summary'!H397</f>
        <v>0.1933502825</v>
      </c>
    </row>
    <row r="400" spans="1:8" x14ac:dyDescent="0.2">
      <c r="A400" t="str">
        <f>'Unformatted Trip Summary'!A398</f>
        <v>05 GISBORNE</v>
      </c>
      <c r="B400" t="str">
        <f>'Unformatted Trip Summary'!J398</f>
        <v>2032/33</v>
      </c>
      <c r="C400" t="str">
        <f>'Unformatted Trip Summary'!I398</f>
        <v>Non-Household Travel</v>
      </c>
      <c r="D400">
        <f>'Unformatted Trip Summary'!D398</f>
        <v>8</v>
      </c>
      <c r="E400">
        <f>'Unformatted Trip Summary'!E398</f>
        <v>22</v>
      </c>
      <c r="F400" s="1">
        <f>'Unformatted Trip Summary'!F398</f>
        <v>0.2556355119</v>
      </c>
      <c r="G400" s="1">
        <f>'Unformatted Trip Summary'!G398</f>
        <v>7.6257574034999998</v>
      </c>
      <c r="H400" s="1">
        <f>'Unformatted Trip Summary'!H398</f>
        <v>0.17626418069999999</v>
      </c>
    </row>
    <row r="401" spans="1:8" x14ac:dyDescent="0.2">
      <c r="A401" t="str">
        <f>'Unformatted Trip Summary'!A399</f>
        <v>05 GISBORNE</v>
      </c>
      <c r="B401" t="str">
        <f>'Unformatted Trip Summary'!J399</f>
        <v>2037/38</v>
      </c>
      <c r="C401" t="str">
        <f>'Unformatted Trip Summary'!I399</f>
        <v>Non-Household Travel</v>
      </c>
      <c r="D401">
        <f>'Unformatted Trip Summary'!D399</f>
        <v>8</v>
      </c>
      <c r="E401">
        <f>'Unformatted Trip Summary'!E399</f>
        <v>22</v>
      </c>
      <c r="F401" s="1">
        <f>'Unformatted Trip Summary'!F399</f>
        <v>0.25158420240000001</v>
      </c>
      <c r="G401" s="1">
        <f>'Unformatted Trip Summary'!G399</f>
        <v>6.5977799710999996</v>
      </c>
      <c r="H401" s="1">
        <f>'Unformatted Trip Summary'!H399</f>
        <v>0.16000818999999999</v>
      </c>
    </row>
    <row r="402" spans="1:8" x14ac:dyDescent="0.2">
      <c r="A402" t="str">
        <f>'Unformatted Trip Summary'!A400</f>
        <v>05 GISBORNE</v>
      </c>
      <c r="B402" t="str">
        <f>'Unformatted Trip Summary'!J400</f>
        <v>2042/43</v>
      </c>
      <c r="C402" t="str">
        <f>'Unformatted Trip Summary'!I400</f>
        <v>Non-Household Travel</v>
      </c>
      <c r="D402">
        <f>'Unformatted Trip Summary'!D400</f>
        <v>8</v>
      </c>
      <c r="E402">
        <f>'Unformatted Trip Summary'!E400</f>
        <v>22</v>
      </c>
      <c r="F402" s="1">
        <f>'Unformatted Trip Summary'!F400</f>
        <v>0.2493582258</v>
      </c>
      <c r="G402" s="1">
        <f>'Unformatted Trip Summary'!G400</f>
        <v>5.6724947164000001</v>
      </c>
      <c r="H402" s="1">
        <f>'Unformatted Trip Summary'!H400</f>
        <v>0.14561966740000001</v>
      </c>
    </row>
    <row r="403" spans="1:8" x14ac:dyDescent="0.2">
      <c r="A403" t="str">
        <f>'Unformatted Trip Summary'!A401</f>
        <v>06 HAWKE`S BAY</v>
      </c>
      <c r="B403" t="str">
        <f>'Unformatted Trip Summary'!J401</f>
        <v>2012/13</v>
      </c>
      <c r="C403" t="str">
        <f>'Unformatted Trip Summary'!I401</f>
        <v>Pedestrian</v>
      </c>
      <c r="D403">
        <f>'Unformatted Trip Summary'!D401</f>
        <v>221</v>
      </c>
      <c r="E403">
        <f>'Unformatted Trip Summary'!E401</f>
        <v>754</v>
      </c>
      <c r="F403" s="1">
        <f>'Unformatted Trip Summary'!F401</f>
        <v>26.538300281000001</v>
      </c>
      <c r="G403" s="1">
        <f>'Unformatted Trip Summary'!G401</f>
        <v>22.691613215</v>
      </c>
      <c r="H403" s="1">
        <f>'Unformatted Trip Summary'!H401</f>
        <v>5.9462513095</v>
      </c>
    </row>
    <row r="404" spans="1:8" x14ac:dyDescent="0.2">
      <c r="A404" t="str">
        <f>'Unformatted Trip Summary'!A402</f>
        <v>06 HAWKE`S BAY</v>
      </c>
      <c r="B404" t="str">
        <f>'Unformatted Trip Summary'!J402</f>
        <v>2017/18</v>
      </c>
      <c r="C404" t="str">
        <f>'Unformatted Trip Summary'!I402</f>
        <v>Pedestrian</v>
      </c>
      <c r="D404">
        <f>'Unformatted Trip Summary'!D402</f>
        <v>221</v>
      </c>
      <c r="E404">
        <f>'Unformatted Trip Summary'!E402</f>
        <v>754</v>
      </c>
      <c r="F404" s="1">
        <f>'Unformatted Trip Summary'!F402</f>
        <v>25.790480690999999</v>
      </c>
      <c r="G404" s="1">
        <f>'Unformatted Trip Summary'!G402</f>
        <v>21.746599830000001</v>
      </c>
      <c r="H404" s="1">
        <f>'Unformatted Trip Summary'!H402</f>
        <v>5.6967903254000003</v>
      </c>
    </row>
    <row r="405" spans="1:8" x14ac:dyDescent="0.2">
      <c r="A405" t="str">
        <f>'Unformatted Trip Summary'!A403</f>
        <v>06 HAWKE`S BAY</v>
      </c>
      <c r="B405" t="str">
        <f>'Unformatted Trip Summary'!J403</f>
        <v>2022/23</v>
      </c>
      <c r="C405" t="str">
        <f>'Unformatted Trip Summary'!I403</f>
        <v>Pedestrian</v>
      </c>
      <c r="D405">
        <f>'Unformatted Trip Summary'!D403</f>
        <v>221</v>
      </c>
      <c r="E405">
        <f>'Unformatted Trip Summary'!E403</f>
        <v>754</v>
      </c>
      <c r="F405" s="1">
        <f>'Unformatted Trip Summary'!F403</f>
        <v>27.202256567999999</v>
      </c>
      <c r="G405" s="1">
        <f>'Unformatted Trip Summary'!G403</f>
        <v>22.596554269999999</v>
      </c>
      <c r="H405" s="1">
        <f>'Unformatted Trip Summary'!H403</f>
        <v>5.9482388637000003</v>
      </c>
    </row>
    <row r="406" spans="1:8" x14ac:dyDescent="0.2">
      <c r="A406" t="str">
        <f>'Unformatted Trip Summary'!A404</f>
        <v>06 HAWKE`S BAY</v>
      </c>
      <c r="B406" t="str">
        <f>'Unformatted Trip Summary'!J404</f>
        <v>2027/28</v>
      </c>
      <c r="C406" t="str">
        <f>'Unformatted Trip Summary'!I404</f>
        <v>Pedestrian</v>
      </c>
      <c r="D406">
        <f>'Unformatted Trip Summary'!D404</f>
        <v>221</v>
      </c>
      <c r="E406">
        <f>'Unformatted Trip Summary'!E404</f>
        <v>754</v>
      </c>
      <c r="F406" s="1">
        <f>'Unformatted Trip Summary'!F404</f>
        <v>26.611566149000002</v>
      </c>
      <c r="G406" s="1">
        <f>'Unformatted Trip Summary'!G404</f>
        <v>22.121791979000001</v>
      </c>
      <c r="H406" s="1">
        <f>'Unformatted Trip Summary'!H404</f>
        <v>5.7677316062999999</v>
      </c>
    </row>
    <row r="407" spans="1:8" x14ac:dyDescent="0.2">
      <c r="A407" t="str">
        <f>'Unformatted Trip Summary'!A405</f>
        <v>06 HAWKE`S BAY</v>
      </c>
      <c r="B407" t="str">
        <f>'Unformatted Trip Summary'!J405</f>
        <v>2032/33</v>
      </c>
      <c r="C407" t="str">
        <f>'Unformatted Trip Summary'!I405</f>
        <v>Pedestrian</v>
      </c>
      <c r="D407">
        <f>'Unformatted Trip Summary'!D405</f>
        <v>221</v>
      </c>
      <c r="E407">
        <f>'Unformatted Trip Summary'!E405</f>
        <v>754</v>
      </c>
      <c r="F407" s="1">
        <f>'Unformatted Trip Summary'!F405</f>
        <v>25.634795661999998</v>
      </c>
      <c r="G407" s="1">
        <f>'Unformatted Trip Summary'!G405</f>
        <v>21.554506726</v>
      </c>
      <c r="H407" s="1">
        <f>'Unformatted Trip Summary'!H405</f>
        <v>5.5624385375000003</v>
      </c>
    </row>
    <row r="408" spans="1:8" x14ac:dyDescent="0.2">
      <c r="A408" t="str">
        <f>'Unformatted Trip Summary'!A406</f>
        <v>06 HAWKE`S BAY</v>
      </c>
      <c r="B408" t="str">
        <f>'Unformatted Trip Summary'!J406</f>
        <v>2037/38</v>
      </c>
      <c r="C408" t="str">
        <f>'Unformatted Trip Summary'!I406</f>
        <v>Pedestrian</v>
      </c>
      <c r="D408">
        <f>'Unformatted Trip Summary'!D406</f>
        <v>221</v>
      </c>
      <c r="E408">
        <f>'Unformatted Trip Summary'!E406</f>
        <v>754</v>
      </c>
      <c r="F408" s="1">
        <f>'Unformatted Trip Summary'!F406</f>
        <v>24.606867941000001</v>
      </c>
      <c r="G408" s="1">
        <f>'Unformatted Trip Summary'!G406</f>
        <v>21.142325306</v>
      </c>
      <c r="H408" s="1">
        <f>'Unformatted Trip Summary'!H406</f>
        <v>5.3943456775999996</v>
      </c>
    </row>
    <row r="409" spans="1:8" x14ac:dyDescent="0.2">
      <c r="A409" t="str">
        <f>'Unformatted Trip Summary'!A407</f>
        <v>06 HAWKE`S BAY</v>
      </c>
      <c r="B409" t="str">
        <f>'Unformatted Trip Summary'!J407</f>
        <v>2042/43</v>
      </c>
      <c r="C409" t="str">
        <f>'Unformatted Trip Summary'!I407</f>
        <v>Pedestrian</v>
      </c>
      <c r="D409">
        <f>'Unformatted Trip Summary'!D407</f>
        <v>221</v>
      </c>
      <c r="E409">
        <f>'Unformatted Trip Summary'!E407</f>
        <v>754</v>
      </c>
      <c r="F409" s="1">
        <f>'Unformatted Trip Summary'!F407</f>
        <v>23.519077129999999</v>
      </c>
      <c r="G409" s="1">
        <f>'Unformatted Trip Summary'!G407</f>
        <v>20.689245753000002</v>
      </c>
      <c r="H409" s="1">
        <f>'Unformatted Trip Summary'!H407</f>
        <v>5.2241302718</v>
      </c>
    </row>
    <row r="410" spans="1:8" x14ac:dyDescent="0.2">
      <c r="A410" t="str">
        <f>'Unformatted Trip Summary'!A408</f>
        <v>06 HAWKE`S BAY</v>
      </c>
      <c r="B410" t="str">
        <f>'Unformatted Trip Summary'!J408</f>
        <v>2012/13</v>
      </c>
      <c r="C410" t="str">
        <f>'Unformatted Trip Summary'!I408</f>
        <v>Cyclist</v>
      </c>
      <c r="D410">
        <f>'Unformatted Trip Summary'!D408</f>
        <v>30</v>
      </c>
      <c r="E410">
        <f>'Unformatted Trip Summary'!E408</f>
        <v>93</v>
      </c>
      <c r="F410" s="1">
        <f>'Unformatted Trip Summary'!F408</f>
        <v>3.1819840940000002</v>
      </c>
      <c r="G410" s="1">
        <f>'Unformatted Trip Summary'!G408</f>
        <v>9.5482363540000001</v>
      </c>
      <c r="H410" s="1">
        <f>'Unformatted Trip Summary'!H408</f>
        <v>0.88401106659999995</v>
      </c>
    </row>
    <row r="411" spans="1:8" x14ac:dyDescent="0.2">
      <c r="A411" t="str">
        <f>'Unformatted Trip Summary'!A409</f>
        <v>06 HAWKE`S BAY</v>
      </c>
      <c r="B411" t="str">
        <f>'Unformatted Trip Summary'!J409</f>
        <v>2017/18</v>
      </c>
      <c r="C411" t="str">
        <f>'Unformatted Trip Summary'!I409</f>
        <v>Cyclist</v>
      </c>
      <c r="D411">
        <f>'Unformatted Trip Summary'!D409</f>
        <v>30</v>
      </c>
      <c r="E411">
        <f>'Unformatted Trip Summary'!E409</f>
        <v>93</v>
      </c>
      <c r="F411" s="1">
        <f>'Unformatted Trip Summary'!F409</f>
        <v>3.0986368579999999</v>
      </c>
      <c r="G411" s="1">
        <f>'Unformatted Trip Summary'!G409</f>
        <v>9.5686196717000005</v>
      </c>
      <c r="H411" s="1">
        <f>'Unformatted Trip Summary'!H409</f>
        <v>0.88773321140000006</v>
      </c>
    </row>
    <row r="412" spans="1:8" x14ac:dyDescent="0.2">
      <c r="A412" t="str">
        <f>'Unformatted Trip Summary'!A410</f>
        <v>06 HAWKE`S BAY</v>
      </c>
      <c r="B412" t="str">
        <f>'Unformatted Trip Summary'!J410</f>
        <v>2022/23</v>
      </c>
      <c r="C412" t="str">
        <f>'Unformatted Trip Summary'!I410</f>
        <v>Cyclist</v>
      </c>
      <c r="D412">
        <f>'Unformatted Trip Summary'!D410</f>
        <v>30</v>
      </c>
      <c r="E412">
        <f>'Unformatted Trip Summary'!E410</f>
        <v>93</v>
      </c>
      <c r="F412" s="1">
        <f>'Unformatted Trip Summary'!F410</f>
        <v>3.2697771376000002</v>
      </c>
      <c r="G412" s="1">
        <f>'Unformatted Trip Summary'!G410</f>
        <v>10.3123857</v>
      </c>
      <c r="H412" s="1">
        <f>'Unformatted Trip Summary'!H410</f>
        <v>0.94579678869999995</v>
      </c>
    </row>
    <row r="413" spans="1:8" x14ac:dyDescent="0.2">
      <c r="A413" t="str">
        <f>'Unformatted Trip Summary'!A411</f>
        <v>06 HAWKE`S BAY</v>
      </c>
      <c r="B413" t="str">
        <f>'Unformatted Trip Summary'!J411</f>
        <v>2027/28</v>
      </c>
      <c r="C413" t="str">
        <f>'Unformatted Trip Summary'!I411</f>
        <v>Cyclist</v>
      </c>
      <c r="D413">
        <f>'Unformatted Trip Summary'!D411</f>
        <v>30</v>
      </c>
      <c r="E413">
        <f>'Unformatted Trip Summary'!E411</f>
        <v>93</v>
      </c>
      <c r="F413" s="1">
        <f>'Unformatted Trip Summary'!F411</f>
        <v>3.2775508490999998</v>
      </c>
      <c r="G413" s="1">
        <f>'Unformatted Trip Summary'!G411</f>
        <v>10.561035244999999</v>
      </c>
      <c r="H413" s="1">
        <f>'Unformatted Trip Summary'!H411</f>
        <v>0.96778292560000001</v>
      </c>
    </row>
    <row r="414" spans="1:8" x14ac:dyDescent="0.2">
      <c r="A414" t="str">
        <f>'Unformatted Trip Summary'!A412</f>
        <v>06 HAWKE`S BAY</v>
      </c>
      <c r="B414" t="str">
        <f>'Unformatted Trip Summary'!J412</f>
        <v>2032/33</v>
      </c>
      <c r="C414" t="str">
        <f>'Unformatted Trip Summary'!I412</f>
        <v>Cyclist</v>
      </c>
      <c r="D414">
        <f>'Unformatted Trip Summary'!D412</f>
        <v>30</v>
      </c>
      <c r="E414">
        <f>'Unformatted Trip Summary'!E412</f>
        <v>93</v>
      </c>
      <c r="F414" s="1">
        <f>'Unformatted Trip Summary'!F412</f>
        <v>3.1906249385000001</v>
      </c>
      <c r="G414" s="1">
        <f>'Unformatted Trip Summary'!G412</f>
        <v>10.720975509000001</v>
      </c>
      <c r="H414" s="1">
        <f>'Unformatted Trip Summary'!H412</f>
        <v>0.9788395848</v>
      </c>
    </row>
    <row r="415" spans="1:8" x14ac:dyDescent="0.2">
      <c r="A415" t="str">
        <f>'Unformatted Trip Summary'!A413</f>
        <v>06 HAWKE`S BAY</v>
      </c>
      <c r="B415" t="str">
        <f>'Unformatted Trip Summary'!J413</f>
        <v>2037/38</v>
      </c>
      <c r="C415" t="str">
        <f>'Unformatted Trip Summary'!I413</f>
        <v>Cyclist</v>
      </c>
      <c r="D415">
        <f>'Unformatted Trip Summary'!D413</f>
        <v>30</v>
      </c>
      <c r="E415">
        <f>'Unformatted Trip Summary'!E413</f>
        <v>93</v>
      </c>
      <c r="F415" s="1">
        <f>'Unformatted Trip Summary'!F413</f>
        <v>3.1018794663000002</v>
      </c>
      <c r="G415" s="1">
        <f>'Unformatted Trip Summary'!G413</f>
        <v>10.588288277</v>
      </c>
      <c r="H415" s="1">
        <f>'Unformatted Trip Summary'!H413</f>
        <v>0.97666469769999997</v>
      </c>
    </row>
    <row r="416" spans="1:8" x14ac:dyDescent="0.2">
      <c r="A416" t="str">
        <f>'Unformatted Trip Summary'!A414</f>
        <v>06 HAWKE`S BAY</v>
      </c>
      <c r="B416" t="str">
        <f>'Unformatted Trip Summary'!J414</f>
        <v>2042/43</v>
      </c>
      <c r="C416" t="str">
        <f>'Unformatted Trip Summary'!I414</f>
        <v>Cyclist</v>
      </c>
      <c r="D416">
        <f>'Unformatted Trip Summary'!D414</f>
        <v>30</v>
      </c>
      <c r="E416">
        <f>'Unformatted Trip Summary'!E414</f>
        <v>93</v>
      </c>
      <c r="F416" s="1">
        <f>'Unformatted Trip Summary'!F414</f>
        <v>2.9833470930999999</v>
      </c>
      <c r="G416" s="1">
        <f>'Unformatted Trip Summary'!G414</f>
        <v>10.343207591000001</v>
      </c>
      <c r="H416" s="1">
        <f>'Unformatted Trip Summary'!H414</f>
        <v>0.96497309519999996</v>
      </c>
    </row>
    <row r="417" spans="1:8" x14ac:dyDescent="0.2">
      <c r="A417" t="str">
        <f>'Unformatted Trip Summary'!A415</f>
        <v>06 HAWKE`S BAY</v>
      </c>
      <c r="B417" t="str">
        <f>'Unformatted Trip Summary'!J415</f>
        <v>2012/13</v>
      </c>
      <c r="C417" t="str">
        <f>'Unformatted Trip Summary'!I415</f>
        <v>Light Vehicle Driver</v>
      </c>
      <c r="D417">
        <f>'Unformatted Trip Summary'!D415</f>
        <v>446</v>
      </c>
      <c r="E417">
        <f>'Unformatted Trip Summary'!E415</f>
        <v>3171</v>
      </c>
      <c r="F417" s="1">
        <f>'Unformatted Trip Summary'!F415</f>
        <v>111.16933473</v>
      </c>
      <c r="G417" s="1">
        <f>'Unformatted Trip Summary'!G415</f>
        <v>1001.7566771</v>
      </c>
      <c r="H417" s="1">
        <f>'Unformatted Trip Summary'!H415</f>
        <v>25.377986313000001</v>
      </c>
    </row>
    <row r="418" spans="1:8" x14ac:dyDescent="0.2">
      <c r="A418" t="str">
        <f>'Unformatted Trip Summary'!A416</f>
        <v>06 HAWKE`S BAY</v>
      </c>
      <c r="B418" t="str">
        <f>'Unformatted Trip Summary'!J416</f>
        <v>2017/18</v>
      </c>
      <c r="C418" t="str">
        <f>'Unformatted Trip Summary'!I416</f>
        <v>Light Vehicle Driver</v>
      </c>
      <c r="D418">
        <f>'Unformatted Trip Summary'!D416</f>
        <v>446</v>
      </c>
      <c r="E418">
        <f>'Unformatted Trip Summary'!E416</f>
        <v>3171</v>
      </c>
      <c r="F418" s="1">
        <f>'Unformatted Trip Summary'!F416</f>
        <v>110.15783963</v>
      </c>
      <c r="G418" s="1">
        <f>'Unformatted Trip Summary'!G416</f>
        <v>1001.2096487</v>
      </c>
      <c r="H418" s="1">
        <f>'Unformatted Trip Summary'!H416</f>
        <v>25.281594783999999</v>
      </c>
    </row>
    <row r="419" spans="1:8" x14ac:dyDescent="0.2">
      <c r="A419" t="str">
        <f>'Unformatted Trip Summary'!A417</f>
        <v>06 HAWKE`S BAY</v>
      </c>
      <c r="B419" t="str">
        <f>'Unformatted Trip Summary'!J417</f>
        <v>2022/23</v>
      </c>
      <c r="C419" t="str">
        <f>'Unformatted Trip Summary'!I417</f>
        <v>Light Vehicle Driver</v>
      </c>
      <c r="D419">
        <f>'Unformatted Trip Summary'!D417</f>
        <v>446</v>
      </c>
      <c r="E419">
        <f>'Unformatted Trip Summary'!E417</f>
        <v>3171</v>
      </c>
      <c r="F419" s="1">
        <f>'Unformatted Trip Summary'!F417</f>
        <v>117.14312771</v>
      </c>
      <c r="G419" s="1">
        <f>'Unformatted Trip Summary'!G417</f>
        <v>1072.1660652999999</v>
      </c>
      <c r="H419" s="1">
        <f>'Unformatted Trip Summary'!H417</f>
        <v>27.041360605000001</v>
      </c>
    </row>
    <row r="420" spans="1:8" x14ac:dyDescent="0.2">
      <c r="A420" t="str">
        <f>'Unformatted Trip Summary'!A418</f>
        <v>06 HAWKE`S BAY</v>
      </c>
      <c r="B420" t="str">
        <f>'Unformatted Trip Summary'!J418</f>
        <v>2027/28</v>
      </c>
      <c r="C420" t="str">
        <f>'Unformatted Trip Summary'!I418</f>
        <v>Light Vehicle Driver</v>
      </c>
      <c r="D420">
        <f>'Unformatted Trip Summary'!D418</f>
        <v>446</v>
      </c>
      <c r="E420">
        <f>'Unformatted Trip Summary'!E418</f>
        <v>3171</v>
      </c>
      <c r="F420" s="1">
        <f>'Unformatted Trip Summary'!F418</f>
        <v>119.72515236</v>
      </c>
      <c r="G420" s="1">
        <f>'Unformatted Trip Summary'!G418</f>
        <v>1102.3103787</v>
      </c>
      <c r="H420" s="1">
        <f>'Unformatted Trip Summary'!H418</f>
        <v>27.810910332999999</v>
      </c>
    </row>
    <row r="421" spans="1:8" x14ac:dyDescent="0.2">
      <c r="A421" t="str">
        <f>'Unformatted Trip Summary'!A419</f>
        <v>06 HAWKE`S BAY</v>
      </c>
      <c r="B421" t="str">
        <f>'Unformatted Trip Summary'!J419</f>
        <v>2032/33</v>
      </c>
      <c r="C421" t="str">
        <f>'Unformatted Trip Summary'!I419</f>
        <v>Light Vehicle Driver</v>
      </c>
      <c r="D421">
        <f>'Unformatted Trip Summary'!D419</f>
        <v>446</v>
      </c>
      <c r="E421">
        <f>'Unformatted Trip Summary'!E419</f>
        <v>3171</v>
      </c>
      <c r="F421" s="1">
        <f>'Unformatted Trip Summary'!F419</f>
        <v>120.71939752</v>
      </c>
      <c r="G421" s="1">
        <f>'Unformatted Trip Summary'!G419</f>
        <v>1116.1093768000001</v>
      </c>
      <c r="H421" s="1">
        <f>'Unformatted Trip Summary'!H419</f>
        <v>28.171041206999998</v>
      </c>
    </row>
    <row r="422" spans="1:8" x14ac:dyDescent="0.2">
      <c r="A422" t="str">
        <f>'Unformatted Trip Summary'!A420</f>
        <v>06 HAWKE`S BAY</v>
      </c>
      <c r="B422" t="str">
        <f>'Unformatted Trip Summary'!J420</f>
        <v>2037/38</v>
      </c>
      <c r="C422" t="str">
        <f>'Unformatted Trip Summary'!I420</f>
        <v>Light Vehicle Driver</v>
      </c>
      <c r="D422">
        <f>'Unformatted Trip Summary'!D420</f>
        <v>446</v>
      </c>
      <c r="E422">
        <f>'Unformatted Trip Summary'!E420</f>
        <v>3171</v>
      </c>
      <c r="F422" s="1">
        <f>'Unformatted Trip Summary'!F420</f>
        <v>119.48841401</v>
      </c>
      <c r="G422" s="1">
        <f>'Unformatted Trip Summary'!G420</f>
        <v>1106.1066840000001</v>
      </c>
      <c r="H422" s="1">
        <f>'Unformatted Trip Summary'!H420</f>
        <v>27.96309269</v>
      </c>
    </row>
    <row r="423" spans="1:8" x14ac:dyDescent="0.2">
      <c r="A423" t="str">
        <f>'Unformatted Trip Summary'!A421</f>
        <v>06 HAWKE`S BAY</v>
      </c>
      <c r="B423" t="str">
        <f>'Unformatted Trip Summary'!J421</f>
        <v>2042/43</v>
      </c>
      <c r="C423" t="str">
        <f>'Unformatted Trip Summary'!I421</f>
        <v>Light Vehicle Driver</v>
      </c>
      <c r="D423">
        <f>'Unformatted Trip Summary'!D421</f>
        <v>446</v>
      </c>
      <c r="E423">
        <f>'Unformatted Trip Summary'!E421</f>
        <v>3171</v>
      </c>
      <c r="F423" s="1">
        <f>'Unformatted Trip Summary'!F421</f>
        <v>117.82202875</v>
      </c>
      <c r="G423" s="1">
        <f>'Unformatted Trip Summary'!G421</f>
        <v>1091.5939119</v>
      </c>
      <c r="H423" s="1">
        <f>'Unformatted Trip Summary'!H421</f>
        <v>27.633206221999998</v>
      </c>
    </row>
    <row r="424" spans="1:8" x14ac:dyDescent="0.2">
      <c r="A424" t="str">
        <f>'Unformatted Trip Summary'!A422</f>
        <v>06 HAWKE`S BAY</v>
      </c>
      <c r="B424" t="str">
        <f>'Unformatted Trip Summary'!J422</f>
        <v>2012/13</v>
      </c>
      <c r="C424" t="str">
        <f>'Unformatted Trip Summary'!I422</f>
        <v>Light Vehicle Passenger</v>
      </c>
      <c r="D424">
        <f>'Unformatted Trip Summary'!D422</f>
        <v>300</v>
      </c>
      <c r="E424">
        <f>'Unformatted Trip Summary'!E422</f>
        <v>1579</v>
      </c>
      <c r="F424" s="1">
        <f>'Unformatted Trip Summary'!F422</f>
        <v>58.497679761999997</v>
      </c>
      <c r="G424" s="1">
        <f>'Unformatted Trip Summary'!G422</f>
        <v>607.82570181000006</v>
      </c>
      <c r="H424" s="1">
        <f>'Unformatted Trip Summary'!H422</f>
        <v>15.230731736999999</v>
      </c>
    </row>
    <row r="425" spans="1:8" x14ac:dyDescent="0.2">
      <c r="A425" t="str">
        <f>'Unformatted Trip Summary'!A423</f>
        <v>06 HAWKE`S BAY</v>
      </c>
      <c r="B425" t="str">
        <f>'Unformatted Trip Summary'!J423</f>
        <v>2017/18</v>
      </c>
      <c r="C425" t="str">
        <f>'Unformatted Trip Summary'!I423</f>
        <v>Light Vehicle Passenger</v>
      </c>
      <c r="D425">
        <f>'Unformatted Trip Summary'!D423</f>
        <v>300</v>
      </c>
      <c r="E425">
        <f>'Unformatted Trip Summary'!E423</f>
        <v>1579</v>
      </c>
      <c r="F425" s="1">
        <f>'Unformatted Trip Summary'!F423</f>
        <v>55.911286386</v>
      </c>
      <c r="G425" s="1">
        <f>'Unformatted Trip Summary'!G423</f>
        <v>595.01570763999996</v>
      </c>
      <c r="H425" s="1">
        <f>'Unformatted Trip Summary'!H423</f>
        <v>14.761676072</v>
      </c>
    </row>
    <row r="426" spans="1:8" x14ac:dyDescent="0.2">
      <c r="A426" t="str">
        <f>'Unformatted Trip Summary'!A424</f>
        <v>06 HAWKE`S BAY</v>
      </c>
      <c r="B426" t="str">
        <f>'Unformatted Trip Summary'!J424</f>
        <v>2022/23</v>
      </c>
      <c r="C426" t="str">
        <f>'Unformatted Trip Summary'!I424</f>
        <v>Light Vehicle Passenger</v>
      </c>
      <c r="D426">
        <f>'Unformatted Trip Summary'!D424</f>
        <v>300</v>
      </c>
      <c r="E426">
        <f>'Unformatted Trip Summary'!E424</f>
        <v>1579</v>
      </c>
      <c r="F426" s="1">
        <f>'Unformatted Trip Summary'!F424</f>
        <v>58.452653067999996</v>
      </c>
      <c r="G426" s="1">
        <f>'Unformatted Trip Summary'!G424</f>
        <v>634.56914041000005</v>
      </c>
      <c r="H426" s="1">
        <f>'Unformatted Trip Summary'!H424</f>
        <v>15.652335471000001</v>
      </c>
    </row>
    <row r="427" spans="1:8" x14ac:dyDescent="0.2">
      <c r="A427" t="str">
        <f>'Unformatted Trip Summary'!A425</f>
        <v>06 HAWKE`S BAY</v>
      </c>
      <c r="B427" t="str">
        <f>'Unformatted Trip Summary'!J425</f>
        <v>2027/28</v>
      </c>
      <c r="C427" t="str">
        <f>'Unformatted Trip Summary'!I425</f>
        <v>Light Vehicle Passenger</v>
      </c>
      <c r="D427">
        <f>'Unformatted Trip Summary'!D425</f>
        <v>300</v>
      </c>
      <c r="E427">
        <f>'Unformatted Trip Summary'!E425</f>
        <v>1579</v>
      </c>
      <c r="F427" s="1">
        <f>'Unformatted Trip Summary'!F425</f>
        <v>59.282564911999998</v>
      </c>
      <c r="G427" s="1">
        <f>'Unformatted Trip Summary'!G425</f>
        <v>640.46610392000002</v>
      </c>
      <c r="H427" s="1">
        <f>'Unformatted Trip Summary'!H425</f>
        <v>15.876182489</v>
      </c>
    </row>
    <row r="428" spans="1:8" x14ac:dyDescent="0.2">
      <c r="A428" t="str">
        <f>'Unformatted Trip Summary'!A426</f>
        <v>06 HAWKE`S BAY</v>
      </c>
      <c r="B428" t="str">
        <f>'Unformatted Trip Summary'!J426</f>
        <v>2032/33</v>
      </c>
      <c r="C428" t="str">
        <f>'Unformatted Trip Summary'!I426</f>
        <v>Light Vehicle Passenger</v>
      </c>
      <c r="D428">
        <f>'Unformatted Trip Summary'!D426</f>
        <v>300</v>
      </c>
      <c r="E428">
        <f>'Unformatted Trip Summary'!E426</f>
        <v>1579</v>
      </c>
      <c r="F428" s="1">
        <f>'Unformatted Trip Summary'!F426</f>
        <v>59.090741975999997</v>
      </c>
      <c r="G428" s="1">
        <f>'Unformatted Trip Summary'!G426</f>
        <v>631.43287674999999</v>
      </c>
      <c r="H428" s="1">
        <f>'Unformatted Trip Summary'!H426</f>
        <v>15.740171337</v>
      </c>
    </row>
    <row r="429" spans="1:8" x14ac:dyDescent="0.2">
      <c r="A429" t="str">
        <f>'Unformatted Trip Summary'!A427</f>
        <v>06 HAWKE`S BAY</v>
      </c>
      <c r="B429" t="str">
        <f>'Unformatted Trip Summary'!J427</f>
        <v>2037/38</v>
      </c>
      <c r="C429" t="str">
        <f>'Unformatted Trip Summary'!I427</f>
        <v>Light Vehicle Passenger</v>
      </c>
      <c r="D429">
        <f>'Unformatted Trip Summary'!D427</f>
        <v>300</v>
      </c>
      <c r="E429">
        <f>'Unformatted Trip Summary'!E427</f>
        <v>1579</v>
      </c>
      <c r="F429" s="1">
        <f>'Unformatted Trip Summary'!F427</f>
        <v>58.745729402000002</v>
      </c>
      <c r="G429" s="1">
        <f>'Unformatted Trip Summary'!G427</f>
        <v>614.96116789999996</v>
      </c>
      <c r="H429" s="1">
        <f>'Unformatted Trip Summary'!H427</f>
        <v>15.421817612</v>
      </c>
    </row>
    <row r="430" spans="1:8" x14ac:dyDescent="0.2">
      <c r="A430" t="str">
        <f>'Unformatted Trip Summary'!A428</f>
        <v>06 HAWKE`S BAY</v>
      </c>
      <c r="B430" t="str">
        <f>'Unformatted Trip Summary'!J428</f>
        <v>2042/43</v>
      </c>
      <c r="C430" t="str">
        <f>'Unformatted Trip Summary'!I428</f>
        <v>Light Vehicle Passenger</v>
      </c>
      <c r="D430">
        <f>'Unformatted Trip Summary'!D428</f>
        <v>300</v>
      </c>
      <c r="E430">
        <f>'Unformatted Trip Summary'!E428</f>
        <v>1579</v>
      </c>
      <c r="F430" s="1">
        <f>'Unformatted Trip Summary'!F428</f>
        <v>58.195328977000003</v>
      </c>
      <c r="G430" s="1">
        <f>'Unformatted Trip Summary'!G428</f>
        <v>596.36011757999995</v>
      </c>
      <c r="H430" s="1">
        <f>'Unformatted Trip Summary'!H428</f>
        <v>15.0461987</v>
      </c>
    </row>
    <row r="431" spans="1:8" x14ac:dyDescent="0.2">
      <c r="A431" t="str">
        <f>'Unformatted Trip Summary'!A429</f>
        <v>06 HAWKE`S BAY</v>
      </c>
      <c r="B431" t="str">
        <f>'Unformatted Trip Summary'!J429</f>
        <v>2012/13</v>
      </c>
      <c r="C431" t="str">
        <f>'Unformatted Trip Summary'!I429</f>
        <v>Taxi/Vehicle Share</v>
      </c>
      <c r="D431">
        <f>'Unformatted Trip Summary'!D429</f>
        <v>4</v>
      </c>
      <c r="E431">
        <f>'Unformatted Trip Summary'!E429</f>
        <v>8</v>
      </c>
      <c r="F431" s="1">
        <f>'Unformatted Trip Summary'!F429</f>
        <v>0.32519619989999998</v>
      </c>
      <c r="G431" s="1">
        <f>'Unformatted Trip Summary'!G429</f>
        <v>1.7589425135000001</v>
      </c>
      <c r="H431" s="1">
        <f>'Unformatted Trip Summary'!H429</f>
        <v>4.5837477299999999E-2</v>
      </c>
    </row>
    <row r="432" spans="1:8" x14ac:dyDescent="0.2">
      <c r="A432" t="str">
        <f>'Unformatted Trip Summary'!A430</f>
        <v>06 HAWKE`S BAY</v>
      </c>
      <c r="B432" t="str">
        <f>'Unformatted Trip Summary'!J430</f>
        <v>2017/18</v>
      </c>
      <c r="C432" t="str">
        <f>'Unformatted Trip Summary'!I430</f>
        <v>Taxi/Vehicle Share</v>
      </c>
      <c r="D432">
        <f>'Unformatted Trip Summary'!D430</f>
        <v>4</v>
      </c>
      <c r="E432">
        <f>'Unformatted Trip Summary'!E430</f>
        <v>8</v>
      </c>
      <c r="F432" s="1">
        <f>'Unformatted Trip Summary'!F430</f>
        <v>0.31852379790000002</v>
      </c>
      <c r="G432" s="1">
        <f>'Unformatted Trip Summary'!G430</f>
        <v>1.6247499005999999</v>
      </c>
      <c r="H432" s="1">
        <f>'Unformatted Trip Summary'!H430</f>
        <v>4.5503553799999999E-2</v>
      </c>
    </row>
    <row r="433" spans="1:8" x14ac:dyDescent="0.2">
      <c r="A433" t="str">
        <f>'Unformatted Trip Summary'!A431</f>
        <v>06 HAWKE`S BAY</v>
      </c>
      <c r="B433" t="str">
        <f>'Unformatted Trip Summary'!J431</f>
        <v>2022/23</v>
      </c>
      <c r="C433" t="str">
        <f>'Unformatted Trip Summary'!I431</f>
        <v>Taxi/Vehicle Share</v>
      </c>
      <c r="D433">
        <f>'Unformatted Trip Summary'!D431</f>
        <v>4</v>
      </c>
      <c r="E433">
        <f>'Unformatted Trip Summary'!E431</f>
        <v>8</v>
      </c>
      <c r="F433" s="1">
        <f>'Unformatted Trip Summary'!F431</f>
        <v>0.33841531380000001</v>
      </c>
      <c r="G433" s="1">
        <f>'Unformatted Trip Summary'!G431</f>
        <v>1.6325766732</v>
      </c>
      <c r="H433" s="1">
        <f>'Unformatted Trip Summary'!H431</f>
        <v>4.7981795000000001E-2</v>
      </c>
    </row>
    <row r="434" spans="1:8" x14ac:dyDescent="0.2">
      <c r="A434" t="str">
        <f>'Unformatted Trip Summary'!A432</f>
        <v>06 HAWKE`S BAY</v>
      </c>
      <c r="B434" t="str">
        <f>'Unformatted Trip Summary'!J432</f>
        <v>2027/28</v>
      </c>
      <c r="C434" t="str">
        <f>'Unformatted Trip Summary'!I432</f>
        <v>Taxi/Vehicle Share</v>
      </c>
      <c r="D434">
        <f>'Unformatted Trip Summary'!D432</f>
        <v>4</v>
      </c>
      <c r="E434">
        <f>'Unformatted Trip Summary'!E432</f>
        <v>8</v>
      </c>
      <c r="F434" s="1">
        <f>'Unformatted Trip Summary'!F432</f>
        <v>0.34275326010000001</v>
      </c>
      <c r="G434" s="1">
        <f>'Unformatted Trip Summary'!G432</f>
        <v>1.6226645195</v>
      </c>
      <c r="H434" s="1">
        <f>'Unformatted Trip Summary'!H432</f>
        <v>4.8511216099999997E-2</v>
      </c>
    </row>
    <row r="435" spans="1:8" x14ac:dyDescent="0.2">
      <c r="A435" t="str">
        <f>'Unformatted Trip Summary'!A433</f>
        <v>06 HAWKE`S BAY</v>
      </c>
      <c r="B435" t="str">
        <f>'Unformatted Trip Summary'!J433</f>
        <v>2032/33</v>
      </c>
      <c r="C435" t="str">
        <f>'Unformatted Trip Summary'!I433</f>
        <v>Taxi/Vehicle Share</v>
      </c>
      <c r="D435">
        <f>'Unformatted Trip Summary'!D433</f>
        <v>4</v>
      </c>
      <c r="E435">
        <f>'Unformatted Trip Summary'!E433</f>
        <v>8</v>
      </c>
      <c r="F435" s="1">
        <f>'Unformatted Trip Summary'!F433</f>
        <v>0.33840122239999998</v>
      </c>
      <c r="G435" s="1">
        <f>'Unformatted Trip Summary'!G433</f>
        <v>1.5874506062</v>
      </c>
      <c r="H435" s="1">
        <f>'Unformatted Trip Summary'!H433</f>
        <v>4.8424815400000001E-2</v>
      </c>
    </row>
    <row r="436" spans="1:8" x14ac:dyDescent="0.2">
      <c r="A436" t="str">
        <f>'Unformatted Trip Summary'!A434</f>
        <v>06 HAWKE`S BAY</v>
      </c>
      <c r="B436" t="str">
        <f>'Unformatted Trip Summary'!J434</f>
        <v>2037/38</v>
      </c>
      <c r="C436" t="str">
        <f>'Unformatted Trip Summary'!I434</f>
        <v>Taxi/Vehicle Share</v>
      </c>
      <c r="D436">
        <f>'Unformatted Trip Summary'!D434</f>
        <v>4</v>
      </c>
      <c r="E436">
        <f>'Unformatted Trip Summary'!E434</f>
        <v>8</v>
      </c>
      <c r="F436" s="1">
        <f>'Unformatted Trip Summary'!F434</f>
        <v>0.30471381240000001</v>
      </c>
      <c r="G436" s="1">
        <f>'Unformatted Trip Summary'!G434</f>
        <v>1.4540046515</v>
      </c>
      <c r="H436" s="1">
        <f>'Unformatted Trip Summary'!H434</f>
        <v>4.4135964299999997E-2</v>
      </c>
    </row>
    <row r="437" spans="1:8" x14ac:dyDescent="0.2">
      <c r="A437" t="str">
        <f>'Unformatted Trip Summary'!A435</f>
        <v>06 HAWKE`S BAY</v>
      </c>
      <c r="B437" t="str">
        <f>'Unformatted Trip Summary'!J435</f>
        <v>2042/43</v>
      </c>
      <c r="C437" t="str">
        <f>'Unformatted Trip Summary'!I435</f>
        <v>Taxi/Vehicle Share</v>
      </c>
      <c r="D437">
        <f>'Unformatted Trip Summary'!D435</f>
        <v>4</v>
      </c>
      <c r="E437">
        <f>'Unformatted Trip Summary'!E435</f>
        <v>8</v>
      </c>
      <c r="F437" s="1">
        <f>'Unformatted Trip Summary'!F435</f>
        <v>0.25969020929999997</v>
      </c>
      <c r="G437" s="1">
        <f>'Unformatted Trip Summary'!G435</f>
        <v>1.2925164807</v>
      </c>
      <c r="H437" s="1">
        <f>'Unformatted Trip Summary'!H435</f>
        <v>3.7666103200000002E-2</v>
      </c>
    </row>
    <row r="438" spans="1:8" x14ac:dyDescent="0.2">
      <c r="A438" t="str">
        <f>'Unformatted Trip Summary'!A436</f>
        <v>06 HAWKE`S BAY</v>
      </c>
      <c r="B438" t="str">
        <f>'Unformatted Trip Summary'!J436</f>
        <v>2012/13</v>
      </c>
      <c r="C438" t="str">
        <f>'Unformatted Trip Summary'!I436</f>
        <v>Motorcyclist</v>
      </c>
      <c r="D438">
        <f>'Unformatted Trip Summary'!D436</f>
        <v>6</v>
      </c>
      <c r="E438">
        <f>'Unformatted Trip Summary'!E436</f>
        <v>19</v>
      </c>
      <c r="F438" s="1">
        <f>'Unformatted Trip Summary'!F436</f>
        <v>0.65061969099999994</v>
      </c>
      <c r="G438" s="1">
        <f>'Unformatted Trip Summary'!G436</f>
        <v>3.0321841239</v>
      </c>
      <c r="H438" s="1">
        <f>'Unformatted Trip Summary'!H436</f>
        <v>0.11763194120000001</v>
      </c>
    </row>
    <row r="439" spans="1:8" x14ac:dyDescent="0.2">
      <c r="A439" t="str">
        <f>'Unformatted Trip Summary'!A437</f>
        <v>06 HAWKE`S BAY</v>
      </c>
      <c r="B439" t="str">
        <f>'Unformatted Trip Summary'!J437</f>
        <v>2017/18</v>
      </c>
      <c r="C439" t="str">
        <f>'Unformatted Trip Summary'!I437</f>
        <v>Motorcyclist</v>
      </c>
      <c r="D439">
        <f>'Unformatted Trip Summary'!D437</f>
        <v>6</v>
      </c>
      <c r="E439">
        <f>'Unformatted Trip Summary'!E437</f>
        <v>19</v>
      </c>
      <c r="F439" s="1">
        <f>'Unformatted Trip Summary'!F437</f>
        <v>0.56268429389999997</v>
      </c>
      <c r="G439" s="1">
        <f>'Unformatted Trip Summary'!G437</f>
        <v>2.9542272621999999</v>
      </c>
      <c r="H439" s="1">
        <f>'Unformatted Trip Summary'!H437</f>
        <v>0.10360596919999999</v>
      </c>
    </row>
    <row r="440" spans="1:8" x14ac:dyDescent="0.2">
      <c r="A440" t="str">
        <f>'Unformatted Trip Summary'!A438</f>
        <v>06 HAWKE`S BAY</v>
      </c>
      <c r="B440" t="str">
        <f>'Unformatted Trip Summary'!J438</f>
        <v>2022/23</v>
      </c>
      <c r="C440" t="str">
        <f>'Unformatted Trip Summary'!I438</f>
        <v>Motorcyclist</v>
      </c>
      <c r="D440">
        <f>'Unformatted Trip Summary'!D438</f>
        <v>6</v>
      </c>
      <c r="E440">
        <f>'Unformatted Trip Summary'!E438</f>
        <v>19</v>
      </c>
      <c r="F440" s="1">
        <f>'Unformatted Trip Summary'!F438</f>
        <v>0.49586737190000002</v>
      </c>
      <c r="G440" s="1">
        <f>'Unformatted Trip Summary'!G438</f>
        <v>2.9146494843999999</v>
      </c>
      <c r="H440" s="1">
        <f>'Unformatted Trip Summary'!H438</f>
        <v>9.65029949E-2</v>
      </c>
    </row>
    <row r="441" spans="1:8" x14ac:dyDescent="0.2">
      <c r="A441" t="str">
        <f>'Unformatted Trip Summary'!A439</f>
        <v>06 HAWKE`S BAY</v>
      </c>
      <c r="B441" t="str">
        <f>'Unformatted Trip Summary'!J439</f>
        <v>2027/28</v>
      </c>
      <c r="C441" t="str">
        <f>'Unformatted Trip Summary'!I439</f>
        <v>Motorcyclist</v>
      </c>
      <c r="D441">
        <f>'Unformatted Trip Summary'!D439</f>
        <v>6</v>
      </c>
      <c r="E441">
        <f>'Unformatted Trip Summary'!E439</f>
        <v>19</v>
      </c>
      <c r="F441" s="1">
        <f>'Unformatted Trip Summary'!F439</f>
        <v>0.43699670899999998</v>
      </c>
      <c r="G441" s="1">
        <f>'Unformatted Trip Summary'!G439</f>
        <v>2.6259315085999999</v>
      </c>
      <c r="H441" s="1">
        <f>'Unformatted Trip Summary'!H439</f>
        <v>8.7309250699999993E-2</v>
      </c>
    </row>
    <row r="442" spans="1:8" x14ac:dyDescent="0.2">
      <c r="A442" t="str">
        <f>'Unformatted Trip Summary'!A440</f>
        <v>06 HAWKE`S BAY</v>
      </c>
      <c r="B442" t="str">
        <f>'Unformatted Trip Summary'!J440</f>
        <v>2032/33</v>
      </c>
      <c r="C442" t="str">
        <f>'Unformatted Trip Summary'!I440</f>
        <v>Motorcyclist</v>
      </c>
      <c r="D442">
        <f>'Unformatted Trip Summary'!D440</f>
        <v>6</v>
      </c>
      <c r="E442">
        <f>'Unformatted Trip Summary'!E440</f>
        <v>19</v>
      </c>
      <c r="F442" s="1">
        <f>'Unformatted Trip Summary'!F440</f>
        <v>0.37858385880000001</v>
      </c>
      <c r="G442" s="1">
        <f>'Unformatted Trip Summary'!G440</f>
        <v>2.3340800031</v>
      </c>
      <c r="H442" s="1">
        <f>'Unformatted Trip Summary'!H440</f>
        <v>7.6741086799999997E-2</v>
      </c>
    </row>
    <row r="443" spans="1:8" x14ac:dyDescent="0.2">
      <c r="A443" t="str">
        <f>'Unformatted Trip Summary'!A441</f>
        <v>06 HAWKE`S BAY</v>
      </c>
      <c r="B443" t="str">
        <f>'Unformatted Trip Summary'!J441</f>
        <v>2037/38</v>
      </c>
      <c r="C443" t="str">
        <f>'Unformatted Trip Summary'!I441</f>
        <v>Motorcyclist</v>
      </c>
      <c r="D443">
        <f>'Unformatted Trip Summary'!D441</f>
        <v>6</v>
      </c>
      <c r="E443">
        <f>'Unformatted Trip Summary'!E441</f>
        <v>19</v>
      </c>
      <c r="F443" s="1">
        <f>'Unformatted Trip Summary'!F441</f>
        <v>0.33150135200000003</v>
      </c>
      <c r="G443" s="1">
        <f>'Unformatted Trip Summary'!G441</f>
        <v>2.122583691</v>
      </c>
      <c r="H443" s="1">
        <f>'Unformatted Trip Summary'!H441</f>
        <v>7.0237036500000002E-2</v>
      </c>
    </row>
    <row r="444" spans="1:8" x14ac:dyDescent="0.2">
      <c r="A444" t="str">
        <f>'Unformatted Trip Summary'!A442</f>
        <v>06 HAWKE`S BAY</v>
      </c>
      <c r="B444" t="str">
        <f>'Unformatted Trip Summary'!J442</f>
        <v>2042/43</v>
      </c>
      <c r="C444" t="str">
        <f>'Unformatted Trip Summary'!I442</f>
        <v>Motorcyclist</v>
      </c>
      <c r="D444">
        <f>'Unformatted Trip Summary'!D442</f>
        <v>6</v>
      </c>
      <c r="E444">
        <f>'Unformatted Trip Summary'!E442</f>
        <v>19</v>
      </c>
      <c r="F444" s="1">
        <f>'Unformatted Trip Summary'!F442</f>
        <v>0.29141081600000002</v>
      </c>
      <c r="G444" s="1">
        <f>'Unformatted Trip Summary'!G442</f>
        <v>1.9429965157</v>
      </c>
      <c r="H444" s="1">
        <f>'Unformatted Trip Summary'!H442</f>
        <v>6.4651145199999996E-2</v>
      </c>
    </row>
    <row r="445" spans="1:8" x14ac:dyDescent="0.2">
      <c r="A445" t="str">
        <f>'Unformatted Trip Summary'!A443</f>
        <v>06 HAWKE`S BAY</v>
      </c>
      <c r="B445" t="str">
        <f>'Unformatted Trip Summary'!J443</f>
        <v>2012/13</v>
      </c>
      <c r="C445" t="str">
        <f>'Unformatted Trip Summary'!I443</f>
        <v>Local Bus</v>
      </c>
      <c r="D445">
        <f>'Unformatted Trip Summary'!D443</f>
        <v>50</v>
      </c>
      <c r="E445">
        <f>'Unformatted Trip Summary'!E443</f>
        <v>142</v>
      </c>
      <c r="F445" s="1">
        <f>'Unformatted Trip Summary'!F443</f>
        <v>4.5218645043999999</v>
      </c>
      <c r="G445" s="1">
        <f>'Unformatted Trip Summary'!G443</f>
        <v>39.591997026999998</v>
      </c>
      <c r="H445" s="1">
        <f>'Unformatted Trip Summary'!H443</f>
        <v>1.3660147812000001</v>
      </c>
    </row>
    <row r="446" spans="1:8" x14ac:dyDescent="0.2">
      <c r="A446" t="str">
        <f>'Unformatted Trip Summary'!A444</f>
        <v>06 HAWKE`S BAY</v>
      </c>
      <c r="B446" t="str">
        <f>'Unformatted Trip Summary'!J444</f>
        <v>2017/18</v>
      </c>
      <c r="C446" t="str">
        <f>'Unformatted Trip Summary'!I444</f>
        <v>Local Bus</v>
      </c>
      <c r="D446">
        <f>'Unformatted Trip Summary'!D444</f>
        <v>50</v>
      </c>
      <c r="E446">
        <f>'Unformatted Trip Summary'!E444</f>
        <v>142</v>
      </c>
      <c r="F446" s="1">
        <f>'Unformatted Trip Summary'!F444</f>
        <v>4.2128943276999999</v>
      </c>
      <c r="G446" s="1">
        <f>'Unformatted Trip Summary'!G444</f>
        <v>35.820083236999999</v>
      </c>
      <c r="H446" s="1">
        <f>'Unformatted Trip Summary'!H444</f>
        <v>1.2779562759</v>
      </c>
    </row>
    <row r="447" spans="1:8" x14ac:dyDescent="0.2">
      <c r="A447" t="str">
        <f>'Unformatted Trip Summary'!A445</f>
        <v>06 HAWKE`S BAY</v>
      </c>
      <c r="B447" t="str">
        <f>'Unformatted Trip Summary'!J445</f>
        <v>2022/23</v>
      </c>
      <c r="C447" t="str">
        <f>'Unformatted Trip Summary'!I445</f>
        <v>Local Bus</v>
      </c>
      <c r="D447">
        <f>'Unformatted Trip Summary'!D445</f>
        <v>50</v>
      </c>
      <c r="E447">
        <f>'Unformatted Trip Summary'!E445</f>
        <v>142</v>
      </c>
      <c r="F447" s="1">
        <f>'Unformatted Trip Summary'!F445</f>
        <v>4.3603953235999997</v>
      </c>
      <c r="G447" s="1">
        <f>'Unformatted Trip Summary'!G445</f>
        <v>35.956778356000001</v>
      </c>
      <c r="H447" s="1">
        <f>'Unformatted Trip Summary'!H445</f>
        <v>1.3255580378</v>
      </c>
    </row>
    <row r="448" spans="1:8" x14ac:dyDescent="0.2">
      <c r="A448" t="str">
        <f>'Unformatted Trip Summary'!A446</f>
        <v>06 HAWKE`S BAY</v>
      </c>
      <c r="B448" t="str">
        <f>'Unformatted Trip Summary'!J446</f>
        <v>2027/28</v>
      </c>
      <c r="C448" t="str">
        <f>'Unformatted Trip Summary'!I446</f>
        <v>Local Bus</v>
      </c>
      <c r="D448">
        <f>'Unformatted Trip Summary'!D446</f>
        <v>50</v>
      </c>
      <c r="E448">
        <f>'Unformatted Trip Summary'!E446</f>
        <v>142</v>
      </c>
      <c r="F448" s="1">
        <f>'Unformatted Trip Summary'!F446</f>
        <v>4.4003058816999996</v>
      </c>
      <c r="G448" s="1">
        <f>'Unformatted Trip Summary'!G446</f>
        <v>36.433417120000001</v>
      </c>
      <c r="H448" s="1">
        <f>'Unformatted Trip Summary'!H446</f>
        <v>1.3360469043000001</v>
      </c>
    </row>
    <row r="449" spans="1:8" x14ac:dyDescent="0.2">
      <c r="A449" t="str">
        <f>'Unformatted Trip Summary'!A447</f>
        <v>06 HAWKE`S BAY</v>
      </c>
      <c r="B449" t="str">
        <f>'Unformatted Trip Summary'!J447</f>
        <v>2032/33</v>
      </c>
      <c r="C449" t="str">
        <f>'Unformatted Trip Summary'!I447</f>
        <v>Local Bus</v>
      </c>
      <c r="D449">
        <f>'Unformatted Trip Summary'!D447</f>
        <v>50</v>
      </c>
      <c r="E449">
        <f>'Unformatted Trip Summary'!E447</f>
        <v>142</v>
      </c>
      <c r="F449" s="1">
        <f>'Unformatted Trip Summary'!F447</f>
        <v>4.3032782383999999</v>
      </c>
      <c r="G449" s="1">
        <f>'Unformatted Trip Summary'!G447</f>
        <v>35.806194775000002</v>
      </c>
      <c r="H449" s="1">
        <f>'Unformatted Trip Summary'!H447</f>
        <v>1.3020808343000001</v>
      </c>
    </row>
    <row r="450" spans="1:8" x14ac:dyDescent="0.2">
      <c r="A450" t="str">
        <f>'Unformatted Trip Summary'!A448</f>
        <v>06 HAWKE`S BAY</v>
      </c>
      <c r="B450" t="str">
        <f>'Unformatted Trip Summary'!J448</f>
        <v>2037/38</v>
      </c>
      <c r="C450" t="str">
        <f>'Unformatted Trip Summary'!I448</f>
        <v>Local Bus</v>
      </c>
      <c r="D450">
        <f>'Unformatted Trip Summary'!D448</f>
        <v>50</v>
      </c>
      <c r="E450">
        <f>'Unformatted Trip Summary'!E448</f>
        <v>142</v>
      </c>
      <c r="F450" s="1">
        <f>'Unformatted Trip Summary'!F448</f>
        <v>4.2865295565999997</v>
      </c>
      <c r="G450" s="1">
        <f>'Unformatted Trip Summary'!G448</f>
        <v>35.890975459000003</v>
      </c>
      <c r="H450" s="1">
        <f>'Unformatted Trip Summary'!H448</f>
        <v>1.2966185906000001</v>
      </c>
    </row>
    <row r="451" spans="1:8" x14ac:dyDescent="0.2">
      <c r="A451" t="str">
        <f>'Unformatted Trip Summary'!A449</f>
        <v>06 HAWKE`S BAY</v>
      </c>
      <c r="B451" t="str">
        <f>'Unformatted Trip Summary'!J449</f>
        <v>2042/43</v>
      </c>
      <c r="C451" t="str">
        <f>'Unformatted Trip Summary'!I449</f>
        <v>Local Bus</v>
      </c>
      <c r="D451">
        <f>'Unformatted Trip Summary'!D449</f>
        <v>50</v>
      </c>
      <c r="E451">
        <f>'Unformatted Trip Summary'!E449</f>
        <v>142</v>
      </c>
      <c r="F451" s="1">
        <f>'Unformatted Trip Summary'!F449</f>
        <v>4.2449323743000003</v>
      </c>
      <c r="G451" s="1">
        <f>'Unformatted Trip Summary'!G449</f>
        <v>35.774455017000001</v>
      </c>
      <c r="H451" s="1">
        <f>'Unformatted Trip Summary'!H449</f>
        <v>1.2828472934999999</v>
      </c>
    </row>
    <row r="452" spans="1:8" x14ac:dyDescent="0.2">
      <c r="A452" t="str">
        <f>'Unformatted Trip Summary'!A450</f>
        <v>06 HAWKE`S BAY</v>
      </c>
      <c r="B452" t="str">
        <f>'Unformatted Trip Summary'!J450</f>
        <v>2012/13</v>
      </c>
      <c r="C452" t="str">
        <f>'Unformatted Trip Summary'!I450</f>
        <v>Other Household Travel</v>
      </c>
      <c r="D452">
        <f>'Unformatted Trip Summary'!D450</f>
        <v>3</v>
      </c>
      <c r="E452">
        <f>'Unformatted Trip Summary'!E450</f>
        <v>10</v>
      </c>
      <c r="F452" s="1">
        <f>'Unformatted Trip Summary'!F450</f>
        <v>0.49138149730000003</v>
      </c>
      <c r="G452" s="1">
        <f>'Unformatted Trip Summary'!G450</f>
        <v>0</v>
      </c>
      <c r="H452" s="1">
        <f>'Unformatted Trip Summary'!H450</f>
        <v>0.15778150060000001</v>
      </c>
    </row>
    <row r="453" spans="1:8" x14ac:dyDescent="0.2">
      <c r="A453" t="str">
        <f>'Unformatted Trip Summary'!A451</f>
        <v>06 HAWKE`S BAY</v>
      </c>
      <c r="B453" t="str">
        <f>'Unformatted Trip Summary'!J451</f>
        <v>2017/18</v>
      </c>
      <c r="C453" t="str">
        <f>'Unformatted Trip Summary'!I451</f>
        <v>Other Household Travel</v>
      </c>
      <c r="D453">
        <f>'Unformatted Trip Summary'!D451</f>
        <v>3</v>
      </c>
      <c r="E453">
        <f>'Unformatted Trip Summary'!E451</f>
        <v>10</v>
      </c>
      <c r="F453" s="1">
        <f>'Unformatted Trip Summary'!F451</f>
        <v>0.50665771959999995</v>
      </c>
      <c r="G453" s="1">
        <f>'Unformatted Trip Summary'!G451</f>
        <v>0</v>
      </c>
      <c r="H453" s="1">
        <f>'Unformatted Trip Summary'!H451</f>
        <v>0.15860784310000001</v>
      </c>
    </row>
    <row r="454" spans="1:8" x14ac:dyDescent="0.2">
      <c r="A454" t="str">
        <f>'Unformatted Trip Summary'!A452</f>
        <v>06 HAWKE`S BAY</v>
      </c>
      <c r="B454" t="str">
        <f>'Unformatted Trip Summary'!J452</f>
        <v>2022/23</v>
      </c>
      <c r="C454" t="str">
        <f>'Unformatted Trip Summary'!I452</f>
        <v>Other Household Travel</v>
      </c>
      <c r="D454">
        <f>'Unformatted Trip Summary'!D452</f>
        <v>3</v>
      </c>
      <c r="E454">
        <f>'Unformatted Trip Summary'!E452</f>
        <v>10</v>
      </c>
      <c r="F454" s="1">
        <f>'Unformatted Trip Summary'!F452</f>
        <v>0.5787658242</v>
      </c>
      <c r="G454" s="1">
        <f>'Unformatted Trip Summary'!G452</f>
        <v>0</v>
      </c>
      <c r="H454" s="1">
        <f>'Unformatted Trip Summary'!H452</f>
        <v>0.1780779542</v>
      </c>
    </row>
    <row r="455" spans="1:8" x14ac:dyDescent="0.2">
      <c r="A455" t="str">
        <f>'Unformatted Trip Summary'!A453</f>
        <v>06 HAWKE`S BAY</v>
      </c>
      <c r="B455" t="str">
        <f>'Unformatted Trip Summary'!J453</f>
        <v>2027/28</v>
      </c>
      <c r="C455" t="str">
        <f>'Unformatted Trip Summary'!I453</f>
        <v>Other Household Travel</v>
      </c>
      <c r="D455">
        <f>'Unformatted Trip Summary'!D453</f>
        <v>3</v>
      </c>
      <c r="E455">
        <f>'Unformatted Trip Summary'!E453</f>
        <v>10</v>
      </c>
      <c r="F455" s="1">
        <f>'Unformatted Trip Summary'!F453</f>
        <v>0.67262502700000004</v>
      </c>
      <c r="G455" s="1">
        <f>'Unformatted Trip Summary'!G453</f>
        <v>0</v>
      </c>
      <c r="H455" s="1">
        <f>'Unformatted Trip Summary'!H453</f>
        <v>0.20079019040000001</v>
      </c>
    </row>
    <row r="456" spans="1:8" x14ac:dyDescent="0.2">
      <c r="A456" t="str">
        <f>'Unformatted Trip Summary'!A454</f>
        <v>06 HAWKE`S BAY</v>
      </c>
      <c r="B456" t="str">
        <f>'Unformatted Trip Summary'!J454</f>
        <v>2032/33</v>
      </c>
      <c r="C456" t="str">
        <f>'Unformatted Trip Summary'!I454</f>
        <v>Other Household Travel</v>
      </c>
      <c r="D456">
        <f>'Unformatted Trip Summary'!D454</f>
        <v>3</v>
      </c>
      <c r="E456">
        <f>'Unformatted Trip Summary'!E454</f>
        <v>10</v>
      </c>
      <c r="F456" s="1">
        <f>'Unformatted Trip Summary'!F454</f>
        <v>0.75037808930000005</v>
      </c>
      <c r="G456" s="1">
        <f>'Unformatted Trip Summary'!G454</f>
        <v>0</v>
      </c>
      <c r="H456" s="1">
        <f>'Unformatted Trip Summary'!H454</f>
        <v>0.21856149010000001</v>
      </c>
    </row>
    <row r="457" spans="1:8" x14ac:dyDescent="0.2">
      <c r="A457" t="str">
        <f>'Unformatted Trip Summary'!A455</f>
        <v>06 HAWKE`S BAY</v>
      </c>
      <c r="B457" t="str">
        <f>'Unformatted Trip Summary'!J455</f>
        <v>2037/38</v>
      </c>
      <c r="C457" t="str">
        <f>'Unformatted Trip Summary'!I455</f>
        <v>Other Household Travel</v>
      </c>
      <c r="D457">
        <f>'Unformatted Trip Summary'!D455</f>
        <v>3</v>
      </c>
      <c r="E457">
        <f>'Unformatted Trip Summary'!E455</f>
        <v>10</v>
      </c>
      <c r="F457" s="1">
        <f>'Unformatted Trip Summary'!F455</f>
        <v>0.83222729689999997</v>
      </c>
      <c r="G457" s="1">
        <f>'Unformatted Trip Summary'!G455</f>
        <v>0</v>
      </c>
      <c r="H457" s="1">
        <f>'Unformatted Trip Summary'!H455</f>
        <v>0.23916129119999999</v>
      </c>
    </row>
    <row r="458" spans="1:8" x14ac:dyDescent="0.2">
      <c r="A458" t="str">
        <f>'Unformatted Trip Summary'!A456</f>
        <v>06 HAWKE`S BAY</v>
      </c>
      <c r="B458" t="str">
        <f>'Unformatted Trip Summary'!J456</f>
        <v>2042/43</v>
      </c>
      <c r="C458" t="str">
        <f>'Unformatted Trip Summary'!I456</f>
        <v>Other Household Travel</v>
      </c>
      <c r="D458">
        <f>'Unformatted Trip Summary'!D456</f>
        <v>3</v>
      </c>
      <c r="E458">
        <f>'Unformatted Trip Summary'!E456</f>
        <v>10</v>
      </c>
      <c r="F458" s="1">
        <f>'Unformatted Trip Summary'!F456</f>
        <v>0.91127611720000001</v>
      </c>
      <c r="G458" s="1">
        <f>'Unformatted Trip Summary'!G456</f>
        <v>0</v>
      </c>
      <c r="H458" s="1">
        <f>'Unformatted Trip Summary'!H456</f>
        <v>0.25893084220000001</v>
      </c>
    </row>
    <row r="459" spans="1:8" x14ac:dyDescent="0.2">
      <c r="A459" t="str">
        <f>'Unformatted Trip Summary'!A457</f>
        <v>06 HAWKE`S BAY</v>
      </c>
      <c r="B459" t="str">
        <f>'Unformatted Trip Summary'!J457</f>
        <v>2012/13</v>
      </c>
      <c r="C459" t="str">
        <f>'Unformatted Trip Summary'!I457</f>
        <v>Air/Non-Local PT</v>
      </c>
      <c r="D459">
        <f>'Unformatted Trip Summary'!D457</f>
        <v>3</v>
      </c>
      <c r="E459">
        <f>'Unformatted Trip Summary'!E457</f>
        <v>5</v>
      </c>
      <c r="F459" s="1">
        <f>'Unformatted Trip Summary'!F457</f>
        <v>0.36260942909999999</v>
      </c>
      <c r="G459" s="1">
        <f>'Unformatted Trip Summary'!G457</f>
        <v>56.865163273</v>
      </c>
      <c r="H459" s="1">
        <f>'Unformatted Trip Summary'!H457</f>
        <v>0.96259589999999995</v>
      </c>
    </row>
    <row r="460" spans="1:8" x14ac:dyDescent="0.2">
      <c r="A460" t="str">
        <f>'Unformatted Trip Summary'!A458</f>
        <v>06 HAWKE`S BAY</v>
      </c>
      <c r="B460" t="str">
        <f>'Unformatted Trip Summary'!J458</f>
        <v>2017/18</v>
      </c>
      <c r="C460" t="str">
        <f>'Unformatted Trip Summary'!I458</f>
        <v>Air/Non-Local PT</v>
      </c>
      <c r="D460">
        <f>'Unformatted Trip Summary'!D458</f>
        <v>3</v>
      </c>
      <c r="E460">
        <f>'Unformatted Trip Summary'!E458</f>
        <v>5</v>
      </c>
      <c r="F460" s="1">
        <f>'Unformatted Trip Summary'!F458</f>
        <v>0.37865470690000003</v>
      </c>
      <c r="G460" s="1">
        <f>'Unformatted Trip Summary'!G458</f>
        <v>59.005874759999998</v>
      </c>
      <c r="H460" s="1">
        <f>'Unformatted Trip Summary'!H458</f>
        <v>1.0009403754999999</v>
      </c>
    </row>
    <row r="461" spans="1:8" x14ac:dyDescent="0.2">
      <c r="A461" t="str">
        <f>'Unformatted Trip Summary'!A459</f>
        <v>06 HAWKE`S BAY</v>
      </c>
      <c r="B461" t="str">
        <f>'Unformatted Trip Summary'!J459</f>
        <v>2022/23</v>
      </c>
      <c r="C461" t="str">
        <f>'Unformatted Trip Summary'!I459</f>
        <v>Air/Non-Local PT</v>
      </c>
      <c r="D461">
        <f>'Unformatted Trip Summary'!D459</f>
        <v>3</v>
      </c>
      <c r="E461">
        <f>'Unformatted Trip Summary'!E459</f>
        <v>5</v>
      </c>
      <c r="F461" s="1">
        <f>'Unformatted Trip Summary'!F459</f>
        <v>0.41666653669999998</v>
      </c>
      <c r="G461" s="1">
        <f>'Unformatted Trip Summary'!G459</f>
        <v>63.827006976</v>
      </c>
      <c r="H461" s="1">
        <f>'Unformatted Trip Summary'!H459</f>
        <v>1.0891469415999999</v>
      </c>
    </row>
    <row r="462" spans="1:8" x14ac:dyDescent="0.2">
      <c r="A462" t="str">
        <f>'Unformatted Trip Summary'!A460</f>
        <v>06 HAWKE`S BAY</v>
      </c>
      <c r="B462" t="str">
        <f>'Unformatted Trip Summary'!J460</f>
        <v>2027/28</v>
      </c>
      <c r="C462" t="str">
        <f>'Unformatted Trip Summary'!I460</f>
        <v>Air/Non-Local PT</v>
      </c>
      <c r="D462">
        <f>'Unformatted Trip Summary'!D460</f>
        <v>3</v>
      </c>
      <c r="E462">
        <f>'Unformatted Trip Summary'!E460</f>
        <v>5</v>
      </c>
      <c r="F462" s="1">
        <f>'Unformatted Trip Summary'!F460</f>
        <v>0.40107805790000001</v>
      </c>
      <c r="G462" s="1">
        <f>'Unformatted Trip Summary'!G460</f>
        <v>61.406468627000002</v>
      </c>
      <c r="H462" s="1">
        <f>'Unformatted Trip Summary'!H460</f>
        <v>1.0469769582999999</v>
      </c>
    </row>
    <row r="463" spans="1:8" x14ac:dyDescent="0.2">
      <c r="A463" t="str">
        <f>'Unformatted Trip Summary'!A461</f>
        <v>06 HAWKE`S BAY</v>
      </c>
      <c r="B463" t="str">
        <f>'Unformatted Trip Summary'!J461</f>
        <v>2032/33</v>
      </c>
      <c r="C463" t="str">
        <f>'Unformatted Trip Summary'!I461</f>
        <v>Air/Non-Local PT</v>
      </c>
      <c r="D463">
        <f>'Unformatted Trip Summary'!D461</f>
        <v>3</v>
      </c>
      <c r="E463">
        <f>'Unformatted Trip Summary'!E461</f>
        <v>5</v>
      </c>
      <c r="F463" s="1">
        <f>'Unformatted Trip Summary'!F461</f>
        <v>0.37808810250000002</v>
      </c>
      <c r="G463" s="1">
        <f>'Unformatted Trip Summary'!G461</f>
        <v>58.153289202000003</v>
      </c>
      <c r="H463" s="1">
        <f>'Unformatted Trip Summary'!H461</f>
        <v>0.98928074889999995</v>
      </c>
    </row>
    <row r="464" spans="1:8" x14ac:dyDescent="0.2">
      <c r="A464" t="str">
        <f>'Unformatted Trip Summary'!A462</f>
        <v>06 HAWKE`S BAY</v>
      </c>
      <c r="B464" t="str">
        <f>'Unformatted Trip Summary'!J462</f>
        <v>2037/38</v>
      </c>
      <c r="C464" t="str">
        <f>'Unformatted Trip Summary'!I462</f>
        <v>Air/Non-Local PT</v>
      </c>
      <c r="D464">
        <f>'Unformatted Trip Summary'!D462</f>
        <v>3</v>
      </c>
      <c r="E464">
        <f>'Unformatted Trip Summary'!E462</f>
        <v>5</v>
      </c>
      <c r="F464" s="1">
        <f>'Unformatted Trip Summary'!F462</f>
        <v>0.35679981919999998</v>
      </c>
      <c r="G464" s="1">
        <f>'Unformatted Trip Summary'!G462</f>
        <v>57.484597776999998</v>
      </c>
      <c r="H464" s="1">
        <f>'Unformatted Trip Summary'!H462</f>
        <v>0.959934124</v>
      </c>
    </row>
    <row r="465" spans="1:8" x14ac:dyDescent="0.2">
      <c r="A465" t="str">
        <f>'Unformatted Trip Summary'!A463</f>
        <v>06 HAWKE`S BAY</v>
      </c>
      <c r="B465" t="str">
        <f>'Unformatted Trip Summary'!J463</f>
        <v>2042/43</v>
      </c>
      <c r="C465" t="str">
        <f>'Unformatted Trip Summary'!I463</f>
        <v>Air/Non-Local PT</v>
      </c>
      <c r="D465">
        <f>'Unformatted Trip Summary'!D463</f>
        <v>3</v>
      </c>
      <c r="E465">
        <f>'Unformatted Trip Summary'!E463</f>
        <v>5</v>
      </c>
      <c r="F465" s="1">
        <f>'Unformatted Trip Summary'!F463</f>
        <v>0.3295314573</v>
      </c>
      <c r="G465" s="1">
        <f>'Unformatted Trip Summary'!G463</f>
        <v>55.980426549999997</v>
      </c>
      <c r="H465" s="1">
        <f>'Unformatted Trip Summary'!H463</f>
        <v>0.91580033319999998</v>
      </c>
    </row>
    <row r="466" spans="1:8" x14ac:dyDescent="0.2">
      <c r="A466" t="str">
        <f>'Unformatted Trip Summary'!A464</f>
        <v>06 HAWKE`S BAY</v>
      </c>
      <c r="B466" t="str">
        <f>'Unformatted Trip Summary'!J464</f>
        <v>2012/13</v>
      </c>
      <c r="C466" t="str">
        <f>'Unformatted Trip Summary'!I464</f>
        <v>Non-Household Travel</v>
      </c>
      <c r="D466">
        <f>'Unformatted Trip Summary'!D464</f>
        <v>8</v>
      </c>
      <c r="E466">
        <f>'Unformatted Trip Summary'!E464</f>
        <v>27</v>
      </c>
      <c r="F466" s="1">
        <f>'Unformatted Trip Summary'!F464</f>
        <v>0.84253347339999995</v>
      </c>
      <c r="G466" s="1">
        <f>'Unformatted Trip Summary'!G464</f>
        <v>31.621733808999998</v>
      </c>
      <c r="H466" s="1">
        <f>'Unformatted Trip Summary'!H464</f>
        <v>0.62196297879999995</v>
      </c>
    </row>
    <row r="467" spans="1:8" x14ac:dyDescent="0.2">
      <c r="A467" t="str">
        <f>'Unformatted Trip Summary'!A465</f>
        <v>06 HAWKE`S BAY</v>
      </c>
      <c r="B467" t="str">
        <f>'Unformatted Trip Summary'!J465</f>
        <v>2017/18</v>
      </c>
      <c r="C467" t="str">
        <f>'Unformatted Trip Summary'!I465</f>
        <v>Non-Household Travel</v>
      </c>
      <c r="D467">
        <f>'Unformatted Trip Summary'!D465</f>
        <v>8</v>
      </c>
      <c r="E467">
        <f>'Unformatted Trip Summary'!E465</f>
        <v>27</v>
      </c>
      <c r="F467" s="1">
        <f>'Unformatted Trip Summary'!F465</f>
        <v>0.89379086969999999</v>
      </c>
      <c r="G467" s="1">
        <f>'Unformatted Trip Summary'!G465</f>
        <v>34.505102184000002</v>
      </c>
      <c r="H467" s="1">
        <f>'Unformatted Trip Summary'!H465</f>
        <v>0.67625827910000003</v>
      </c>
    </row>
    <row r="468" spans="1:8" x14ac:dyDescent="0.2">
      <c r="A468" t="str">
        <f>'Unformatted Trip Summary'!A466</f>
        <v>06 HAWKE`S BAY</v>
      </c>
      <c r="B468" t="str">
        <f>'Unformatted Trip Summary'!J466</f>
        <v>2022/23</v>
      </c>
      <c r="C468" t="str">
        <f>'Unformatted Trip Summary'!I466</f>
        <v>Non-Household Travel</v>
      </c>
      <c r="D468">
        <f>'Unformatted Trip Summary'!D466</f>
        <v>8</v>
      </c>
      <c r="E468">
        <f>'Unformatted Trip Summary'!E466</f>
        <v>27</v>
      </c>
      <c r="F468" s="1">
        <f>'Unformatted Trip Summary'!F466</f>
        <v>1.0146238932</v>
      </c>
      <c r="G468" s="1">
        <f>'Unformatted Trip Summary'!G466</f>
        <v>39.158363110000003</v>
      </c>
      <c r="H468" s="1">
        <f>'Unformatted Trip Summary'!H466</f>
        <v>0.77213565470000001</v>
      </c>
    </row>
    <row r="469" spans="1:8" x14ac:dyDescent="0.2">
      <c r="A469" t="str">
        <f>'Unformatted Trip Summary'!A467</f>
        <v>06 HAWKE`S BAY</v>
      </c>
      <c r="B469" t="str">
        <f>'Unformatted Trip Summary'!J467</f>
        <v>2027/28</v>
      </c>
      <c r="C469" t="str">
        <f>'Unformatted Trip Summary'!I467</f>
        <v>Non-Household Travel</v>
      </c>
      <c r="D469">
        <f>'Unformatted Trip Summary'!D467</f>
        <v>8</v>
      </c>
      <c r="E469">
        <f>'Unformatted Trip Summary'!E467</f>
        <v>27</v>
      </c>
      <c r="F469" s="1">
        <f>'Unformatted Trip Summary'!F467</f>
        <v>1.0886396595000001</v>
      </c>
      <c r="G469" s="1">
        <f>'Unformatted Trip Summary'!G467</f>
        <v>38.935815935999997</v>
      </c>
      <c r="H469" s="1">
        <f>'Unformatted Trip Summary'!H467</f>
        <v>0.79244041409999999</v>
      </c>
    </row>
    <row r="470" spans="1:8" x14ac:dyDescent="0.2">
      <c r="A470" t="str">
        <f>'Unformatted Trip Summary'!A468</f>
        <v>06 HAWKE`S BAY</v>
      </c>
      <c r="B470" t="str">
        <f>'Unformatted Trip Summary'!J468</f>
        <v>2032/33</v>
      </c>
      <c r="C470" t="str">
        <f>'Unformatted Trip Summary'!I468</f>
        <v>Non-Household Travel</v>
      </c>
      <c r="D470">
        <f>'Unformatted Trip Summary'!D468</f>
        <v>8</v>
      </c>
      <c r="E470">
        <f>'Unformatted Trip Summary'!E468</f>
        <v>27</v>
      </c>
      <c r="F470" s="1">
        <f>'Unformatted Trip Summary'!F468</f>
        <v>1.1390990838999999</v>
      </c>
      <c r="G470" s="1">
        <f>'Unformatted Trip Summary'!G468</f>
        <v>39.060356079000002</v>
      </c>
      <c r="H470" s="1">
        <f>'Unformatted Trip Summary'!H468</f>
        <v>0.81333783719999997</v>
      </c>
    </row>
    <row r="471" spans="1:8" x14ac:dyDescent="0.2">
      <c r="A471" t="str">
        <f>'Unformatted Trip Summary'!A469</f>
        <v>06 HAWKE`S BAY</v>
      </c>
      <c r="B471" t="str">
        <f>'Unformatted Trip Summary'!J469</f>
        <v>2037/38</v>
      </c>
      <c r="C471" t="str">
        <f>'Unformatted Trip Summary'!I469</f>
        <v>Non-Household Travel</v>
      </c>
      <c r="D471">
        <f>'Unformatted Trip Summary'!D469</f>
        <v>8</v>
      </c>
      <c r="E471">
        <f>'Unformatted Trip Summary'!E469</f>
        <v>27</v>
      </c>
      <c r="F471" s="1">
        <f>'Unformatted Trip Summary'!F469</f>
        <v>1.19897999</v>
      </c>
      <c r="G471" s="1">
        <f>'Unformatted Trip Summary'!G469</f>
        <v>39.924970807999998</v>
      </c>
      <c r="H471" s="1">
        <f>'Unformatted Trip Summary'!H469</f>
        <v>0.84714647440000002</v>
      </c>
    </row>
    <row r="472" spans="1:8" x14ac:dyDescent="0.2">
      <c r="A472" t="str">
        <f>'Unformatted Trip Summary'!A470</f>
        <v>06 HAWKE`S BAY</v>
      </c>
      <c r="B472" t="str">
        <f>'Unformatted Trip Summary'!J470</f>
        <v>2042/43</v>
      </c>
      <c r="C472" t="str">
        <f>'Unformatted Trip Summary'!I470</f>
        <v>Non-Household Travel</v>
      </c>
      <c r="D472">
        <f>'Unformatted Trip Summary'!D470</f>
        <v>8</v>
      </c>
      <c r="E472">
        <f>'Unformatted Trip Summary'!E470</f>
        <v>27</v>
      </c>
      <c r="F472" s="1">
        <f>'Unformatted Trip Summary'!F470</f>
        <v>1.2586015548</v>
      </c>
      <c r="G472" s="1">
        <f>'Unformatted Trip Summary'!G470</f>
        <v>40.812535404000002</v>
      </c>
      <c r="H472" s="1">
        <f>'Unformatted Trip Summary'!H470</f>
        <v>0.88127219160000003</v>
      </c>
    </row>
    <row r="473" spans="1:8" x14ac:dyDescent="0.2">
      <c r="A473" t="str">
        <f>'Unformatted Trip Summary'!A471</f>
        <v>07 TARANAKI</v>
      </c>
      <c r="B473" t="str">
        <f>'Unformatted Trip Summary'!J471</f>
        <v>2012/13</v>
      </c>
      <c r="C473" t="str">
        <f>'Unformatted Trip Summary'!I471</f>
        <v>Pedestrian</v>
      </c>
      <c r="D473">
        <f>'Unformatted Trip Summary'!D471</f>
        <v>314</v>
      </c>
      <c r="E473">
        <f>'Unformatted Trip Summary'!E471</f>
        <v>1091</v>
      </c>
      <c r="F473" s="1">
        <f>'Unformatted Trip Summary'!F471</f>
        <v>23.308571313000002</v>
      </c>
      <c r="G473" s="1">
        <f>'Unformatted Trip Summary'!G471</f>
        <v>16.820589198</v>
      </c>
      <c r="H473" s="1">
        <f>'Unformatted Trip Summary'!H471</f>
        <v>4.7547330373000003</v>
      </c>
    </row>
    <row r="474" spans="1:8" x14ac:dyDescent="0.2">
      <c r="A474" t="str">
        <f>'Unformatted Trip Summary'!A472</f>
        <v>07 TARANAKI</v>
      </c>
      <c r="B474" t="str">
        <f>'Unformatted Trip Summary'!J472</f>
        <v>2017/18</v>
      </c>
      <c r="C474" t="str">
        <f>'Unformatted Trip Summary'!I472</f>
        <v>Pedestrian</v>
      </c>
      <c r="D474">
        <f>'Unformatted Trip Summary'!D472</f>
        <v>314</v>
      </c>
      <c r="E474">
        <f>'Unformatted Trip Summary'!E472</f>
        <v>1091</v>
      </c>
      <c r="F474" s="1">
        <f>'Unformatted Trip Summary'!F472</f>
        <v>22.622772427000001</v>
      </c>
      <c r="G474" s="1">
        <f>'Unformatted Trip Summary'!G472</f>
        <v>16.476627296</v>
      </c>
      <c r="H474" s="1">
        <f>'Unformatted Trip Summary'!H472</f>
        <v>4.4616967658000002</v>
      </c>
    </row>
    <row r="475" spans="1:8" x14ac:dyDescent="0.2">
      <c r="A475" t="str">
        <f>'Unformatted Trip Summary'!A473</f>
        <v>07 TARANAKI</v>
      </c>
      <c r="B475" t="str">
        <f>'Unformatted Trip Summary'!J473</f>
        <v>2022/23</v>
      </c>
      <c r="C475" t="str">
        <f>'Unformatted Trip Summary'!I473</f>
        <v>Pedestrian</v>
      </c>
      <c r="D475">
        <f>'Unformatted Trip Summary'!D473</f>
        <v>314</v>
      </c>
      <c r="E475">
        <f>'Unformatted Trip Summary'!E473</f>
        <v>1091</v>
      </c>
      <c r="F475" s="1">
        <f>'Unformatted Trip Summary'!F473</f>
        <v>23.619524414000001</v>
      </c>
      <c r="G475" s="1">
        <f>'Unformatted Trip Summary'!G473</f>
        <v>17.421651743000002</v>
      </c>
      <c r="H475" s="1">
        <f>'Unformatted Trip Summary'!H473</f>
        <v>4.5382522600000001</v>
      </c>
    </row>
    <row r="476" spans="1:8" x14ac:dyDescent="0.2">
      <c r="A476" t="str">
        <f>'Unformatted Trip Summary'!A474</f>
        <v>07 TARANAKI</v>
      </c>
      <c r="B476" t="str">
        <f>'Unformatted Trip Summary'!J474</f>
        <v>2027/28</v>
      </c>
      <c r="C476" t="str">
        <f>'Unformatted Trip Summary'!I474</f>
        <v>Pedestrian</v>
      </c>
      <c r="D476">
        <f>'Unformatted Trip Summary'!D474</f>
        <v>314</v>
      </c>
      <c r="E476">
        <f>'Unformatted Trip Summary'!E474</f>
        <v>1091</v>
      </c>
      <c r="F476" s="1">
        <f>'Unformatted Trip Summary'!F474</f>
        <v>23.182809510999999</v>
      </c>
      <c r="G476" s="1">
        <f>'Unformatted Trip Summary'!G474</f>
        <v>17.337091392000001</v>
      </c>
      <c r="H476" s="1">
        <f>'Unformatted Trip Summary'!H474</f>
        <v>4.3849402961999999</v>
      </c>
    </row>
    <row r="477" spans="1:8" x14ac:dyDescent="0.2">
      <c r="A477" t="str">
        <f>'Unformatted Trip Summary'!A475</f>
        <v>07 TARANAKI</v>
      </c>
      <c r="B477" t="str">
        <f>'Unformatted Trip Summary'!J475</f>
        <v>2032/33</v>
      </c>
      <c r="C477" t="str">
        <f>'Unformatted Trip Summary'!I475</f>
        <v>Pedestrian</v>
      </c>
      <c r="D477">
        <f>'Unformatted Trip Summary'!D475</f>
        <v>314</v>
      </c>
      <c r="E477">
        <f>'Unformatted Trip Summary'!E475</f>
        <v>1091</v>
      </c>
      <c r="F477" s="1">
        <f>'Unformatted Trip Summary'!F475</f>
        <v>22.684795899000001</v>
      </c>
      <c r="G477" s="1">
        <f>'Unformatted Trip Summary'!G475</f>
        <v>17.158422262999999</v>
      </c>
      <c r="H477" s="1">
        <f>'Unformatted Trip Summary'!H475</f>
        <v>4.248310923</v>
      </c>
    </row>
    <row r="478" spans="1:8" x14ac:dyDescent="0.2">
      <c r="A478" t="str">
        <f>'Unformatted Trip Summary'!A476</f>
        <v>07 TARANAKI</v>
      </c>
      <c r="B478" t="str">
        <f>'Unformatted Trip Summary'!J476</f>
        <v>2037/38</v>
      </c>
      <c r="C478" t="str">
        <f>'Unformatted Trip Summary'!I476</f>
        <v>Pedestrian</v>
      </c>
      <c r="D478">
        <f>'Unformatted Trip Summary'!D476</f>
        <v>314</v>
      </c>
      <c r="E478">
        <f>'Unformatted Trip Summary'!E476</f>
        <v>1091</v>
      </c>
      <c r="F478" s="1">
        <f>'Unformatted Trip Summary'!F476</f>
        <v>22.150002843999999</v>
      </c>
      <c r="G478" s="1">
        <f>'Unformatted Trip Summary'!G476</f>
        <v>16.988851086</v>
      </c>
      <c r="H478" s="1">
        <f>'Unformatted Trip Summary'!H476</f>
        <v>4.1357848014999998</v>
      </c>
    </row>
    <row r="479" spans="1:8" x14ac:dyDescent="0.2">
      <c r="A479" t="str">
        <f>'Unformatted Trip Summary'!A477</f>
        <v>07 TARANAKI</v>
      </c>
      <c r="B479" t="str">
        <f>'Unformatted Trip Summary'!J477</f>
        <v>2042/43</v>
      </c>
      <c r="C479" t="str">
        <f>'Unformatted Trip Summary'!I477</f>
        <v>Pedestrian</v>
      </c>
      <c r="D479">
        <f>'Unformatted Trip Summary'!D477</f>
        <v>314</v>
      </c>
      <c r="E479">
        <f>'Unformatted Trip Summary'!E477</f>
        <v>1091</v>
      </c>
      <c r="F479" s="1">
        <f>'Unformatted Trip Summary'!F477</f>
        <v>21.617359099000002</v>
      </c>
      <c r="G479" s="1">
        <f>'Unformatted Trip Summary'!G477</f>
        <v>16.808457581999999</v>
      </c>
      <c r="H479" s="1">
        <f>'Unformatted Trip Summary'!H477</f>
        <v>4.0338013247999998</v>
      </c>
    </row>
    <row r="480" spans="1:8" x14ac:dyDescent="0.2">
      <c r="A480" t="str">
        <f>'Unformatted Trip Summary'!A478</f>
        <v>07 TARANAKI</v>
      </c>
      <c r="B480" t="str">
        <f>'Unformatted Trip Summary'!J478</f>
        <v>2012/13</v>
      </c>
      <c r="C480" t="str">
        <f>'Unformatted Trip Summary'!I478</f>
        <v>Cyclist</v>
      </c>
      <c r="D480">
        <f>'Unformatted Trip Summary'!D478</f>
        <v>45</v>
      </c>
      <c r="E480">
        <f>'Unformatted Trip Summary'!E478</f>
        <v>133</v>
      </c>
      <c r="F480" s="1">
        <f>'Unformatted Trip Summary'!F478</f>
        <v>2.1611397319000001</v>
      </c>
      <c r="G480" s="1">
        <f>'Unformatted Trip Summary'!G478</f>
        <v>5.5737915155</v>
      </c>
      <c r="H480" s="1">
        <f>'Unformatted Trip Summary'!H478</f>
        <v>0.51341482110000003</v>
      </c>
    </row>
    <row r="481" spans="1:8" x14ac:dyDescent="0.2">
      <c r="A481" t="str">
        <f>'Unformatted Trip Summary'!A479</f>
        <v>07 TARANAKI</v>
      </c>
      <c r="B481" t="str">
        <f>'Unformatted Trip Summary'!J479</f>
        <v>2017/18</v>
      </c>
      <c r="C481" t="str">
        <f>'Unformatted Trip Summary'!I479</f>
        <v>Cyclist</v>
      </c>
      <c r="D481">
        <f>'Unformatted Trip Summary'!D479</f>
        <v>45</v>
      </c>
      <c r="E481">
        <f>'Unformatted Trip Summary'!E479</f>
        <v>133</v>
      </c>
      <c r="F481" s="1">
        <f>'Unformatted Trip Summary'!F479</f>
        <v>2.0337103172000002</v>
      </c>
      <c r="G481" s="1">
        <f>'Unformatted Trip Summary'!G479</f>
        <v>5.3359230288999999</v>
      </c>
      <c r="H481" s="1">
        <f>'Unformatted Trip Summary'!H479</f>
        <v>0.49911730589999997</v>
      </c>
    </row>
    <row r="482" spans="1:8" x14ac:dyDescent="0.2">
      <c r="A482" t="str">
        <f>'Unformatted Trip Summary'!A480</f>
        <v>07 TARANAKI</v>
      </c>
      <c r="B482" t="str">
        <f>'Unformatted Trip Summary'!J480</f>
        <v>2022/23</v>
      </c>
      <c r="C482" t="str">
        <f>'Unformatted Trip Summary'!I480</f>
        <v>Cyclist</v>
      </c>
      <c r="D482">
        <f>'Unformatted Trip Summary'!D480</f>
        <v>45</v>
      </c>
      <c r="E482">
        <f>'Unformatted Trip Summary'!E480</f>
        <v>133</v>
      </c>
      <c r="F482" s="1">
        <f>'Unformatted Trip Summary'!F480</f>
        <v>2.0569300792999998</v>
      </c>
      <c r="G482" s="1">
        <f>'Unformatted Trip Summary'!G480</f>
        <v>5.5277498181000002</v>
      </c>
      <c r="H482" s="1">
        <f>'Unformatted Trip Summary'!H480</f>
        <v>0.52075643410000005</v>
      </c>
    </row>
    <row r="483" spans="1:8" x14ac:dyDescent="0.2">
      <c r="A483" t="str">
        <f>'Unformatted Trip Summary'!A481</f>
        <v>07 TARANAKI</v>
      </c>
      <c r="B483" t="str">
        <f>'Unformatted Trip Summary'!J481</f>
        <v>2027/28</v>
      </c>
      <c r="C483" t="str">
        <f>'Unformatted Trip Summary'!I481</f>
        <v>Cyclist</v>
      </c>
      <c r="D483">
        <f>'Unformatted Trip Summary'!D481</f>
        <v>45</v>
      </c>
      <c r="E483">
        <f>'Unformatted Trip Summary'!E481</f>
        <v>133</v>
      </c>
      <c r="F483" s="1">
        <f>'Unformatted Trip Summary'!F481</f>
        <v>1.9511277787000001</v>
      </c>
      <c r="G483" s="1">
        <f>'Unformatted Trip Summary'!G481</f>
        <v>5.1984312132000001</v>
      </c>
      <c r="H483" s="1">
        <f>'Unformatted Trip Summary'!H481</f>
        <v>0.49518417310000001</v>
      </c>
    </row>
    <row r="484" spans="1:8" x14ac:dyDescent="0.2">
      <c r="A484" t="str">
        <f>'Unformatted Trip Summary'!A482</f>
        <v>07 TARANAKI</v>
      </c>
      <c r="B484" t="str">
        <f>'Unformatted Trip Summary'!J482</f>
        <v>2032/33</v>
      </c>
      <c r="C484" t="str">
        <f>'Unformatted Trip Summary'!I482</f>
        <v>Cyclist</v>
      </c>
      <c r="D484">
        <f>'Unformatted Trip Summary'!D482</f>
        <v>45</v>
      </c>
      <c r="E484">
        <f>'Unformatted Trip Summary'!E482</f>
        <v>133</v>
      </c>
      <c r="F484" s="1">
        <f>'Unformatted Trip Summary'!F482</f>
        <v>1.8640259592999999</v>
      </c>
      <c r="G484" s="1">
        <f>'Unformatted Trip Summary'!G482</f>
        <v>5.0721984837000003</v>
      </c>
      <c r="H484" s="1">
        <f>'Unformatted Trip Summary'!H482</f>
        <v>0.4859100261</v>
      </c>
    </row>
    <row r="485" spans="1:8" x14ac:dyDescent="0.2">
      <c r="A485" t="str">
        <f>'Unformatted Trip Summary'!A483</f>
        <v>07 TARANAKI</v>
      </c>
      <c r="B485" t="str">
        <f>'Unformatted Trip Summary'!J483</f>
        <v>2037/38</v>
      </c>
      <c r="C485" t="str">
        <f>'Unformatted Trip Summary'!I483</f>
        <v>Cyclist</v>
      </c>
      <c r="D485">
        <f>'Unformatted Trip Summary'!D483</f>
        <v>45</v>
      </c>
      <c r="E485">
        <f>'Unformatted Trip Summary'!E483</f>
        <v>133</v>
      </c>
      <c r="F485" s="1">
        <f>'Unformatted Trip Summary'!F483</f>
        <v>1.7694692982</v>
      </c>
      <c r="G485" s="1">
        <f>'Unformatted Trip Summary'!G483</f>
        <v>5.0969302025000003</v>
      </c>
      <c r="H485" s="1">
        <f>'Unformatted Trip Summary'!H483</f>
        <v>0.48588268200000001</v>
      </c>
    </row>
    <row r="486" spans="1:8" x14ac:dyDescent="0.2">
      <c r="A486" t="str">
        <f>'Unformatted Trip Summary'!A484</f>
        <v>07 TARANAKI</v>
      </c>
      <c r="B486" t="str">
        <f>'Unformatted Trip Summary'!J484</f>
        <v>2042/43</v>
      </c>
      <c r="C486" t="str">
        <f>'Unformatted Trip Summary'!I484</f>
        <v>Cyclist</v>
      </c>
      <c r="D486">
        <f>'Unformatted Trip Summary'!D484</f>
        <v>45</v>
      </c>
      <c r="E486">
        <f>'Unformatted Trip Summary'!E484</f>
        <v>133</v>
      </c>
      <c r="F486" s="1">
        <f>'Unformatted Trip Summary'!F484</f>
        <v>1.6936086236000001</v>
      </c>
      <c r="G486" s="1">
        <f>'Unformatted Trip Summary'!G484</f>
        <v>5.1721720060000003</v>
      </c>
      <c r="H486" s="1">
        <f>'Unformatted Trip Summary'!H484</f>
        <v>0.4902892284</v>
      </c>
    </row>
    <row r="487" spans="1:8" x14ac:dyDescent="0.2">
      <c r="A487" t="str">
        <f>'Unformatted Trip Summary'!A485</f>
        <v>07 TARANAKI</v>
      </c>
      <c r="B487" t="str">
        <f>'Unformatted Trip Summary'!J485</f>
        <v>2012/13</v>
      </c>
      <c r="C487" t="str">
        <f>'Unformatted Trip Summary'!I485</f>
        <v>Light Vehicle Driver</v>
      </c>
      <c r="D487">
        <f>'Unformatted Trip Summary'!D485</f>
        <v>575</v>
      </c>
      <c r="E487">
        <f>'Unformatted Trip Summary'!E485</f>
        <v>4143</v>
      </c>
      <c r="F487" s="1">
        <f>'Unformatted Trip Summary'!F485</f>
        <v>90.801950900999998</v>
      </c>
      <c r="G487" s="1">
        <f>'Unformatted Trip Summary'!G485</f>
        <v>933.36875414999997</v>
      </c>
      <c r="H487" s="1">
        <f>'Unformatted Trip Summary'!H485</f>
        <v>21.205429401</v>
      </c>
    </row>
    <row r="488" spans="1:8" x14ac:dyDescent="0.2">
      <c r="A488" t="str">
        <f>'Unformatted Trip Summary'!A486</f>
        <v>07 TARANAKI</v>
      </c>
      <c r="B488" t="str">
        <f>'Unformatted Trip Summary'!J486</f>
        <v>2017/18</v>
      </c>
      <c r="C488" t="str">
        <f>'Unformatted Trip Summary'!I486</f>
        <v>Light Vehicle Driver</v>
      </c>
      <c r="D488">
        <f>'Unformatted Trip Summary'!D486</f>
        <v>575</v>
      </c>
      <c r="E488">
        <f>'Unformatted Trip Summary'!E486</f>
        <v>4143</v>
      </c>
      <c r="F488" s="1">
        <f>'Unformatted Trip Summary'!F486</f>
        <v>90.072080670000005</v>
      </c>
      <c r="G488" s="1">
        <f>'Unformatted Trip Summary'!G486</f>
        <v>940.88617249000004</v>
      </c>
      <c r="H488" s="1">
        <f>'Unformatted Trip Summary'!H486</f>
        <v>21.247732160000002</v>
      </c>
    </row>
    <row r="489" spans="1:8" x14ac:dyDescent="0.2">
      <c r="A489" t="str">
        <f>'Unformatted Trip Summary'!A487</f>
        <v>07 TARANAKI</v>
      </c>
      <c r="B489" t="str">
        <f>'Unformatted Trip Summary'!J487</f>
        <v>2022/23</v>
      </c>
      <c r="C489" t="str">
        <f>'Unformatted Trip Summary'!I487</f>
        <v>Light Vehicle Driver</v>
      </c>
      <c r="D489">
        <f>'Unformatted Trip Summary'!D487</f>
        <v>575</v>
      </c>
      <c r="E489">
        <f>'Unformatted Trip Summary'!E487</f>
        <v>4143</v>
      </c>
      <c r="F489" s="1">
        <f>'Unformatted Trip Summary'!F487</f>
        <v>96.582340439999996</v>
      </c>
      <c r="G489" s="1">
        <f>'Unformatted Trip Summary'!G487</f>
        <v>1025.2692817</v>
      </c>
      <c r="H489" s="1">
        <f>'Unformatted Trip Summary'!H487</f>
        <v>23.024594200999999</v>
      </c>
    </row>
    <row r="490" spans="1:8" x14ac:dyDescent="0.2">
      <c r="A490" t="str">
        <f>'Unformatted Trip Summary'!A488</f>
        <v>07 TARANAKI</v>
      </c>
      <c r="B490" t="str">
        <f>'Unformatted Trip Summary'!J488</f>
        <v>2027/28</v>
      </c>
      <c r="C490" t="str">
        <f>'Unformatted Trip Summary'!I488</f>
        <v>Light Vehicle Driver</v>
      </c>
      <c r="D490">
        <f>'Unformatted Trip Summary'!D488</f>
        <v>575</v>
      </c>
      <c r="E490">
        <f>'Unformatted Trip Summary'!E488</f>
        <v>4143</v>
      </c>
      <c r="F490" s="1">
        <f>'Unformatted Trip Summary'!F488</f>
        <v>97.664051392999994</v>
      </c>
      <c r="G490" s="1">
        <f>'Unformatted Trip Summary'!G488</f>
        <v>1038.9268886</v>
      </c>
      <c r="H490" s="1">
        <f>'Unformatted Trip Summary'!H488</f>
        <v>23.359628345000001</v>
      </c>
    </row>
    <row r="491" spans="1:8" x14ac:dyDescent="0.2">
      <c r="A491" t="str">
        <f>'Unformatted Trip Summary'!A489</f>
        <v>07 TARANAKI</v>
      </c>
      <c r="B491" t="str">
        <f>'Unformatted Trip Summary'!J489</f>
        <v>2032/33</v>
      </c>
      <c r="C491" t="str">
        <f>'Unformatted Trip Summary'!I489</f>
        <v>Light Vehicle Driver</v>
      </c>
      <c r="D491">
        <f>'Unformatted Trip Summary'!D489</f>
        <v>575</v>
      </c>
      <c r="E491">
        <f>'Unformatted Trip Summary'!E489</f>
        <v>4143</v>
      </c>
      <c r="F491" s="1">
        <f>'Unformatted Trip Summary'!F489</f>
        <v>96.632365640000003</v>
      </c>
      <c r="G491" s="1">
        <f>'Unformatted Trip Summary'!G489</f>
        <v>1028.3137004</v>
      </c>
      <c r="H491" s="1">
        <f>'Unformatted Trip Summary'!H489</f>
        <v>23.178229661</v>
      </c>
    </row>
    <row r="492" spans="1:8" x14ac:dyDescent="0.2">
      <c r="A492" t="str">
        <f>'Unformatted Trip Summary'!A490</f>
        <v>07 TARANAKI</v>
      </c>
      <c r="B492" t="str">
        <f>'Unformatted Trip Summary'!J490</f>
        <v>2037/38</v>
      </c>
      <c r="C492" t="str">
        <f>'Unformatted Trip Summary'!I490</f>
        <v>Light Vehicle Driver</v>
      </c>
      <c r="D492">
        <f>'Unformatted Trip Summary'!D490</f>
        <v>575</v>
      </c>
      <c r="E492">
        <f>'Unformatted Trip Summary'!E490</f>
        <v>4143</v>
      </c>
      <c r="F492" s="1">
        <f>'Unformatted Trip Summary'!F490</f>
        <v>95.079907431999999</v>
      </c>
      <c r="G492" s="1">
        <f>'Unformatted Trip Summary'!G490</f>
        <v>1022.490081</v>
      </c>
      <c r="H492" s="1">
        <f>'Unformatted Trip Summary'!H490</f>
        <v>22.981719905999999</v>
      </c>
    </row>
    <row r="493" spans="1:8" x14ac:dyDescent="0.2">
      <c r="A493" t="str">
        <f>'Unformatted Trip Summary'!A491</f>
        <v>07 TARANAKI</v>
      </c>
      <c r="B493" t="str">
        <f>'Unformatted Trip Summary'!J491</f>
        <v>2042/43</v>
      </c>
      <c r="C493" t="str">
        <f>'Unformatted Trip Summary'!I491</f>
        <v>Light Vehicle Driver</v>
      </c>
      <c r="D493">
        <f>'Unformatted Trip Summary'!D491</f>
        <v>575</v>
      </c>
      <c r="E493">
        <f>'Unformatted Trip Summary'!E491</f>
        <v>4143</v>
      </c>
      <c r="F493" s="1">
        <f>'Unformatted Trip Summary'!F491</f>
        <v>93.023229925999999</v>
      </c>
      <c r="G493" s="1">
        <f>'Unformatted Trip Summary'!G491</f>
        <v>1011.0955106</v>
      </c>
      <c r="H493" s="1">
        <f>'Unformatted Trip Summary'!H491</f>
        <v>22.653376351999999</v>
      </c>
    </row>
    <row r="494" spans="1:8" x14ac:dyDescent="0.2">
      <c r="A494" t="str">
        <f>'Unformatted Trip Summary'!A492</f>
        <v>07 TARANAKI</v>
      </c>
      <c r="B494" t="str">
        <f>'Unformatted Trip Summary'!J492</f>
        <v>2012/13</v>
      </c>
      <c r="C494" t="str">
        <f>'Unformatted Trip Summary'!I492</f>
        <v>Light Vehicle Passenger</v>
      </c>
      <c r="D494">
        <f>'Unformatted Trip Summary'!D492</f>
        <v>446</v>
      </c>
      <c r="E494">
        <f>'Unformatted Trip Summary'!E492</f>
        <v>2212</v>
      </c>
      <c r="F494" s="1">
        <f>'Unformatted Trip Summary'!F492</f>
        <v>45.48406773</v>
      </c>
      <c r="G494" s="1">
        <f>'Unformatted Trip Summary'!G492</f>
        <v>656.25872372000003</v>
      </c>
      <c r="H494" s="1">
        <f>'Unformatted Trip Summary'!H492</f>
        <v>13.125178352000001</v>
      </c>
    </row>
    <row r="495" spans="1:8" x14ac:dyDescent="0.2">
      <c r="A495" t="str">
        <f>'Unformatted Trip Summary'!A493</f>
        <v>07 TARANAKI</v>
      </c>
      <c r="B495" t="str">
        <f>'Unformatted Trip Summary'!J493</f>
        <v>2017/18</v>
      </c>
      <c r="C495" t="str">
        <f>'Unformatted Trip Summary'!I493</f>
        <v>Light Vehicle Passenger</v>
      </c>
      <c r="D495">
        <f>'Unformatted Trip Summary'!D493</f>
        <v>446</v>
      </c>
      <c r="E495">
        <f>'Unformatted Trip Summary'!E493</f>
        <v>2212</v>
      </c>
      <c r="F495" s="1">
        <f>'Unformatted Trip Summary'!F493</f>
        <v>42.519870167999997</v>
      </c>
      <c r="G495" s="1">
        <f>'Unformatted Trip Summary'!G493</f>
        <v>608.73691880000001</v>
      </c>
      <c r="H495" s="1">
        <f>'Unformatted Trip Summary'!H493</f>
        <v>12.19899197</v>
      </c>
    </row>
    <row r="496" spans="1:8" x14ac:dyDescent="0.2">
      <c r="A496" t="str">
        <f>'Unformatted Trip Summary'!A494</f>
        <v>07 TARANAKI</v>
      </c>
      <c r="B496" t="str">
        <f>'Unformatted Trip Summary'!J494</f>
        <v>2022/23</v>
      </c>
      <c r="C496" t="str">
        <f>'Unformatted Trip Summary'!I494</f>
        <v>Light Vehicle Passenger</v>
      </c>
      <c r="D496">
        <f>'Unformatted Trip Summary'!D494</f>
        <v>446</v>
      </c>
      <c r="E496">
        <f>'Unformatted Trip Summary'!E494</f>
        <v>2212</v>
      </c>
      <c r="F496" s="1">
        <f>'Unformatted Trip Summary'!F494</f>
        <v>43.504686757999998</v>
      </c>
      <c r="G496" s="1">
        <f>'Unformatted Trip Summary'!G494</f>
        <v>619.51150198000005</v>
      </c>
      <c r="H496" s="1">
        <f>'Unformatted Trip Summary'!H494</f>
        <v>12.431189006</v>
      </c>
    </row>
    <row r="497" spans="1:8" x14ac:dyDescent="0.2">
      <c r="A497" t="str">
        <f>'Unformatted Trip Summary'!A495</f>
        <v>07 TARANAKI</v>
      </c>
      <c r="B497" t="str">
        <f>'Unformatted Trip Summary'!J495</f>
        <v>2027/28</v>
      </c>
      <c r="C497" t="str">
        <f>'Unformatted Trip Summary'!I495</f>
        <v>Light Vehicle Passenger</v>
      </c>
      <c r="D497">
        <f>'Unformatted Trip Summary'!D495</f>
        <v>446</v>
      </c>
      <c r="E497">
        <f>'Unformatted Trip Summary'!E495</f>
        <v>2212</v>
      </c>
      <c r="F497" s="1">
        <f>'Unformatted Trip Summary'!F495</f>
        <v>42.752245596000002</v>
      </c>
      <c r="G497" s="1">
        <f>'Unformatted Trip Summary'!G495</f>
        <v>609.72579507</v>
      </c>
      <c r="H497" s="1">
        <f>'Unformatted Trip Summary'!H495</f>
        <v>12.249713206999999</v>
      </c>
    </row>
    <row r="498" spans="1:8" x14ac:dyDescent="0.2">
      <c r="A498" t="str">
        <f>'Unformatted Trip Summary'!A496</f>
        <v>07 TARANAKI</v>
      </c>
      <c r="B498" t="str">
        <f>'Unformatted Trip Summary'!J496</f>
        <v>2032/33</v>
      </c>
      <c r="C498" t="str">
        <f>'Unformatted Trip Summary'!I496</f>
        <v>Light Vehicle Passenger</v>
      </c>
      <c r="D498">
        <f>'Unformatted Trip Summary'!D496</f>
        <v>446</v>
      </c>
      <c r="E498">
        <f>'Unformatted Trip Summary'!E496</f>
        <v>2212</v>
      </c>
      <c r="F498" s="1">
        <f>'Unformatted Trip Summary'!F496</f>
        <v>42.013913219000003</v>
      </c>
      <c r="G498" s="1">
        <f>'Unformatted Trip Summary'!G496</f>
        <v>600.51011625000001</v>
      </c>
      <c r="H498" s="1">
        <f>'Unformatted Trip Summary'!H496</f>
        <v>12.068543048</v>
      </c>
    </row>
    <row r="499" spans="1:8" x14ac:dyDescent="0.2">
      <c r="A499" t="str">
        <f>'Unformatted Trip Summary'!A497</f>
        <v>07 TARANAKI</v>
      </c>
      <c r="B499" t="str">
        <f>'Unformatted Trip Summary'!J497</f>
        <v>2037/38</v>
      </c>
      <c r="C499" t="str">
        <f>'Unformatted Trip Summary'!I497</f>
        <v>Light Vehicle Passenger</v>
      </c>
      <c r="D499">
        <f>'Unformatted Trip Summary'!D497</f>
        <v>446</v>
      </c>
      <c r="E499">
        <f>'Unformatted Trip Summary'!E497</f>
        <v>2212</v>
      </c>
      <c r="F499" s="1">
        <f>'Unformatted Trip Summary'!F497</f>
        <v>40.992621790000001</v>
      </c>
      <c r="G499" s="1">
        <f>'Unformatted Trip Summary'!G497</f>
        <v>584.99400001000004</v>
      </c>
      <c r="H499" s="1">
        <f>'Unformatted Trip Summary'!H497</f>
        <v>11.772313054</v>
      </c>
    </row>
    <row r="500" spans="1:8" x14ac:dyDescent="0.2">
      <c r="A500" t="str">
        <f>'Unformatted Trip Summary'!A498</f>
        <v>07 TARANAKI</v>
      </c>
      <c r="B500" t="str">
        <f>'Unformatted Trip Summary'!J498</f>
        <v>2042/43</v>
      </c>
      <c r="C500" t="str">
        <f>'Unformatted Trip Summary'!I498</f>
        <v>Light Vehicle Passenger</v>
      </c>
      <c r="D500">
        <f>'Unformatted Trip Summary'!D498</f>
        <v>446</v>
      </c>
      <c r="E500">
        <f>'Unformatted Trip Summary'!E498</f>
        <v>2212</v>
      </c>
      <c r="F500" s="1">
        <f>'Unformatted Trip Summary'!F498</f>
        <v>39.868114945000002</v>
      </c>
      <c r="G500" s="1">
        <f>'Unformatted Trip Summary'!G498</f>
        <v>568.52799573000004</v>
      </c>
      <c r="H500" s="1">
        <f>'Unformatted Trip Summary'!H498</f>
        <v>11.452158833</v>
      </c>
    </row>
    <row r="501" spans="1:8" x14ac:dyDescent="0.2">
      <c r="A501" t="str">
        <f>'Unformatted Trip Summary'!A499</f>
        <v>07 TARANAKI</v>
      </c>
      <c r="B501" t="str">
        <f>'Unformatted Trip Summary'!J499</f>
        <v>2012/13</v>
      </c>
      <c r="C501" t="str">
        <f>'Unformatted Trip Summary'!I499</f>
        <v>Taxi/Vehicle Share</v>
      </c>
      <c r="D501">
        <f>'Unformatted Trip Summary'!D499</f>
        <v>10</v>
      </c>
      <c r="E501">
        <f>'Unformatted Trip Summary'!E499</f>
        <v>18</v>
      </c>
      <c r="F501" s="1">
        <f>'Unformatted Trip Summary'!F499</f>
        <v>0.56194422089999996</v>
      </c>
      <c r="G501" s="1">
        <f>'Unformatted Trip Summary'!G499</f>
        <v>1.1335038904000001</v>
      </c>
      <c r="H501" s="1">
        <f>'Unformatted Trip Summary'!H499</f>
        <v>0.10005985589999999</v>
      </c>
    </row>
    <row r="502" spans="1:8" x14ac:dyDescent="0.2">
      <c r="A502" t="str">
        <f>'Unformatted Trip Summary'!A500</f>
        <v>07 TARANAKI</v>
      </c>
      <c r="B502" t="str">
        <f>'Unformatted Trip Summary'!J500</f>
        <v>2017/18</v>
      </c>
      <c r="C502" t="str">
        <f>'Unformatted Trip Summary'!I500</f>
        <v>Taxi/Vehicle Share</v>
      </c>
      <c r="D502">
        <f>'Unformatted Trip Summary'!D500</f>
        <v>10</v>
      </c>
      <c r="E502">
        <f>'Unformatted Trip Summary'!E500</f>
        <v>18</v>
      </c>
      <c r="F502" s="1">
        <f>'Unformatted Trip Summary'!F500</f>
        <v>0.65963815029999995</v>
      </c>
      <c r="G502" s="1">
        <f>'Unformatted Trip Summary'!G500</f>
        <v>1.3356170152</v>
      </c>
      <c r="H502" s="1">
        <f>'Unformatted Trip Summary'!H500</f>
        <v>0.1183458758</v>
      </c>
    </row>
    <row r="503" spans="1:8" x14ac:dyDescent="0.2">
      <c r="A503" t="str">
        <f>'Unformatted Trip Summary'!A501</f>
        <v>07 TARANAKI</v>
      </c>
      <c r="B503" t="str">
        <f>'Unformatted Trip Summary'!J501</f>
        <v>2022/23</v>
      </c>
      <c r="C503" t="str">
        <f>'Unformatted Trip Summary'!I501</f>
        <v>Taxi/Vehicle Share</v>
      </c>
      <c r="D503">
        <f>'Unformatted Trip Summary'!D501</f>
        <v>10</v>
      </c>
      <c r="E503">
        <f>'Unformatted Trip Summary'!E501</f>
        <v>18</v>
      </c>
      <c r="F503" s="1">
        <f>'Unformatted Trip Summary'!F501</f>
        <v>0.77940576070000001</v>
      </c>
      <c r="G503" s="1">
        <f>'Unformatted Trip Summary'!G501</f>
        <v>1.5818231103</v>
      </c>
      <c r="H503" s="1">
        <f>'Unformatted Trip Summary'!H501</f>
        <v>0.14008325460000001</v>
      </c>
    </row>
    <row r="504" spans="1:8" x14ac:dyDescent="0.2">
      <c r="A504" t="str">
        <f>'Unformatted Trip Summary'!A502</f>
        <v>07 TARANAKI</v>
      </c>
      <c r="B504" t="str">
        <f>'Unformatted Trip Summary'!J502</f>
        <v>2027/28</v>
      </c>
      <c r="C504" t="str">
        <f>'Unformatted Trip Summary'!I502</f>
        <v>Taxi/Vehicle Share</v>
      </c>
      <c r="D504">
        <f>'Unformatted Trip Summary'!D502</f>
        <v>10</v>
      </c>
      <c r="E504">
        <f>'Unformatted Trip Summary'!E502</f>
        <v>18</v>
      </c>
      <c r="F504" s="1">
        <f>'Unformatted Trip Summary'!F502</f>
        <v>0.84687472850000001</v>
      </c>
      <c r="G504" s="1">
        <f>'Unformatted Trip Summary'!G502</f>
        <v>1.7330735669999999</v>
      </c>
      <c r="H504" s="1">
        <f>'Unformatted Trip Summary'!H502</f>
        <v>0.15281045569999999</v>
      </c>
    </row>
    <row r="505" spans="1:8" x14ac:dyDescent="0.2">
      <c r="A505" t="str">
        <f>'Unformatted Trip Summary'!A503</f>
        <v>07 TARANAKI</v>
      </c>
      <c r="B505" t="str">
        <f>'Unformatted Trip Summary'!J503</f>
        <v>2032/33</v>
      </c>
      <c r="C505" t="str">
        <f>'Unformatted Trip Summary'!I503</f>
        <v>Taxi/Vehicle Share</v>
      </c>
      <c r="D505">
        <f>'Unformatted Trip Summary'!D503</f>
        <v>10</v>
      </c>
      <c r="E505">
        <f>'Unformatted Trip Summary'!E503</f>
        <v>18</v>
      </c>
      <c r="F505" s="1">
        <f>'Unformatted Trip Summary'!F503</f>
        <v>0.8650466912</v>
      </c>
      <c r="G505" s="1">
        <f>'Unformatted Trip Summary'!G503</f>
        <v>1.7837627894000001</v>
      </c>
      <c r="H505" s="1">
        <f>'Unformatted Trip Summary'!H503</f>
        <v>0.1568975125</v>
      </c>
    </row>
    <row r="506" spans="1:8" x14ac:dyDescent="0.2">
      <c r="A506" t="str">
        <f>'Unformatted Trip Summary'!A504</f>
        <v>07 TARANAKI</v>
      </c>
      <c r="B506" t="str">
        <f>'Unformatted Trip Summary'!J504</f>
        <v>2037/38</v>
      </c>
      <c r="C506" t="str">
        <f>'Unformatted Trip Summary'!I504</f>
        <v>Taxi/Vehicle Share</v>
      </c>
      <c r="D506">
        <f>'Unformatted Trip Summary'!D504</f>
        <v>10</v>
      </c>
      <c r="E506">
        <f>'Unformatted Trip Summary'!E504</f>
        <v>18</v>
      </c>
      <c r="F506" s="1">
        <f>'Unformatted Trip Summary'!F504</f>
        <v>0.8743959751</v>
      </c>
      <c r="G506" s="1">
        <f>'Unformatted Trip Summary'!G504</f>
        <v>1.8219587241999999</v>
      </c>
      <c r="H506" s="1">
        <f>'Unformatted Trip Summary'!H504</f>
        <v>0.15863096339999999</v>
      </c>
    </row>
    <row r="507" spans="1:8" x14ac:dyDescent="0.2">
      <c r="A507" t="str">
        <f>'Unformatted Trip Summary'!A505</f>
        <v>07 TARANAKI</v>
      </c>
      <c r="B507" t="str">
        <f>'Unformatted Trip Summary'!J505</f>
        <v>2042/43</v>
      </c>
      <c r="C507" t="str">
        <f>'Unformatted Trip Summary'!I505</f>
        <v>Taxi/Vehicle Share</v>
      </c>
      <c r="D507">
        <f>'Unformatted Trip Summary'!D505</f>
        <v>10</v>
      </c>
      <c r="E507">
        <f>'Unformatted Trip Summary'!E505</f>
        <v>18</v>
      </c>
      <c r="F507" s="1">
        <f>'Unformatted Trip Summary'!F505</f>
        <v>0.8712388741</v>
      </c>
      <c r="G507" s="1">
        <f>'Unformatted Trip Summary'!G505</f>
        <v>1.8348403943</v>
      </c>
      <c r="H507" s="1">
        <f>'Unformatted Trip Summary'!H505</f>
        <v>0.15809506030000001</v>
      </c>
    </row>
    <row r="508" spans="1:8" x14ac:dyDescent="0.2">
      <c r="A508" t="str">
        <f>'Unformatted Trip Summary'!A506</f>
        <v>07 TARANAKI</v>
      </c>
      <c r="B508" t="str">
        <f>'Unformatted Trip Summary'!J506</f>
        <v>2012/13</v>
      </c>
      <c r="C508" t="str">
        <f>'Unformatted Trip Summary'!I506</f>
        <v>Motorcyclist</v>
      </c>
      <c r="D508">
        <f>'Unformatted Trip Summary'!D506</f>
        <v>14</v>
      </c>
      <c r="E508">
        <f>'Unformatted Trip Summary'!E506</f>
        <v>51</v>
      </c>
      <c r="F508" s="1">
        <f>'Unformatted Trip Summary'!F506</f>
        <v>1.091812341</v>
      </c>
      <c r="G508" s="1">
        <f>'Unformatted Trip Summary'!G506</f>
        <v>7.0100687938000004</v>
      </c>
      <c r="H508" s="1">
        <f>'Unformatted Trip Summary'!H506</f>
        <v>0.25001806910000002</v>
      </c>
    </row>
    <row r="509" spans="1:8" x14ac:dyDescent="0.2">
      <c r="A509" t="str">
        <f>'Unformatted Trip Summary'!A507</f>
        <v>07 TARANAKI</v>
      </c>
      <c r="B509" t="str">
        <f>'Unformatted Trip Summary'!J507</f>
        <v>2017/18</v>
      </c>
      <c r="C509" t="str">
        <f>'Unformatted Trip Summary'!I507</f>
        <v>Motorcyclist</v>
      </c>
      <c r="D509">
        <f>'Unformatted Trip Summary'!D507</f>
        <v>14</v>
      </c>
      <c r="E509">
        <f>'Unformatted Trip Summary'!E507</f>
        <v>51</v>
      </c>
      <c r="F509" s="1">
        <f>'Unformatted Trip Summary'!F507</f>
        <v>1.0657180475000001</v>
      </c>
      <c r="G509" s="1">
        <f>'Unformatted Trip Summary'!G507</f>
        <v>6.7265298340999999</v>
      </c>
      <c r="H509" s="1">
        <f>'Unformatted Trip Summary'!H507</f>
        <v>0.23823023409999999</v>
      </c>
    </row>
    <row r="510" spans="1:8" x14ac:dyDescent="0.2">
      <c r="A510" t="str">
        <f>'Unformatted Trip Summary'!A508</f>
        <v>07 TARANAKI</v>
      </c>
      <c r="B510" t="str">
        <f>'Unformatted Trip Summary'!J508</f>
        <v>2022/23</v>
      </c>
      <c r="C510" t="str">
        <f>'Unformatted Trip Summary'!I508</f>
        <v>Motorcyclist</v>
      </c>
      <c r="D510">
        <f>'Unformatted Trip Summary'!D508</f>
        <v>14</v>
      </c>
      <c r="E510">
        <f>'Unformatted Trip Summary'!E508</f>
        <v>51</v>
      </c>
      <c r="F510" s="1">
        <f>'Unformatted Trip Summary'!F508</f>
        <v>1.0362364829999999</v>
      </c>
      <c r="G510" s="1">
        <f>'Unformatted Trip Summary'!G508</f>
        <v>6.8784173278000003</v>
      </c>
      <c r="H510" s="1">
        <f>'Unformatted Trip Summary'!H508</f>
        <v>0.2458029981</v>
      </c>
    </row>
    <row r="511" spans="1:8" x14ac:dyDescent="0.2">
      <c r="A511" t="str">
        <f>'Unformatted Trip Summary'!A509</f>
        <v>07 TARANAKI</v>
      </c>
      <c r="B511" t="str">
        <f>'Unformatted Trip Summary'!J509</f>
        <v>2027/28</v>
      </c>
      <c r="C511" t="str">
        <f>'Unformatted Trip Summary'!I509</f>
        <v>Motorcyclist</v>
      </c>
      <c r="D511">
        <f>'Unformatted Trip Summary'!D509</f>
        <v>14</v>
      </c>
      <c r="E511">
        <f>'Unformatted Trip Summary'!E509</f>
        <v>51</v>
      </c>
      <c r="F511" s="1">
        <f>'Unformatted Trip Summary'!F509</f>
        <v>0.91454221999999996</v>
      </c>
      <c r="G511" s="1">
        <f>'Unformatted Trip Summary'!G509</f>
        <v>6.5711368293000003</v>
      </c>
      <c r="H511" s="1">
        <f>'Unformatted Trip Summary'!H509</f>
        <v>0.2334480203</v>
      </c>
    </row>
    <row r="512" spans="1:8" x14ac:dyDescent="0.2">
      <c r="A512" t="str">
        <f>'Unformatted Trip Summary'!A510</f>
        <v>07 TARANAKI</v>
      </c>
      <c r="B512" t="str">
        <f>'Unformatted Trip Summary'!J510</f>
        <v>2032/33</v>
      </c>
      <c r="C512" t="str">
        <f>'Unformatted Trip Summary'!I510</f>
        <v>Motorcyclist</v>
      </c>
      <c r="D512">
        <f>'Unformatted Trip Summary'!D510</f>
        <v>14</v>
      </c>
      <c r="E512">
        <f>'Unformatted Trip Summary'!E510</f>
        <v>51</v>
      </c>
      <c r="F512" s="1">
        <f>'Unformatted Trip Summary'!F510</f>
        <v>0.81172604650000002</v>
      </c>
      <c r="G512" s="1">
        <f>'Unformatted Trip Summary'!G510</f>
        <v>6.0828833970999998</v>
      </c>
      <c r="H512" s="1">
        <f>'Unformatted Trip Summary'!H510</f>
        <v>0.2195899238</v>
      </c>
    </row>
    <row r="513" spans="1:8" x14ac:dyDescent="0.2">
      <c r="A513" t="str">
        <f>'Unformatted Trip Summary'!A511</f>
        <v>07 TARANAKI</v>
      </c>
      <c r="B513" t="str">
        <f>'Unformatted Trip Summary'!J511</f>
        <v>2037/38</v>
      </c>
      <c r="C513" t="str">
        <f>'Unformatted Trip Summary'!I511</f>
        <v>Motorcyclist</v>
      </c>
      <c r="D513">
        <f>'Unformatted Trip Summary'!D511</f>
        <v>14</v>
      </c>
      <c r="E513">
        <f>'Unformatted Trip Summary'!E511</f>
        <v>51</v>
      </c>
      <c r="F513" s="1">
        <f>'Unformatted Trip Summary'!F511</f>
        <v>0.74469353559999996</v>
      </c>
      <c r="G513" s="1">
        <f>'Unformatted Trip Summary'!G511</f>
        <v>5.5846944226000002</v>
      </c>
      <c r="H513" s="1">
        <f>'Unformatted Trip Summary'!H511</f>
        <v>0.20747225020000001</v>
      </c>
    </row>
    <row r="514" spans="1:8" x14ac:dyDescent="0.2">
      <c r="A514" t="str">
        <f>'Unformatted Trip Summary'!A512</f>
        <v>07 TARANAKI</v>
      </c>
      <c r="B514" t="str">
        <f>'Unformatted Trip Summary'!J512</f>
        <v>2042/43</v>
      </c>
      <c r="C514" t="str">
        <f>'Unformatted Trip Summary'!I512</f>
        <v>Motorcyclist</v>
      </c>
      <c r="D514">
        <f>'Unformatted Trip Summary'!D512</f>
        <v>14</v>
      </c>
      <c r="E514">
        <f>'Unformatted Trip Summary'!E512</f>
        <v>51</v>
      </c>
      <c r="F514" s="1">
        <f>'Unformatted Trip Summary'!F512</f>
        <v>0.68301997079999999</v>
      </c>
      <c r="G514" s="1">
        <f>'Unformatted Trip Summary'!G512</f>
        <v>5.1220485657000001</v>
      </c>
      <c r="H514" s="1">
        <f>'Unformatted Trip Summary'!H512</f>
        <v>0.19605607410000001</v>
      </c>
    </row>
    <row r="515" spans="1:8" x14ac:dyDescent="0.2">
      <c r="A515" t="str">
        <f>'Unformatted Trip Summary'!A513</f>
        <v>07 TARANAKI</v>
      </c>
      <c r="B515" t="str">
        <f>'Unformatted Trip Summary'!J513</f>
        <v>2012/13</v>
      </c>
      <c r="C515" t="str">
        <f>'Unformatted Trip Summary'!I513</f>
        <v>Local Train</v>
      </c>
      <c r="D515">
        <f>'Unformatted Trip Summary'!D513</f>
        <v>1</v>
      </c>
      <c r="E515">
        <f>'Unformatted Trip Summary'!E513</f>
        <v>2</v>
      </c>
      <c r="F515" s="1">
        <f>'Unformatted Trip Summary'!F513</f>
        <v>5.3266318100000001E-2</v>
      </c>
      <c r="G515" s="1">
        <f>'Unformatted Trip Summary'!G513</f>
        <v>0.36455468079999997</v>
      </c>
      <c r="H515" s="1">
        <f>'Unformatted Trip Summary'!H513</f>
        <v>8.8777196999999999E-3</v>
      </c>
    </row>
    <row r="516" spans="1:8" x14ac:dyDescent="0.2">
      <c r="A516" t="str">
        <f>'Unformatted Trip Summary'!A514</f>
        <v>07 TARANAKI</v>
      </c>
      <c r="B516" t="str">
        <f>'Unformatted Trip Summary'!J514</f>
        <v>2017/18</v>
      </c>
      <c r="C516" t="str">
        <f>'Unformatted Trip Summary'!I514</f>
        <v>Local Train</v>
      </c>
      <c r="D516">
        <f>'Unformatted Trip Summary'!D514</f>
        <v>1</v>
      </c>
      <c r="E516">
        <f>'Unformatted Trip Summary'!E514</f>
        <v>2</v>
      </c>
      <c r="F516" s="1">
        <f>'Unformatted Trip Summary'!F514</f>
        <v>4.7478185399999998E-2</v>
      </c>
      <c r="G516" s="1">
        <f>'Unformatted Trip Summary'!G514</f>
        <v>0.32494070110000001</v>
      </c>
      <c r="H516" s="1">
        <f>'Unformatted Trip Summary'!H514</f>
        <v>7.9130308999999996E-3</v>
      </c>
    </row>
    <row r="517" spans="1:8" x14ac:dyDescent="0.2">
      <c r="A517" t="str">
        <f>'Unformatted Trip Summary'!A515</f>
        <v>07 TARANAKI</v>
      </c>
      <c r="B517" t="str">
        <f>'Unformatted Trip Summary'!J515</f>
        <v>2022/23</v>
      </c>
      <c r="C517" t="str">
        <f>'Unformatted Trip Summary'!I515</f>
        <v>Local Train</v>
      </c>
      <c r="D517">
        <f>'Unformatted Trip Summary'!D515</f>
        <v>1</v>
      </c>
      <c r="E517">
        <f>'Unformatted Trip Summary'!E515</f>
        <v>2</v>
      </c>
      <c r="F517" s="1">
        <f>'Unformatted Trip Summary'!F515</f>
        <v>4.3247241499999999E-2</v>
      </c>
      <c r="G517" s="1">
        <f>'Unformatted Trip Summary'!G515</f>
        <v>0.29598412099999999</v>
      </c>
      <c r="H517" s="1">
        <f>'Unformatted Trip Summary'!H515</f>
        <v>7.2078736000000003E-3</v>
      </c>
    </row>
    <row r="518" spans="1:8" x14ac:dyDescent="0.2">
      <c r="A518" t="str">
        <f>'Unformatted Trip Summary'!A516</f>
        <v>07 TARANAKI</v>
      </c>
      <c r="B518" t="str">
        <f>'Unformatted Trip Summary'!J516</f>
        <v>2027/28</v>
      </c>
      <c r="C518" t="str">
        <f>'Unformatted Trip Summary'!I516</f>
        <v>Local Train</v>
      </c>
      <c r="D518">
        <f>'Unformatted Trip Summary'!D516</f>
        <v>1</v>
      </c>
      <c r="E518">
        <f>'Unformatted Trip Summary'!E516</f>
        <v>2</v>
      </c>
      <c r="F518" s="1">
        <f>'Unformatted Trip Summary'!F516</f>
        <v>4.2021550499999998E-2</v>
      </c>
      <c r="G518" s="1">
        <f>'Unformatted Trip Summary'!G516</f>
        <v>0.28759549169999998</v>
      </c>
      <c r="H518" s="1">
        <f>'Unformatted Trip Summary'!H516</f>
        <v>7.0035918000000003E-3</v>
      </c>
    </row>
    <row r="519" spans="1:8" x14ac:dyDescent="0.2">
      <c r="A519" t="str">
        <f>'Unformatted Trip Summary'!A517</f>
        <v>07 TARANAKI</v>
      </c>
      <c r="B519" t="str">
        <f>'Unformatted Trip Summary'!J517</f>
        <v>2032/33</v>
      </c>
      <c r="C519" t="str">
        <f>'Unformatted Trip Summary'!I517</f>
        <v>Local Train</v>
      </c>
      <c r="D519">
        <f>'Unformatted Trip Summary'!D517</f>
        <v>1</v>
      </c>
      <c r="E519">
        <f>'Unformatted Trip Summary'!E517</f>
        <v>2</v>
      </c>
      <c r="F519" s="1">
        <f>'Unformatted Trip Summary'!F517</f>
        <v>4.5695541800000003E-2</v>
      </c>
      <c r="G519" s="1">
        <f>'Unformatted Trip Summary'!G517</f>
        <v>0.3127402883</v>
      </c>
      <c r="H519" s="1">
        <f>'Unformatted Trip Summary'!H517</f>
        <v>7.6159236000000003E-3</v>
      </c>
    </row>
    <row r="520" spans="1:8" x14ac:dyDescent="0.2">
      <c r="A520" t="str">
        <f>'Unformatted Trip Summary'!A518</f>
        <v>07 TARANAKI</v>
      </c>
      <c r="B520" t="str">
        <f>'Unformatted Trip Summary'!J518</f>
        <v>2037/38</v>
      </c>
      <c r="C520" t="str">
        <f>'Unformatted Trip Summary'!I518</f>
        <v>Local Train</v>
      </c>
      <c r="D520">
        <f>'Unformatted Trip Summary'!D518</f>
        <v>1</v>
      </c>
      <c r="E520">
        <f>'Unformatted Trip Summary'!E518</f>
        <v>2</v>
      </c>
      <c r="F520" s="1">
        <f>'Unformatted Trip Summary'!F518</f>
        <v>5.2861065999999998E-2</v>
      </c>
      <c r="G520" s="1">
        <f>'Unformatted Trip Summary'!G518</f>
        <v>0.361781136</v>
      </c>
      <c r="H520" s="1">
        <f>'Unformatted Trip Summary'!H518</f>
        <v>8.8101776999999996E-3</v>
      </c>
    </row>
    <row r="521" spans="1:8" x14ac:dyDescent="0.2">
      <c r="A521" t="str">
        <f>'Unformatted Trip Summary'!A519</f>
        <v>07 TARANAKI</v>
      </c>
      <c r="B521" t="str">
        <f>'Unformatted Trip Summary'!J519</f>
        <v>2042/43</v>
      </c>
      <c r="C521" t="str">
        <f>'Unformatted Trip Summary'!I519</f>
        <v>Local Train</v>
      </c>
      <c r="D521">
        <f>'Unformatted Trip Summary'!D519</f>
        <v>1</v>
      </c>
      <c r="E521">
        <f>'Unformatted Trip Summary'!E519</f>
        <v>2</v>
      </c>
      <c r="F521" s="1">
        <f>'Unformatted Trip Summary'!F519</f>
        <v>5.9825714299999999E-2</v>
      </c>
      <c r="G521" s="1">
        <f>'Unformatted Trip Summary'!G519</f>
        <v>0.4094471884</v>
      </c>
      <c r="H521" s="1">
        <f>'Unformatted Trip Summary'!H519</f>
        <v>9.9709524000000001E-3</v>
      </c>
    </row>
    <row r="522" spans="1:8" x14ac:dyDescent="0.2">
      <c r="A522" t="str">
        <f>'Unformatted Trip Summary'!A520</f>
        <v>07 TARANAKI</v>
      </c>
      <c r="B522" t="str">
        <f>'Unformatted Trip Summary'!J520</f>
        <v>2012/13</v>
      </c>
      <c r="C522" t="str">
        <f>'Unformatted Trip Summary'!I520</f>
        <v>Local Bus</v>
      </c>
      <c r="D522">
        <f>'Unformatted Trip Summary'!D520</f>
        <v>22</v>
      </c>
      <c r="E522">
        <f>'Unformatted Trip Summary'!E520</f>
        <v>54</v>
      </c>
      <c r="F522" s="1">
        <f>'Unformatted Trip Summary'!F520</f>
        <v>1.2787514622</v>
      </c>
      <c r="G522" s="1">
        <f>'Unformatted Trip Summary'!G520</f>
        <v>14.084735078</v>
      </c>
      <c r="H522" s="1">
        <f>'Unformatted Trip Summary'!H520</f>
        <v>0.4632962336</v>
      </c>
    </row>
    <row r="523" spans="1:8" x14ac:dyDescent="0.2">
      <c r="A523" t="str">
        <f>'Unformatted Trip Summary'!A521</f>
        <v>07 TARANAKI</v>
      </c>
      <c r="B523" t="str">
        <f>'Unformatted Trip Summary'!J521</f>
        <v>2017/18</v>
      </c>
      <c r="C523" t="str">
        <f>'Unformatted Trip Summary'!I521</f>
        <v>Local Bus</v>
      </c>
      <c r="D523">
        <f>'Unformatted Trip Summary'!D521</f>
        <v>22</v>
      </c>
      <c r="E523">
        <f>'Unformatted Trip Summary'!E521</f>
        <v>54</v>
      </c>
      <c r="F523" s="1">
        <f>'Unformatted Trip Summary'!F521</f>
        <v>1.2259846488999999</v>
      </c>
      <c r="G523" s="1">
        <f>'Unformatted Trip Summary'!G521</f>
        <v>14.233859721</v>
      </c>
      <c r="H523" s="1">
        <f>'Unformatted Trip Summary'!H521</f>
        <v>0.4401776268</v>
      </c>
    </row>
    <row r="524" spans="1:8" x14ac:dyDescent="0.2">
      <c r="A524" t="str">
        <f>'Unformatted Trip Summary'!A522</f>
        <v>07 TARANAKI</v>
      </c>
      <c r="B524" t="str">
        <f>'Unformatted Trip Summary'!J522</f>
        <v>2022/23</v>
      </c>
      <c r="C524" t="str">
        <f>'Unformatted Trip Summary'!I522</f>
        <v>Local Bus</v>
      </c>
      <c r="D524">
        <f>'Unformatted Trip Summary'!D522</f>
        <v>22</v>
      </c>
      <c r="E524">
        <f>'Unformatted Trip Summary'!E522</f>
        <v>54</v>
      </c>
      <c r="F524" s="1">
        <f>'Unformatted Trip Summary'!F522</f>
        <v>1.2709805493999999</v>
      </c>
      <c r="G524" s="1">
        <f>'Unformatted Trip Summary'!G522</f>
        <v>15.706100074</v>
      </c>
      <c r="H524" s="1">
        <f>'Unformatted Trip Summary'!H522</f>
        <v>0.45922042800000001</v>
      </c>
    </row>
    <row r="525" spans="1:8" x14ac:dyDescent="0.2">
      <c r="A525" t="str">
        <f>'Unformatted Trip Summary'!A523</f>
        <v>07 TARANAKI</v>
      </c>
      <c r="B525" t="str">
        <f>'Unformatted Trip Summary'!J523</f>
        <v>2027/28</v>
      </c>
      <c r="C525" t="str">
        <f>'Unformatted Trip Summary'!I523</f>
        <v>Local Bus</v>
      </c>
      <c r="D525">
        <f>'Unformatted Trip Summary'!D523</f>
        <v>22</v>
      </c>
      <c r="E525">
        <f>'Unformatted Trip Summary'!E523</f>
        <v>54</v>
      </c>
      <c r="F525" s="1">
        <f>'Unformatted Trip Summary'!F523</f>
        <v>1.2362657744000001</v>
      </c>
      <c r="G525" s="1">
        <f>'Unformatted Trip Summary'!G523</f>
        <v>15.793887137</v>
      </c>
      <c r="H525" s="1">
        <f>'Unformatted Trip Summary'!H523</f>
        <v>0.44999265170000002</v>
      </c>
    </row>
    <row r="526" spans="1:8" x14ac:dyDescent="0.2">
      <c r="A526" t="str">
        <f>'Unformatted Trip Summary'!A524</f>
        <v>07 TARANAKI</v>
      </c>
      <c r="B526" t="str">
        <f>'Unformatted Trip Summary'!J524</f>
        <v>2032/33</v>
      </c>
      <c r="C526" t="str">
        <f>'Unformatted Trip Summary'!I524</f>
        <v>Local Bus</v>
      </c>
      <c r="D526">
        <f>'Unformatted Trip Summary'!D524</f>
        <v>22</v>
      </c>
      <c r="E526">
        <f>'Unformatted Trip Summary'!E524</f>
        <v>54</v>
      </c>
      <c r="F526" s="1">
        <f>'Unformatted Trip Summary'!F524</f>
        <v>1.1831858065</v>
      </c>
      <c r="G526" s="1">
        <f>'Unformatted Trip Summary'!G524</f>
        <v>15.563459943</v>
      </c>
      <c r="H526" s="1">
        <f>'Unformatted Trip Summary'!H524</f>
        <v>0.43446286099999998</v>
      </c>
    </row>
    <row r="527" spans="1:8" x14ac:dyDescent="0.2">
      <c r="A527" t="str">
        <f>'Unformatted Trip Summary'!A525</f>
        <v>07 TARANAKI</v>
      </c>
      <c r="B527" t="str">
        <f>'Unformatted Trip Summary'!J525</f>
        <v>2037/38</v>
      </c>
      <c r="C527" t="str">
        <f>'Unformatted Trip Summary'!I525</f>
        <v>Local Bus</v>
      </c>
      <c r="D527">
        <f>'Unformatted Trip Summary'!D525</f>
        <v>22</v>
      </c>
      <c r="E527">
        <f>'Unformatted Trip Summary'!E525</f>
        <v>54</v>
      </c>
      <c r="F527" s="1">
        <f>'Unformatted Trip Summary'!F525</f>
        <v>1.1773097568999999</v>
      </c>
      <c r="G527" s="1">
        <f>'Unformatted Trip Summary'!G525</f>
        <v>16.310720518</v>
      </c>
      <c r="H527" s="1">
        <f>'Unformatted Trip Summary'!H525</f>
        <v>0.43955886779999997</v>
      </c>
    </row>
    <row r="528" spans="1:8" x14ac:dyDescent="0.2">
      <c r="A528" t="str">
        <f>'Unformatted Trip Summary'!A526</f>
        <v>07 TARANAKI</v>
      </c>
      <c r="B528" t="str">
        <f>'Unformatted Trip Summary'!J526</f>
        <v>2042/43</v>
      </c>
      <c r="C528" t="str">
        <f>'Unformatted Trip Summary'!I526</f>
        <v>Local Bus</v>
      </c>
      <c r="D528">
        <f>'Unformatted Trip Summary'!D526</f>
        <v>22</v>
      </c>
      <c r="E528">
        <f>'Unformatted Trip Summary'!E526</f>
        <v>54</v>
      </c>
      <c r="F528" s="1">
        <f>'Unformatted Trip Summary'!F526</f>
        <v>1.1729988147999999</v>
      </c>
      <c r="G528" s="1">
        <f>'Unformatted Trip Summary'!G526</f>
        <v>17.010189947000001</v>
      </c>
      <c r="H528" s="1">
        <f>'Unformatted Trip Summary'!H526</f>
        <v>0.44480124669999999</v>
      </c>
    </row>
    <row r="529" spans="1:8" x14ac:dyDescent="0.2">
      <c r="A529" t="str">
        <f>'Unformatted Trip Summary'!A527</f>
        <v>07 TARANAKI</v>
      </c>
      <c r="B529" t="str">
        <f>'Unformatted Trip Summary'!J527</f>
        <v>2012/13</v>
      </c>
      <c r="C529" t="str">
        <f>'Unformatted Trip Summary'!I527</f>
        <v>Other Household Travel</v>
      </c>
      <c r="D529">
        <f>'Unformatted Trip Summary'!D527</f>
        <v>4</v>
      </c>
      <c r="E529">
        <f>'Unformatted Trip Summary'!E527</f>
        <v>11</v>
      </c>
      <c r="F529" s="1">
        <f>'Unformatted Trip Summary'!F527</f>
        <v>0.17475937220000001</v>
      </c>
      <c r="G529" s="1">
        <f>'Unformatted Trip Summary'!G527</f>
        <v>0</v>
      </c>
      <c r="H529" s="1">
        <f>'Unformatted Trip Summary'!H527</f>
        <v>5.6354069499999999E-2</v>
      </c>
    </row>
    <row r="530" spans="1:8" x14ac:dyDescent="0.2">
      <c r="A530" t="str">
        <f>'Unformatted Trip Summary'!A528</f>
        <v>07 TARANAKI</v>
      </c>
      <c r="B530" t="str">
        <f>'Unformatted Trip Summary'!J528</f>
        <v>2017/18</v>
      </c>
      <c r="C530" t="str">
        <f>'Unformatted Trip Summary'!I528</f>
        <v>Other Household Travel</v>
      </c>
      <c r="D530">
        <f>'Unformatted Trip Summary'!D528</f>
        <v>4</v>
      </c>
      <c r="E530">
        <f>'Unformatted Trip Summary'!E528</f>
        <v>11</v>
      </c>
      <c r="F530" s="1">
        <f>'Unformatted Trip Summary'!F528</f>
        <v>0.16870602740000001</v>
      </c>
      <c r="G530" s="1">
        <f>'Unformatted Trip Summary'!G528</f>
        <v>0</v>
      </c>
      <c r="H530" s="1">
        <f>'Unformatted Trip Summary'!H528</f>
        <v>5.2772287000000001E-2</v>
      </c>
    </row>
    <row r="531" spans="1:8" x14ac:dyDescent="0.2">
      <c r="A531" t="str">
        <f>'Unformatted Trip Summary'!A529</f>
        <v>07 TARANAKI</v>
      </c>
      <c r="B531" t="str">
        <f>'Unformatted Trip Summary'!J529</f>
        <v>2022/23</v>
      </c>
      <c r="C531" t="str">
        <f>'Unformatted Trip Summary'!I529</f>
        <v>Other Household Travel</v>
      </c>
      <c r="D531">
        <f>'Unformatted Trip Summary'!D529</f>
        <v>4</v>
      </c>
      <c r="E531">
        <f>'Unformatted Trip Summary'!E529</f>
        <v>11</v>
      </c>
      <c r="F531" s="1">
        <f>'Unformatted Trip Summary'!F529</f>
        <v>0.17951274489999999</v>
      </c>
      <c r="G531" s="1">
        <f>'Unformatted Trip Summary'!G529</f>
        <v>0</v>
      </c>
      <c r="H531" s="1">
        <f>'Unformatted Trip Summary'!H529</f>
        <v>5.4526428299999999E-2</v>
      </c>
    </row>
    <row r="532" spans="1:8" x14ac:dyDescent="0.2">
      <c r="A532" t="str">
        <f>'Unformatted Trip Summary'!A530</f>
        <v>07 TARANAKI</v>
      </c>
      <c r="B532" t="str">
        <f>'Unformatted Trip Summary'!J530</f>
        <v>2027/28</v>
      </c>
      <c r="C532" t="str">
        <f>'Unformatted Trip Summary'!I530</f>
        <v>Other Household Travel</v>
      </c>
      <c r="D532">
        <f>'Unformatted Trip Summary'!D530</f>
        <v>4</v>
      </c>
      <c r="E532">
        <f>'Unformatted Trip Summary'!E530</f>
        <v>11</v>
      </c>
      <c r="F532" s="1">
        <f>'Unformatted Trip Summary'!F530</f>
        <v>0.17209788100000001</v>
      </c>
      <c r="G532" s="1">
        <f>'Unformatted Trip Summary'!G530</f>
        <v>0</v>
      </c>
      <c r="H532" s="1">
        <f>'Unformatted Trip Summary'!H530</f>
        <v>5.3389718099999997E-2</v>
      </c>
    </row>
    <row r="533" spans="1:8" x14ac:dyDescent="0.2">
      <c r="A533" t="str">
        <f>'Unformatted Trip Summary'!A531</f>
        <v>07 TARANAKI</v>
      </c>
      <c r="B533" t="str">
        <f>'Unformatted Trip Summary'!J531</f>
        <v>2032/33</v>
      </c>
      <c r="C533" t="str">
        <f>'Unformatted Trip Summary'!I531</f>
        <v>Other Household Travel</v>
      </c>
      <c r="D533">
        <f>'Unformatted Trip Summary'!D531</f>
        <v>4</v>
      </c>
      <c r="E533">
        <f>'Unformatted Trip Summary'!E531</f>
        <v>11</v>
      </c>
      <c r="F533" s="1">
        <f>'Unformatted Trip Summary'!F531</f>
        <v>0.17226914779999999</v>
      </c>
      <c r="G533" s="1">
        <f>'Unformatted Trip Summary'!G531</f>
        <v>0</v>
      </c>
      <c r="H533" s="1">
        <f>'Unformatted Trip Summary'!H531</f>
        <v>5.5335361100000001E-2</v>
      </c>
    </row>
    <row r="534" spans="1:8" x14ac:dyDescent="0.2">
      <c r="A534" t="str">
        <f>'Unformatted Trip Summary'!A532</f>
        <v>07 TARANAKI</v>
      </c>
      <c r="B534" t="str">
        <f>'Unformatted Trip Summary'!J532</f>
        <v>2037/38</v>
      </c>
      <c r="C534" t="str">
        <f>'Unformatted Trip Summary'!I532</f>
        <v>Other Household Travel</v>
      </c>
      <c r="D534">
        <f>'Unformatted Trip Summary'!D532</f>
        <v>4</v>
      </c>
      <c r="E534">
        <f>'Unformatted Trip Summary'!E532</f>
        <v>11</v>
      </c>
      <c r="F534" s="1">
        <f>'Unformatted Trip Summary'!F532</f>
        <v>0.16556097589999999</v>
      </c>
      <c r="G534" s="1">
        <f>'Unformatted Trip Summary'!G532</f>
        <v>0</v>
      </c>
      <c r="H534" s="1">
        <f>'Unformatted Trip Summary'!H532</f>
        <v>5.3430628700000003E-2</v>
      </c>
    </row>
    <row r="535" spans="1:8" x14ac:dyDescent="0.2">
      <c r="A535" t="str">
        <f>'Unformatted Trip Summary'!A533</f>
        <v>07 TARANAKI</v>
      </c>
      <c r="B535" t="str">
        <f>'Unformatted Trip Summary'!J533</f>
        <v>2042/43</v>
      </c>
      <c r="C535" t="str">
        <f>'Unformatted Trip Summary'!I533</f>
        <v>Other Household Travel</v>
      </c>
      <c r="D535">
        <f>'Unformatted Trip Summary'!D533</f>
        <v>4</v>
      </c>
      <c r="E535">
        <f>'Unformatted Trip Summary'!E533</f>
        <v>11</v>
      </c>
      <c r="F535" s="1">
        <f>'Unformatted Trip Summary'!F533</f>
        <v>0.15331027459999999</v>
      </c>
      <c r="G535" s="1">
        <f>'Unformatted Trip Summary'!G533</f>
        <v>0</v>
      </c>
      <c r="H535" s="1">
        <f>'Unformatted Trip Summary'!H533</f>
        <v>4.8526928499999997E-2</v>
      </c>
    </row>
    <row r="536" spans="1:8" x14ac:dyDescent="0.2">
      <c r="A536" t="str">
        <f>'Unformatted Trip Summary'!A534</f>
        <v>07 TARANAKI</v>
      </c>
      <c r="B536" t="str">
        <f>'Unformatted Trip Summary'!J534</f>
        <v>2012/13</v>
      </c>
      <c r="C536" t="str">
        <f>'Unformatted Trip Summary'!I534</f>
        <v>Air/Non-Local PT</v>
      </c>
      <c r="D536">
        <f>'Unformatted Trip Summary'!D534</f>
        <v>7</v>
      </c>
      <c r="E536">
        <f>'Unformatted Trip Summary'!E534</f>
        <v>9</v>
      </c>
      <c r="F536" s="1">
        <f>'Unformatted Trip Summary'!F534</f>
        <v>0.31946750800000001</v>
      </c>
      <c r="G536" s="1">
        <f>'Unformatted Trip Summary'!G534</f>
        <v>11.123016451</v>
      </c>
      <c r="H536" s="1">
        <f>'Unformatted Trip Summary'!H534</f>
        <v>0.97687121219999995</v>
      </c>
    </row>
    <row r="537" spans="1:8" x14ac:dyDescent="0.2">
      <c r="A537" t="str">
        <f>'Unformatted Trip Summary'!A535</f>
        <v>07 TARANAKI</v>
      </c>
      <c r="B537" t="str">
        <f>'Unformatted Trip Summary'!J535</f>
        <v>2017/18</v>
      </c>
      <c r="C537" t="str">
        <f>'Unformatted Trip Summary'!I535</f>
        <v>Air/Non-Local PT</v>
      </c>
      <c r="D537">
        <f>'Unformatted Trip Summary'!D535</f>
        <v>7</v>
      </c>
      <c r="E537">
        <f>'Unformatted Trip Summary'!E535</f>
        <v>9</v>
      </c>
      <c r="F537" s="1">
        <f>'Unformatted Trip Summary'!F535</f>
        <v>0.2473080456</v>
      </c>
      <c r="G537" s="1">
        <f>'Unformatted Trip Summary'!G535</f>
        <v>11.702998783</v>
      </c>
      <c r="H537" s="1">
        <f>'Unformatted Trip Summary'!H535</f>
        <v>0.75859046740000002</v>
      </c>
    </row>
    <row r="538" spans="1:8" x14ac:dyDescent="0.2">
      <c r="A538" t="str">
        <f>'Unformatted Trip Summary'!A536</f>
        <v>07 TARANAKI</v>
      </c>
      <c r="B538" t="str">
        <f>'Unformatted Trip Summary'!J536</f>
        <v>2022/23</v>
      </c>
      <c r="C538" t="str">
        <f>'Unformatted Trip Summary'!I536</f>
        <v>Air/Non-Local PT</v>
      </c>
      <c r="D538">
        <f>'Unformatted Trip Summary'!D536</f>
        <v>7</v>
      </c>
      <c r="E538">
        <f>'Unformatted Trip Summary'!E536</f>
        <v>9</v>
      </c>
      <c r="F538" s="1">
        <f>'Unformatted Trip Summary'!F536</f>
        <v>0.2090709469</v>
      </c>
      <c r="G538" s="1">
        <f>'Unformatted Trip Summary'!G536</f>
        <v>13.02078377</v>
      </c>
      <c r="H538" s="1">
        <f>'Unformatted Trip Summary'!H536</f>
        <v>0.64681839870000002</v>
      </c>
    </row>
    <row r="539" spans="1:8" x14ac:dyDescent="0.2">
      <c r="A539" t="str">
        <f>'Unformatted Trip Summary'!A537</f>
        <v>07 TARANAKI</v>
      </c>
      <c r="B539" t="str">
        <f>'Unformatted Trip Summary'!J537</f>
        <v>2027/28</v>
      </c>
      <c r="C539" t="str">
        <f>'Unformatted Trip Summary'!I537</f>
        <v>Air/Non-Local PT</v>
      </c>
      <c r="D539">
        <f>'Unformatted Trip Summary'!D537</f>
        <v>7</v>
      </c>
      <c r="E539">
        <f>'Unformatted Trip Summary'!E537</f>
        <v>9</v>
      </c>
      <c r="F539" s="1">
        <f>'Unformatted Trip Summary'!F537</f>
        <v>0.19412385130000001</v>
      </c>
      <c r="G539" s="1">
        <f>'Unformatted Trip Summary'!G537</f>
        <v>15.41775346</v>
      </c>
      <c r="H539" s="1">
        <f>'Unformatted Trip Summary'!H537</f>
        <v>0.60699533039999998</v>
      </c>
    </row>
    <row r="540" spans="1:8" x14ac:dyDescent="0.2">
      <c r="A540" t="str">
        <f>'Unformatted Trip Summary'!A538</f>
        <v>07 TARANAKI</v>
      </c>
      <c r="B540" t="str">
        <f>'Unformatted Trip Summary'!J538</f>
        <v>2032/33</v>
      </c>
      <c r="C540" t="str">
        <f>'Unformatted Trip Summary'!I538</f>
        <v>Air/Non-Local PT</v>
      </c>
      <c r="D540">
        <f>'Unformatted Trip Summary'!D538</f>
        <v>7</v>
      </c>
      <c r="E540">
        <f>'Unformatted Trip Summary'!E538</f>
        <v>9</v>
      </c>
      <c r="F540" s="1">
        <f>'Unformatted Trip Summary'!F538</f>
        <v>0.1842468639</v>
      </c>
      <c r="G540" s="1">
        <f>'Unformatted Trip Summary'!G538</f>
        <v>17.097496394</v>
      </c>
      <c r="H540" s="1">
        <f>'Unformatted Trip Summary'!H538</f>
        <v>0.57496019639999996</v>
      </c>
    </row>
    <row r="541" spans="1:8" x14ac:dyDescent="0.2">
      <c r="A541" t="str">
        <f>'Unformatted Trip Summary'!A539</f>
        <v>07 TARANAKI</v>
      </c>
      <c r="B541" t="str">
        <f>'Unformatted Trip Summary'!J539</f>
        <v>2037/38</v>
      </c>
      <c r="C541" t="str">
        <f>'Unformatted Trip Summary'!I539</f>
        <v>Air/Non-Local PT</v>
      </c>
      <c r="D541">
        <f>'Unformatted Trip Summary'!D539</f>
        <v>7</v>
      </c>
      <c r="E541">
        <f>'Unformatted Trip Summary'!E539</f>
        <v>9</v>
      </c>
      <c r="F541" s="1">
        <f>'Unformatted Trip Summary'!F539</f>
        <v>0.17689159800000001</v>
      </c>
      <c r="G541" s="1">
        <f>'Unformatted Trip Summary'!G539</f>
        <v>18.847315310999999</v>
      </c>
      <c r="H541" s="1">
        <f>'Unformatted Trip Summary'!H539</f>
        <v>0.54727158460000003</v>
      </c>
    </row>
    <row r="542" spans="1:8" x14ac:dyDescent="0.2">
      <c r="A542" t="str">
        <f>'Unformatted Trip Summary'!A540</f>
        <v>07 TARANAKI</v>
      </c>
      <c r="B542" t="str">
        <f>'Unformatted Trip Summary'!J540</f>
        <v>2042/43</v>
      </c>
      <c r="C542" t="str">
        <f>'Unformatted Trip Summary'!I540</f>
        <v>Air/Non-Local PT</v>
      </c>
      <c r="D542">
        <f>'Unformatted Trip Summary'!D540</f>
        <v>7</v>
      </c>
      <c r="E542">
        <f>'Unformatted Trip Summary'!E540</f>
        <v>9</v>
      </c>
      <c r="F542" s="1">
        <f>'Unformatted Trip Summary'!F540</f>
        <v>0.1705068683</v>
      </c>
      <c r="G542" s="1">
        <f>'Unformatted Trip Summary'!G540</f>
        <v>20.427132807</v>
      </c>
      <c r="H542" s="1">
        <f>'Unformatted Trip Summary'!H540</f>
        <v>0.5240259089</v>
      </c>
    </row>
    <row r="543" spans="1:8" x14ac:dyDescent="0.2">
      <c r="A543" t="str">
        <f>'Unformatted Trip Summary'!A541</f>
        <v>07 TARANAKI</v>
      </c>
      <c r="B543" t="str">
        <f>'Unformatted Trip Summary'!J541</f>
        <v>2012/13</v>
      </c>
      <c r="C543" t="str">
        <f>'Unformatted Trip Summary'!I541</f>
        <v>Non-Household Travel</v>
      </c>
      <c r="D543">
        <f>'Unformatted Trip Summary'!D541</f>
        <v>28</v>
      </c>
      <c r="E543">
        <f>'Unformatted Trip Summary'!E541</f>
        <v>118</v>
      </c>
      <c r="F543" s="1">
        <f>'Unformatted Trip Summary'!F541</f>
        <v>3.0516698092999999</v>
      </c>
      <c r="G543" s="1">
        <f>'Unformatted Trip Summary'!G541</f>
        <v>51.301529111999997</v>
      </c>
      <c r="H543" s="1">
        <f>'Unformatted Trip Summary'!H541</f>
        <v>1.1153896443</v>
      </c>
    </row>
    <row r="544" spans="1:8" x14ac:dyDescent="0.2">
      <c r="A544" t="str">
        <f>'Unformatted Trip Summary'!A542</f>
        <v>07 TARANAKI</v>
      </c>
      <c r="B544" t="str">
        <f>'Unformatted Trip Summary'!J542</f>
        <v>2017/18</v>
      </c>
      <c r="C544" t="str">
        <f>'Unformatted Trip Summary'!I542</f>
        <v>Non-Household Travel</v>
      </c>
      <c r="D544">
        <f>'Unformatted Trip Summary'!D542</f>
        <v>28</v>
      </c>
      <c r="E544">
        <f>'Unformatted Trip Summary'!E542</f>
        <v>118</v>
      </c>
      <c r="F544" s="1">
        <f>'Unformatted Trip Summary'!F542</f>
        <v>3.2074461582999998</v>
      </c>
      <c r="G544" s="1">
        <f>'Unformatted Trip Summary'!G542</f>
        <v>53.262663197000002</v>
      </c>
      <c r="H544" s="1">
        <f>'Unformatted Trip Summary'!H542</f>
        <v>1.1842164422999999</v>
      </c>
    </row>
    <row r="545" spans="1:8" x14ac:dyDescent="0.2">
      <c r="A545" t="str">
        <f>'Unformatted Trip Summary'!A543</f>
        <v>07 TARANAKI</v>
      </c>
      <c r="B545" t="str">
        <f>'Unformatted Trip Summary'!J543</f>
        <v>2022/23</v>
      </c>
      <c r="C545" t="str">
        <f>'Unformatted Trip Summary'!I543</f>
        <v>Non-Household Travel</v>
      </c>
      <c r="D545">
        <f>'Unformatted Trip Summary'!D543</f>
        <v>28</v>
      </c>
      <c r="E545">
        <f>'Unformatted Trip Summary'!E543</f>
        <v>118</v>
      </c>
      <c r="F545" s="1">
        <f>'Unformatted Trip Summary'!F543</f>
        <v>3.7179862480999999</v>
      </c>
      <c r="G545" s="1">
        <f>'Unformatted Trip Summary'!G543</f>
        <v>61.224273134000001</v>
      </c>
      <c r="H545" s="1">
        <f>'Unformatted Trip Summary'!H543</f>
        <v>1.3852389569000001</v>
      </c>
    </row>
    <row r="546" spans="1:8" x14ac:dyDescent="0.2">
      <c r="A546" t="str">
        <f>'Unformatted Trip Summary'!A544</f>
        <v>07 TARANAKI</v>
      </c>
      <c r="B546" t="str">
        <f>'Unformatted Trip Summary'!J544</f>
        <v>2027/28</v>
      </c>
      <c r="C546" t="str">
        <f>'Unformatted Trip Summary'!I544</f>
        <v>Non-Household Travel</v>
      </c>
      <c r="D546">
        <f>'Unformatted Trip Summary'!D544</f>
        <v>28</v>
      </c>
      <c r="E546">
        <f>'Unformatted Trip Summary'!E544</f>
        <v>118</v>
      </c>
      <c r="F546" s="1">
        <f>'Unformatted Trip Summary'!F544</f>
        <v>3.8899789636</v>
      </c>
      <c r="G546" s="1">
        <f>'Unformatted Trip Summary'!G544</f>
        <v>62.284290564000003</v>
      </c>
      <c r="H546" s="1">
        <f>'Unformatted Trip Summary'!H544</f>
        <v>1.4385685981</v>
      </c>
    </row>
    <row r="547" spans="1:8" x14ac:dyDescent="0.2">
      <c r="A547" t="str">
        <f>'Unformatted Trip Summary'!A545</f>
        <v>07 TARANAKI</v>
      </c>
      <c r="B547" t="str">
        <f>'Unformatted Trip Summary'!J545</f>
        <v>2032/33</v>
      </c>
      <c r="C547" t="str">
        <f>'Unformatted Trip Summary'!I545</f>
        <v>Non-Household Travel</v>
      </c>
      <c r="D547">
        <f>'Unformatted Trip Summary'!D545</f>
        <v>28</v>
      </c>
      <c r="E547">
        <f>'Unformatted Trip Summary'!E545</f>
        <v>118</v>
      </c>
      <c r="F547" s="1">
        <f>'Unformatted Trip Summary'!F545</f>
        <v>3.9763565735999999</v>
      </c>
      <c r="G547" s="1">
        <f>'Unformatted Trip Summary'!G545</f>
        <v>62.223754522999997</v>
      </c>
      <c r="H547" s="1">
        <f>'Unformatted Trip Summary'!H545</f>
        <v>1.4517396520000001</v>
      </c>
    </row>
    <row r="548" spans="1:8" x14ac:dyDescent="0.2">
      <c r="A548" t="str">
        <f>'Unformatted Trip Summary'!A546</f>
        <v>07 TARANAKI</v>
      </c>
      <c r="B548" t="str">
        <f>'Unformatted Trip Summary'!J546</f>
        <v>2037/38</v>
      </c>
      <c r="C548" t="str">
        <f>'Unformatted Trip Summary'!I546</f>
        <v>Non-Household Travel</v>
      </c>
      <c r="D548">
        <f>'Unformatted Trip Summary'!D546</f>
        <v>28</v>
      </c>
      <c r="E548">
        <f>'Unformatted Trip Summary'!E546</f>
        <v>118</v>
      </c>
      <c r="F548" s="1">
        <f>'Unformatted Trip Summary'!F546</f>
        <v>4.0237509960000004</v>
      </c>
      <c r="G548" s="1">
        <f>'Unformatted Trip Summary'!G546</f>
        <v>61.618075013000002</v>
      </c>
      <c r="H548" s="1">
        <f>'Unformatted Trip Summary'!H546</f>
        <v>1.4400626811999999</v>
      </c>
    </row>
    <row r="549" spans="1:8" x14ac:dyDescent="0.2">
      <c r="A549" t="str">
        <f>'Unformatted Trip Summary'!A547</f>
        <v>07 TARANAKI</v>
      </c>
      <c r="B549" t="str">
        <f>'Unformatted Trip Summary'!J547</f>
        <v>2042/43</v>
      </c>
      <c r="C549" t="str">
        <f>'Unformatted Trip Summary'!I547</f>
        <v>Non-Household Travel</v>
      </c>
      <c r="D549">
        <f>'Unformatted Trip Summary'!D547</f>
        <v>28</v>
      </c>
      <c r="E549">
        <f>'Unformatted Trip Summary'!E547</f>
        <v>118</v>
      </c>
      <c r="F549" s="1">
        <f>'Unformatted Trip Summary'!F547</f>
        <v>4.0536572766000001</v>
      </c>
      <c r="G549" s="1">
        <f>'Unformatted Trip Summary'!G547</f>
        <v>60.568247806999999</v>
      </c>
      <c r="H549" s="1">
        <f>'Unformatted Trip Summary'!H547</f>
        <v>1.4183159008999999</v>
      </c>
    </row>
    <row r="550" spans="1:8" x14ac:dyDescent="0.2">
      <c r="A550" t="str">
        <f>'Unformatted Trip Summary'!A548</f>
        <v>08 MANAWATU-WANGANUI</v>
      </c>
      <c r="B550" t="str">
        <f>'Unformatted Trip Summary'!J548</f>
        <v>2012/13</v>
      </c>
      <c r="C550" t="str">
        <f>'Unformatted Trip Summary'!I548</f>
        <v>Pedestrian</v>
      </c>
      <c r="D550">
        <f>'Unformatted Trip Summary'!D548</f>
        <v>214</v>
      </c>
      <c r="E550">
        <f>'Unformatted Trip Summary'!E548</f>
        <v>797</v>
      </c>
      <c r="F550" s="1">
        <f>'Unformatted Trip Summary'!F548</f>
        <v>39.544031846000003</v>
      </c>
      <c r="G550" s="1">
        <f>'Unformatted Trip Summary'!G548</f>
        <v>32.265609755</v>
      </c>
      <c r="H550" s="1">
        <f>'Unformatted Trip Summary'!H548</f>
        <v>8.3408449691000008</v>
      </c>
    </row>
    <row r="551" spans="1:8" x14ac:dyDescent="0.2">
      <c r="A551" t="str">
        <f>'Unformatted Trip Summary'!A549</f>
        <v>08 MANAWATU-WANGANUI</v>
      </c>
      <c r="B551" t="str">
        <f>'Unformatted Trip Summary'!J549</f>
        <v>2017/18</v>
      </c>
      <c r="C551" t="str">
        <f>'Unformatted Trip Summary'!I549</f>
        <v>Pedestrian</v>
      </c>
      <c r="D551">
        <f>'Unformatted Trip Summary'!D549</f>
        <v>214</v>
      </c>
      <c r="E551">
        <f>'Unformatted Trip Summary'!E549</f>
        <v>797</v>
      </c>
      <c r="F551" s="1">
        <f>'Unformatted Trip Summary'!F549</f>
        <v>35.281600984999997</v>
      </c>
      <c r="G551" s="1">
        <f>'Unformatted Trip Summary'!G549</f>
        <v>29.466502982000002</v>
      </c>
      <c r="H551" s="1">
        <f>'Unformatted Trip Summary'!H549</f>
        <v>7.4580995677999997</v>
      </c>
    </row>
    <row r="552" spans="1:8" x14ac:dyDescent="0.2">
      <c r="A552" t="str">
        <f>'Unformatted Trip Summary'!A550</f>
        <v>08 MANAWATU-WANGANUI</v>
      </c>
      <c r="B552" t="str">
        <f>'Unformatted Trip Summary'!J550</f>
        <v>2022/23</v>
      </c>
      <c r="C552" t="str">
        <f>'Unformatted Trip Summary'!I550</f>
        <v>Pedestrian</v>
      </c>
      <c r="D552">
        <f>'Unformatted Trip Summary'!D550</f>
        <v>214</v>
      </c>
      <c r="E552">
        <f>'Unformatted Trip Summary'!E550</f>
        <v>797</v>
      </c>
      <c r="F552" s="1">
        <f>'Unformatted Trip Summary'!F550</f>
        <v>34.243383145000003</v>
      </c>
      <c r="G552" s="1">
        <f>'Unformatted Trip Summary'!G550</f>
        <v>29.060687991999998</v>
      </c>
      <c r="H552" s="1">
        <f>'Unformatted Trip Summary'!H550</f>
        <v>7.1746694297999998</v>
      </c>
    </row>
    <row r="553" spans="1:8" x14ac:dyDescent="0.2">
      <c r="A553" t="str">
        <f>'Unformatted Trip Summary'!A551</f>
        <v>08 MANAWATU-WANGANUI</v>
      </c>
      <c r="B553" t="str">
        <f>'Unformatted Trip Summary'!J551</f>
        <v>2027/28</v>
      </c>
      <c r="C553" t="str">
        <f>'Unformatted Trip Summary'!I551</f>
        <v>Pedestrian</v>
      </c>
      <c r="D553">
        <f>'Unformatted Trip Summary'!D551</f>
        <v>214</v>
      </c>
      <c r="E553">
        <f>'Unformatted Trip Summary'!E551</f>
        <v>797</v>
      </c>
      <c r="F553" s="1">
        <f>'Unformatted Trip Summary'!F551</f>
        <v>30.658774294000001</v>
      </c>
      <c r="G553" s="1">
        <f>'Unformatted Trip Summary'!G551</f>
        <v>26.171112049000001</v>
      </c>
      <c r="H553" s="1">
        <f>'Unformatted Trip Summary'!H551</f>
        <v>6.3446401915999999</v>
      </c>
    </row>
    <row r="554" spans="1:8" x14ac:dyDescent="0.2">
      <c r="A554" t="str">
        <f>'Unformatted Trip Summary'!A552</f>
        <v>08 MANAWATU-WANGANUI</v>
      </c>
      <c r="B554" t="str">
        <f>'Unformatted Trip Summary'!J552</f>
        <v>2032/33</v>
      </c>
      <c r="C554" t="str">
        <f>'Unformatted Trip Summary'!I552</f>
        <v>Pedestrian</v>
      </c>
      <c r="D554">
        <f>'Unformatted Trip Summary'!D552</f>
        <v>214</v>
      </c>
      <c r="E554">
        <f>'Unformatted Trip Summary'!E552</f>
        <v>797</v>
      </c>
      <c r="F554" s="1">
        <f>'Unformatted Trip Summary'!F552</f>
        <v>27.922635207999999</v>
      </c>
      <c r="G554" s="1">
        <f>'Unformatted Trip Summary'!G552</f>
        <v>23.859221262999998</v>
      </c>
      <c r="H554" s="1">
        <f>'Unformatted Trip Summary'!H552</f>
        <v>5.6664411479999997</v>
      </c>
    </row>
    <row r="555" spans="1:8" x14ac:dyDescent="0.2">
      <c r="A555" t="str">
        <f>'Unformatted Trip Summary'!A553</f>
        <v>08 MANAWATU-WANGANUI</v>
      </c>
      <c r="B555" t="str">
        <f>'Unformatted Trip Summary'!J553</f>
        <v>2037/38</v>
      </c>
      <c r="C555" t="str">
        <f>'Unformatted Trip Summary'!I553</f>
        <v>Pedestrian</v>
      </c>
      <c r="D555">
        <f>'Unformatted Trip Summary'!D553</f>
        <v>214</v>
      </c>
      <c r="E555">
        <f>'Unformatted Trip Summary'!E553</f>
        <v>797</v>
      </c>
      <c r="F555" s="1">
        <f>'Unformatted Trip Summary'!F553</f>
        <v>25.797808886999999</v>
      </c>
      <c r="G555" s="1">
        <f>'Unformatted Trip Summary'!G553</f>
        <v>22.061413252000001</v>
      </c>
      <c r="H555" s="1">
        <f>'Unformatted Trip Summary'!H553</f>
        <v>5.1034251426999999</v>
      </c>
    </row>
    <row r="556" spans="1:8" x14ac:dyDescent="0.2">
      <c r="A556" t="str">
        <f>'Unformatted Trip Summary'!A554</f>
        <v>08 MANAWATU-WANGANUI</v>
      </c>
      <c r="B556" t="str">
        <f>'Unformatted Trip Summary'!J554</f>
        <v>2042/43</v>
      </c>
      <c r="C556" t="str">
        <f>'Unformatted Trip Summary'!I554</f>
        <v>Pedestrian</v>
      </c>
      <c r="D556">
        <f>'Unformatted Trip Summary'!D554</f>
        <v>214</v>
      </c>
      <c r="E556">
        <f>'Unformatted Trip Summary'!E554</f>
        <v>797</v>
      </c>
      <c r="F556" s="1">
        <f>'Unformatted Trip Summary'!F554</f>
        <v>24.045328018999999</v>
      </c>
      <c r="G556" s="1">
        <f>'Unformatted Trip Summary'!G554</f>
        <v>20.637633812000001</v>
      </c>
      <c r="H556" s="1">
        <f>'Unformatted Trip Summary'!H554</f>
        <v>4.6480732138</v>
      </c>
    </row>
    <row r="557" spans="1:8" x14ac:dyDescent="0.2">
      <c r="A557" t="str">
        <f>'Unformatted Trip Summary'!A555</f>
        <v>08 MANAWATU-WANGANUI</v>
      </c>
      <c r="B557" t="str">
        <f>'Unformatted Trip Summary'!J555</f>
        <v>2012/13</v>
      </c>
      <c r="C557" t="str">
        <f>'Unformatted Trip Summary'!I555</f>
        <v>Cyclist</v>
      </c>
      <c r="D557">
        <f>'Unformatted Trip Summary'!D555</f>
        <v>33</v>
      </c>
      <c r="E557">
        <f>'Unformatted Trip Summary'!E555</f>
        <v>96</v>
      </c>
      <c r="F557" s="1">
        <f>'Unformatted Trip Summary'!F555</f>
        <v>4.6745036201000003</v>
      </c>
      <c r="G557" s="1">
        <f>'Unformatted Trip Summary'!G555</f>
        <v>20.722330986999999</v>
      </c>
      <c r="H557" s="1">
        <f>'Unformatted Trip Summary'!H555</f>
        <v>1.7566260256999999</v>
      </c>
    </row>
    <row r="558" spans="1:8" x14ac:dyDescent="0.2">
      <c r="A558" t="str">
        <f>'Unformatted Trip Summary'!A556</f>
        <v>08 MANAWATU-WANGANUI</v>
      </c>
      <c r="B558" t="str">
        <f>'Unformatted Trip Summary'!J556</f>
        <v>2017/18</v>
      </c>
      <c r="C558" t="str">
        <f>'Unformatted Trip Summary'!I556</f>
        <v>Cyclist</v>
      </c>
      <c r="D558">
        <f>'Unformatted Trip Summary'!D556</f>
        <v>33</v>
      </c>
      <c r="E558">
        <f>'Unformatted Trip Summary'!E556</f>
        <v>96</v>
      </c>
      <c r="F558" s="1">
        <f>'Unformatted Trip Summary'!F556</f>
        <v>4.6079092990000001</v>
      </c>
      <c r="G558" s="1">
        <f>'Unformatted Trip Summary'!G556</f>
        <v>21.746357148000001</v>
      </c>
      <c r="H558" s="1">
        <f>'Unformatted Trip Summary'!H556</f>
        <v>1.8048560574000001</v>
      </c>
    </row>
    <row r="559" spans="1:8" x14ac:dyDescent="0.2">
      <c r="A559" t="str">
        <f>'Unformatted Trip Summary'!A557</f>
        <v>08 MANAWATU-WANGANUI</v>
      </c>
      <c r="B559" t="str">
        <f>'Unformatted Trip Summary'!J557</f>
        <v>2022/23</v>
      </c>
      <c r="C559" t="str">
        <f>'Unformatted Trip Summary'!I557</f>
        <v>Cyclist</v>
      </c>
      <c r="D559">
        <f>'Unformatted Trip Summary'!D557</f>
        <v>33</v>
      </c>
      <c r="E559">
        <f>'Unformatted Trip Summary'!E557</f>
        <v>96</v>
      </c>
      <c r="F559" s="1">
        <f>'Unformatted Trip Summary'!F557</f>
        <v>4.9822008565000004</v>
      </c>
      <c r="G559" s="1">
        <f>'Unformatted Trip Summary'!G557</f>
        <v>24.594026543999998</v>
      </c>
      <c r="H559" s="1">
        <f>'Unformatted Trip Summary'!H557</f>
        <v>2.0185444753000001</v>
      </c>
    </row>
    <row r="560" spans="1:8" x14ac:dyDescent="0.2">
      <c r="A560" t="str">
        <f>'Unformatted Trip Summary'!A558</f>
        <v>08 MANAWATU-WANGANUI</v>
      </c>
      <c r="B560" t="str">
        <f>'Unformatted Trip Summary'!J558</f>
        <v>2027/28</v>
      </c>
      <c r="C560" t="str">
        <f>'Unformatted Trip Summary'!I558</f>
        <v>Cyclist</v>
      </c>
      <c r="D560">
        <f>'Unformatted Trip Summary'!D558</f>
        <v>33</v>
      </c>
      <c r="E560">
        <f>'Unformatted Trip Summary'!E558</f>
        <v>96</v>
      </c>
      <c r="F560" s="1">
        <f>'Unformatted Trip Summary'!F558</f>
        <v>5.1462659110000004</v>
      </c>
      <c r="G560" s="1">
        <f>'Unformatted Trip Summary'!G558</f>
        <v>25.002217221999999</v>
      </c>
      <c r="H560" s="1">
        <f>'Unformatted Trip Summary'!H558</f>
        <v>2.0807619965000002</v>
      </c>
    </row>
    <row r="561" spans="1:8" x14ac:dyDescent="0.2">
      <c r="A561" t="str">
        <f>'Unformatted Trip Summary'!A559</f>
        <v>08 MANAWATU-WANGANUI</v>
      </c>
      <c r="B561" t="str">
        <f>'Unformatted Trip Summary'!J559</f>
        <v>2032/33</v>
      </c>
      <c r="C561" t="str">
        <f>'Unformatted Trip Summary'!I559</f>
        <v>Cyclist</v>
      </c>
      <c r="D561">
        <f>'Unformatted Trip Summary'!D559</f>
        <v>33</v>
      </c>
      <c r="E561">
        <f>'Unformatted Trip Summary'!E559</f>
        <v>96</v>
      </c>
      <c r="F561" s="1">
        <f>'Unformatted Trip Summary'!F559</f>
        <v>5.3332584908999996</v>
      </c>
      <c r="G561" s="1">
        <f>'Unformatted Trip Summary'!G559</f>
        <v>25.166609346000001</v>
      </c>
      <c r="H561" s="1">
        <f>'Unformatted Trip Summary'!H559</f>
        <v>2.1177243558000001</v>
      </c>
    </row>
    <row r="562" spans="1:8" x14ac:dyDescent="0.2">
      <c r="A562" t="str">
        <f>'Unformatted Trip Summary'!A560</f>
        <v>08 MANAWATU-WANGANUI</v>
      </c>
      <c r="B562" t="str">
        <f>'Unformatted Trip Summary'!J560</f>
        <v>2037/38</v>
      </c>
      <c r="C562" t="str">
        <f>'Unformatted Trip Summary'!I560</f>
        <v>Cyclist</v>
      </c>
      <c r="D562">
        <f>'Unformatted Trip Summary'!D560</f>
        <v>33</v>
      </c>
      <c r="E562">
        <f>'Unformatted Trip Summary'!E560</f>
        <v>96</v>
      </c>
      <c r="F562" s="1">
        <f>'Unformatted Trip Summary'!F560</f>
        <v>5.2482667657000004</v>
      </c>
      <c r="G562" s="1">
        <f>'Unformatted Trip Summary'!G560</f>
        <v>25.141745562000001</v>
      </c>
      <c r="H562" s="1">
        <f>'Unformatted Trip Summary'!H560</f>
        <v>2.0881002178000001</v>
      </c>
    </row>
    <row r="563" spans="1:8" x14ac:dyDescent="0.2">
      <c r="A563" t="str">
        <f>'Unformatted Trip Summary'!A561</f>
        <v>08 MANAWATU-WANGANUI</v>
      </c>
      <c r="B563" t="str">
        <f>'Unformatted Trip Summary'!J561</f>
        <v>2042/43</v>
      </c>
      <c r="C563" t="str">
        <f>'Unformatted Trip Summary'!I561</f>
        <v>Cyclist</v>
      </c>
      <c r="D563">
        <f>'Unformatted Trip Summary'!D561</f>
        <v>33</v>
      </c>
      <c r="E563">
        <f>'Unformatted Trip Summary'!E561</f>
        <v>96</v>
      </c>
      <c r="F563" s="1">
        <f>'Unformatted Trip Summary'!F561</f>
        <v>5.1379314098000002</v>
      </c>
      <c r="G563" s="1">
        <f>'Unformatted Trip Summary'!G561</f>
        <v>24.912906242999998</v>
      </c>
      <c r="H563" s="1">
        <f>'Unformatted Trip Summary'!H561</f>
        <v>2.0394340386000001</v>
      </c>
    </row>
    <row r="564" spans="1:8" x14ac:dyDescent="0.2">
      <c r="A564" t="str">
        <f>'Unformatted Trip Summary'!A562</f>
        <v>08 MANAWATU-WANGANUI</v>
      </c>
      <c r="B564" t="str">
        <f>'Unformatted Trip Summary'!J562</f>
        <v>2012/13</v>
      </c>
      <c r="C564" t="str">
        <f>'Unformatted Trip Summary'!I562</f>
        <v>Light Vehicle Driver</v>
      </c>
      <c r="D564">
        <f>'Unformatted Trip Summary'!D562</f>
        <v>588</v>
      </c>
      <c r="E564">
        <f>'Unformatted Trip Summary'!E562</f>
        <v>4259</v>
      </c>
      <c r="F564" s="1">
        <f>'Unformatted Trip Summary'!F562</f>
        <v>178.69640117</v>
      </c>
      <c r="G564" s="1">
        <f>'Unformatted Trip Summary'!G562</f>
        <v>1782.4745101999999</v>
      </c>
      <c r="H564" s="1">
        <f>'Unformatted Trip Summary'!H562</f>
        <v>42.09204356</v>
      </c>
    </row>
    <row r="565" spans="1:8" x14ac:dyDescent="0.2">
      <c r="A565" t="str">
        <f>'Unformatted Trip Summary'!A563</f>
        <v>08 MANAWATU-WANGANUI</v>
      </c>
      <c r="B565" t="str">
        <f>'Unformatted Trip Summary'!J563</f>
        <v>2017/18</v>
      </c>
      <c r="C565" t="str">
        <f>'Unformatted Trip Summary'!I563</f>
        <v>Light Vehicle Driver</v>
      </c>
      <c r="D565">
        <f>'Unformatted Trip Summary'!D563</f>
        <v>588</v>
      </c>
      <c r="E565">
        <f>'Unformatted Trip Summary'!E563</f>
        <v>4259</v>
      </c>
      <c r="F565" s="1">
        <f>'Unformatted Trip Summary'!F563</f>
        <v>176.34949293</v>
      </c>
      <c r="G565" s="1">
        <f>'Unformatted Trip Summary'!G563</f>
        <v>1784.8302051999999</v>
      </c>
      <c r="H565" s="1">
        <f>'Unformatted Trip Summary'!H563</f>
        <v>42.024484913999999</v>
      </c>
    </row>
    <row r="566" spans="1:8" x14ac:dyDescent="0.2">
      <c r="A566" t="str">
        <f>'Unformatted Trip Summary'!A564</f>
        <v>08 MANAWATU-WANGANUI</v>
      </c>
      <c r="B566" t="str">
        <f>'Unformatted Trip Summary'!J564</f>
        <v>2022/23</v>
      </c>
      <c r="C566" t="str">
        <f>'Unformatted Trip Summary'!I564</f>
        <v>Light Vehicle Driver</v>
      </c>
      <c r="D566">
        <f>'Unformatted Trip Summary'!D564</f>
        <v>588</v>
      </c>
      <c r="E566">
        <f>'Unformatted Trip Summary'!E564</f>
        <v>4259</v>
      </c>
      <c r="F566" s="1">
        <f>'Unformatted Trip Summary'!F564</f>
        <v>185.6082236</v>
      </c>
      <c r="G566" s="1">
        <f>'Unformatted Trip Summary'!G564</f>
        <v>1915.0687966999999</v>
      </c>
      <c r="H566" s="1">
        <f>'Unformatted Trip Summary'!H564</f>
        <v>44.774279857000003</v>
      </c>
    </row>
    <row r="567" spans="1:8" x14ac:dyDescent="0.2">
      <c r="A567" t="str">
        <f>'Unformatted Trip Summary'!A565</f>
        <v>08 MANAWATU-WANGANUI</v>
      </c>
      <c r="B567" t="str">
        <f>'Unformatted Trip Summary'!J565</f>
        <v>2027/28</v>
      </c>
      <c r="C567" t="str">
        <f>'Unformatted Trip Summary'!I565</f>
        <v>Light Vehicle Driver</v>
      </c>
      <c r="D567">
        <f>'Unformatted Trip Summary'!D565</f>
        <v>588</v>
      </c>
      <c r="E567">
        <f>'Unformatted Trip Summary'!E565</f>
        <v>4259</v>
      </c>
      <c r="F567" s="1">
        <f>'Unformatted Trip Summary'!F565</f>
        <v>183.51670859999999</v>
      </c>
      <c r="G567" s="1">
        <f>'Unformatted Trip Summary'!G565</f>
        <v>1934.6960892</v>
      </c>
      <c r="H567" s="1">
        <f>'Unformatted Trip Summary'!H565</f>
        <v>44.740142065999997</v>
      </c>
    </row>
    <row r="568" spans="1:8" x14ac:dyDescent="0.2">
      <c r="A568" t="str">
        <f>'Unformatted Trip Summary'!A566</f>
        <v>08 MANAWATU-WANGANUI</v>
      </c>
      <c r="B568" t="str">
        <f>'Unformatted Trip Summary'!J566</f>
        <v>2032/33</v>
      </c>
      <c r="C568" t="str">
        <f>'Unformatted Trip Summary'!I566</f>
        <v>Light Vehicle Driver</v>
      </c>
      <c r="D568">
        <f>'Unformatted Trip Summary'!D566</f>
        <v>588</v>
      </c>
      <c r="E568">
        <f>'Unformatted Trip Summary'!E566</f>
        <v>4259</v>
      </c>
      <c r="F568" s="1">
        <f>'Unformatted Trip Summary'!F566</f>
        <v>181.43916185</v>
      </c>
      <c r="G568" s="1">
        <f>'Unformatted Trip Summary'!G566</f>
        <v>1932.9971674000001</v>
      </c>
      <c r="H568" s="1">
        <f>'Unformatted Trip Summary'!H566</f>
        <v>44.418519559000003</v>
      </c>
    </row>
    <row r="569" spans="1:8" x14ac:dyDescent="0.2">
      <c r="A569" t="str">
        <f>'Unformatted Trip Summary'!A567</f>
        <v>08 MANAWATU-WANGANUI</v>
      </c>
      <c r="B569" t="str">
        <f>'Unformatted Trip Summary'!J567</f>
        <v>2037/38</v>
      </c>
      <c r="C569" t="str">
        <f>'Unformatted Trip Summary'!I567</f>
        <v>Light Vehicle Driver</v>
      </c>
      <c r="D569">
        <f>'Unformatted Trip Summary'!D567</f>
        <v>588</v>
      </c>
      <c r="E569">
        <f>'Unformatted Trip Summary'!E567</f>
        <v>4259</v>
      </c>
      <c r="F569" s="1">
        <f>'Unformatted Trip Summary'!F567</f>
        <v>176.1530214</v>
      </c>
      <c r="G569" s="1">
        <f>'Unformatted Trip Summary'!G567</f>
        <v>1894.8841007000001</v>
      </c>
      <c r="H569" s="1">
        <f>'Unformatted Trip Summary'!H567</f>
        <v>43.248420537000001</v>
      </c>
    </row>
    <row r="570" spans="1:8" x14ac:dyDescent="0.2">
      <c r="A570" t="str">
        <f>'Unformatted Trip Summary'!A568</f>
        <v>08 MANAWATU-WANGANUI</v>
      </c>
      <c r="B570" t="str">
        <f>'Unformatted Trip Summary'!J568</f>
        <v>2042/43</v>
      </c>
      <c r="C570" t="str">
        <f>'Unformatted Trip Summary'!I568</f>
        <v>Light Vehicle Driver</v>
      </c>
      <c r="D570">
        <f>'Unformatted Trip Summary'!D568</f>
        <v>588</v>
      </c>
      <c r="E570">
        <f>'Unformatted Trip Summary'!E568</f>
        <v>4259</v>
      </c>
      <c r="F570" s="1">
        <f>'Unformatted Trip Summary'!F568</f>
        <v>169.94093574999999</v>
      </c>
      <c r="G570" s="1">
        <f>'Unformatted Trip Summary'!G568</f>
        <v>1844.1645357</v>
      </c>
      <c r="H570" s="1">
        <f>'Unformatted Trip Summary'!H568</f>
        <v>41.809515456</v>
      </c>
    </row>
    <row r="571" spans="1:8" x14ac:dyDescent="0.2">
      <c r="A571" t="str">
        <f>'Unformatted Trip Summary'!A569</f>
        <v>08 MANAWATU-WANGANUI</v>
      </c>
      <c r="B571" t="str">
        <f>'Unformatted Trip Summary'!J569</f>
        <v>2012/13</v>
      </c>
      <c r="C571" t="str">
        <f>'Unformatted Trip Summary'!I569</f>
        <v>Light Vehicle Passenger</v>
      </c>
      <c r="D571">
        <f>'Unformatted Trip Summary'!D569</f>
        <v>425</v>
      </c>
      <c r="E571">
        <f>'Unformatted Trip Summary'!E569</f>
        <v>2071</v>
      </c>
      <c r="F571" s="1">
        <f>'Unformatted Trip Summary'!F569</f>
        <v>84.046137802999993</v>
      </c>
      <c r="G571" s="1">
        <f>'Unformatted Trip Summary'!G569</f>
        <v>885.65568203999999</v>
      </c>
      <c r="H571" s="1">
        <f>'Unformatted Trip Summary'!H569</f>
        <v>20.286542670999999</v>
      </c>
    </row>
    <row r="572" spans="1:8" x14ac:dyDescent="0.2">
      <c r="A572" t="str">
        <f>'Unformatted Trip Summary'!A570</f>
        <v>08 MANAWATU-WANGANUI</v>
      </c>
      <c r="B572" t="str">
        <f>'Unformatted Trip Summary'!J570</f>
        <v>2017/18</v>
      </c>
      <c r="C572" t="str">
        <f>'Unformatted Trip Summary'!I570</f>
        <v>Light Vehicle Passenger</v>
      </c>
      <c r="D572">
        <f>'Unformatted Trip Summary'!D570</f>
        <v>425</v>
      </c>
      <c r="E572">
        <f>'Unformatted Trip Summary'!E570</f>
        <v>2071</v>
      </c>
      <c r="F572" s="1">
        <f>'Unformatted Trip Summary'!F570</f>
        <v>77.122670146999994</v>
      </c>
      <c r="G572" s="1">
        <f>'Unformatted Trip Summary'!G570</f>
        <v>838.49369779000006</v>
      </c>
      <c r="H572" s="1">
        <f>'Unformatted Trip Summary'!H570</f>
        <v>18.999576490999999</v>
      </c>
    </row>
    <row r="573" spans="1:8" x14ac:dyDescent="0.2">
      <c r="A573" t="str">
        <f>'Unformatted Trip Summary'!A571</f>
        <v>08 MANAWATU-WANGANUI</v>
      </c>
      <c r="B573" t="str">
        <f>'Unformatted Trip Summary'!J571</f>
        <v>2022/23</v>
      </c>
      <c r="C573" t="str">
        <f>'Unformatted Trip Summary'!I571</f>
        <v>Light Vehicle Passenger</v>
      </c>
      <c r="D573">
        <f>'Unformatted Trip Summary'!D571</f>
        <v>425</v>
      </c>
      <c r="E573">
        <f>'Unformatted Trip Summary'!E571</f>
        <v>2071</v>
      </c>
      <c r="F573" s="1">
        <f>'Unformatted Trip Summary'!F571</f>
        <v>78.337310259999995</v>
      </c>
      <c r="G573" s="1">
        <f>'Unformatted Trip Summary'!G571</f>
        <v>874.44551280999997</v>
      </c>
      <c r="H573" s="1">
        <f>'Unformatted Trip Summary'!H571</f>
        <v>19.645238118999998</v>
      </c>
    </row>
    <row r="574" spans="1:8" x14ac:dyDescent="0.2">
      <c r="A574" t="str">
        <f>'Unformatted Trip Summary'!A572</f>
        <v>08 MANAWATU-WANGANUI</v>
      </c>
      <c r="B574" t="str">
        <f>'Unformatted Trip Summary'!J572</f>
        <v>2027/28</v>
      </c>
      <c r="C574" t="str">
        <f>'Unformatted Trip Summary'!I572</f>
        <v>Light Vehicle Passenger</v>
      </c>
      <c r="D574">
        <f>'Unformatted Trip Summary'!D572</f>
        <v>425</v>
      </c>
      <c r="E574">
        <f>'Unformatted Trip Summary'!E572</f>
        <v>2071</v>
      </c>
      <c r="F574" s="1">
        <f>'Unformatted Trip Summary'!F572</f>
        <v>75.259827618000003</v>
      </c>
      <c r="G574" s="1">
        <f>'Unformatted Trip Summary'!G572</f>
        <v>865.97740577000002</v>
      </c>
      <c r="H574" s="1">
        <f>'Unformatted Trip Summary'!H572</f>
        <v>19.208221040000002</v>
      </c>
    </row>
    <row r="575" spans="1:8" x14ac:dyDescent="0.2">
      <c r="A575" t="str">
        <f>'Unformatted Trip Summary'!A573</f>
        <v>08 MANAWATU-WANGANUI</v>
      </c>
      <c r="B575" t="str">
        <f>'Unformatted Trip Summary'!J573</f>
        <v>2032/33</v>
      </c>
      <c r="C575" t="str">
        <f>'Unformatted Trip Summary'!I573</f>
        <v>Light Vehicle Passenger</v>
      </c>
      <c r="D575">
        <f>'Unformatted Trip Summary'!D573</f>
        <v>425</v>
      </c>
      <c r="E575">
        <f>'Unformatted Trip Summary'!E573</f>
        <v>2071</v>
      </c>
      <c r="F575" s="1">
        <f>'Unformatted Trip Summary'!F573</f>
        <v>72.912658338</v>
      </c>
      <c r="G575" s="1">
        <f>'Unformatted Trip Summary'!G573</f>
        <v>866.16679366000005</v>
      </c>
      <c r="H575" s="1">
        <f>'Unformatted Trip Summary'!H573</f>
        <v>18.983563776</v>
      </c>
    </row>
    <row r="576" spans="1:8" x14ac:dyDescent="0.2">
      <c r="A576" t="str">
        <f>'Unformatted Trip Summary'!A574</f>
        <v>08 MANAWATU-WANGANUI</v>
      </c>
      <c r="B576" t="str">
        <f>'Unformatted Trip Summary'!J574</f>
        <v>2037/38</v>
      </c>
      <c r="C576" t="str">
        <f>'Unformatted Trip Summary'!I574</f>
        <v>Light Vehicle Passenger</v>
      </c>
      <c r="D576">
        <f>'Unformatted Trip Summary'!D574</f>
        <v>425</v>
      </c>
      <c r="E576">
        <f>'Unformatted Trip Summary'!E574</f>
        <v>2071</v>
      </c>
      <c r="F576" s="1">
        <f>'Unformatted Trip Summary'!F574</f>
        <v>69.736168839000001</v>
      </c>
      <c r="G576" s="1">
        <f>'Unformatted Trip Summary'!G574</f>
        <v>858.15119822999998</v>
      </c>
      <c r="H576" s="1">
        <f>'Unformatted Trip Summary'!H574</f>
        <v>18.596022389000002</v>
      </c>
    </row>
    <row r="577" spans="1:8" x14ac:dyDescent="0.2">
      <c r="A577" t="str">
        <f>'Unformatted Trip Summary'!A575</f>
        <v>08 MANAWATU-WANGANUI</v>
      </c>
      <c r="B577" t="str">
        <f>'Unformatted Trip Summary'!J575</f>
        <v>2042/43</v>
      </c>
      <c r="C577" t="str">
        <f>'Unformatted Trip Summary'!I575</f>
        <v>Light Vehicle Passenger</v>
      </c>
      <c r="D577">
        <f>'Unformatted Trip Summary'!D575</f>
        <v>425</v>
      </c>
      <c r="E577">
        <f>'Unformatted Trip Summary'!E575</f>
        <v>2071</v>
      </c>
      <c r="F577" s="1">
        <f>'Unformatted Trip Summary'!F575</f>
        <v>66.569127332999997</v>
      </c>
      <c r="G577" s="1">
        <f>'Unformatted Trip Summary'!G575</f>
        <v>847.51422621999995</v>
      </c>
      <c r="H577" s="1">
        <f>'Unformatted Trip Summary'!H575</f>
        <v>18.163996990000001</v>
      </c>
    </row>
    <row r="578" spans="1:8" x14ac:dyDescent="0.2">
      <c r="A578" t="str">
        <f>'Unformatted Trip Summary'!A576</f>
        <v>08 MANAWATU-WANGANUI</v>
      </c>
      <c r="B578" t="str">
        <f>'Unformatted Trip Summary'!J576</f>
        <v>2012/13</v>
      </c>
      <c r="C578" t="str">
        <f>'Unformatted Trip Summary'!I576</f>
        <v>Taxi/Vehicle Share</v>
      </c>
      <c r="D578">
        <f>'Unformatted Trip Summary'!D576</f>
        <v>16</v>
      </c>
      <c r="E578">
        <f>'Unformatted Trip Summary'!E576</f>
        <v>32</v>
      </c>
      <c r="F578" s="1">
        <f>'Unformatted Trip Summary'!F576</f>
        <v>0.99874441920000001</v>
      </c>
      <c r="G578" s="1">
        <f>'Unformatted Trip Summary'!G576</f>
        <v>5.6344181790999999</v>
      </c>
      <c r="H578" s="1">
        <f>'Unformatted Trip Summary'!H576</f>
        <v>0.26821620219999998</v>
      </c>
    </row>
    <row r="579" spans="1:8" x14ac:dyDescent="0.2">
      <c r="A579" t="str">
        <f>'Unformatted Trip Summary'!A577</f>
        <v>08 MANAWATU-WANGANUI</v>
      </c>
      <c r="B579" t="str">
        <f>'Unformatted Trip Summary'!J577</f>
        <v>2017/18</v>
      </c>
      <c r="C579" t="str">
        <f>'Unformatted Trip Summary'!I577</f>
        <v>Taxi/Vehicle Share</v>
      </c>
      <c r="D579">
        <f>'Unformatted Trip Summary'!D577</f>
        <v>16</v>
      </c>
      <c r="E579">
        <f>'Unformatted Trip Summary'!E577</f>
        <v>32</v>
      </c>
      <c r="F579" s="1">
        <f>'Unformatted Trip Summary'!F577</f>
        <v>1.0348514642</v>
      </c>
      <c r="G579" s="1">
        <f>'Unformatted Trip Summary'!G577</f>
        <v>6.4853087409999999</v>
      </c>
      <c r="H579" s="1">
        <f>'Unformatted Trip Summary'!H577</f>
        <v>0.30292483749999999</v>
      </c>
    </row>
    <row r="580" spans="1:8" x14ac:dyDescent="0.2">
      <c r="A580" t="str">
        <f>'Unformatted Trip Summary'!A578</f>
        <v>08 MANAWATU-WANGANUI</v>
      </c>
      <c r="B580" t="str">
        <f>'Unformatted Trip Summary'!J578</f>
        <v>2022/23</v>
      </c>
      <c r="C580" t="str">
        <f>'Unformatted Trip Summary'!I578</f>
        <v>Taxi/Vehicle Share</v>
      </c>
      <c r="D580">
        <f>'Unformatted Trip Summary'!D578</f>
        <v>16</v>
      </c>
      <c r="E580">
        <f>'Unformatted Trip Summary'!E578</f>
        <v>32</v>
      </c>
      <c r="F580" s="1">
        <f>'Unformatted Trip Summary'!F578</f>
        <v>1.1040573650000001</v>
      </c>
      <c r="G580" s="1">
        <f>'Unformatted Trip Summary'!G578</f>
        <v>7.7098291944000001</v>
      </c>
      <c r="H580" s="1">
        <f>'Unformatted Trip Summary'!H578</f>
        <v>0.35164711650000002</v>
      </c>
    </row>
    <row r="581" spans="1:8" x14ac:dyDescent="0.2">
      <c r="A581" t="str">
        <f>'Unformatted Trip Summary'!A579</f>
        <v>08 MANAWATU-WANGANUI</v>
      </c>
      <c r="B581" t="str">
        <f>'Unformatted Trip Summary'!J579</f>
        <v>2027/28</v>
      </c>
      <c r="C581" t="str">
        <f>'Unformatted Trip Summary'!I579</f>
        <v>Taxi/Vehicle Share</v>
      </c>
      <c r="D581">
        <f>'Unformatted Trip Summary'!D579</f>
        <v>16</v>
      </c>
      <c r="E581">
        <f>'Unformatted Trip Summary'!E579</f>
        <v>32</v>
      </c>
      <c r="F581" s="1">
        <f>'Unformatted Trip Summary'!F579</f>
        <v>1.0458680064999999</v>
      </c>
      <c r="G581" s="1">
        <f>'Unformatted Trip Summary'!G579</f>
        <v>7.9096511380000001</v>
      </c>
      <c r="H581" s="1">
        <f>'Unformatted Trip Summary'!H579</f>
        <v>0.35395700829999999</v>
      </c>
    </row>
    <row r="582" spans="1:8" x14ac:dyDescent="0.2">
      <c r="A582" t="str">
        <f>'Unformatted Trip Summary'!A580</f>
        <v>08 MANAWATU-WANGANUI</v>
      </c>
      <c r="B582" t="str">
        <f>'Unformatted Trip Summary'!J580</f>
        <v>2032/33</v>
      </c>
      <c r="C582" t="str">
        <f>'Unformatted Trip Summary'!I580</f>
        <v>Taxi/Vehicle Share</v>
      </c>
      <c r="D582">
        <f>'Unformatted Trip Summary'!D580</f>
        <v>16</v>
      </c>
      <c r="E582">
        <f>'Unformatted Trip Summary'!E580</f>
        <v>32</v>
      </c>
      <c r="F582" s="1">
        <f>'Unformatted Trip Summary'!F580</f>
        <v>0.98423749299999996</v>
      </c>
      <c r="G582" s="1">
        <f>'Unformatted Trip Summary'!G580</f>
        <v>8.0022172043000008</v>
      </c>
      <c r="H582" s="1">
        <f>'Unformatted Trip Summary'!H580</f>
        <v>0.35285140850000002</v>
      </c>
    </row>
    <row r="583" spans="1:8" x14ac:dyDescent="0.2">
      <c r="A583" t="str">
        <f>'Unformatted Trip Summary'!A581</f>
        <v>08 MANAWATU-WANGANUI</v>
      </c>
      <c r="B583" t="str">
        <f>'Unformatted Trip Summary'!J581</f>
        <v>2037/38</v>
      </c>
      <c r="C583" t="str">
        <f>'Unformatted Trip Summary'!I581</f>
        <v>Taxi/Vehicle Share</v>
      </c>
      <c r="D583">
        <f>'Unformatted Trip Summary'!D581</f>
        <v>16</v>
      </c>
      <c r="E583">
        <f>'Unformatted Trip Summary'!E581</f>
        <v>32</v>
      </c>
      <c r="F583" s="1">
        <f>'Unformatted Trip Summary'!F581</f>
        <v>0.98584700530000002</v>
      </c>
      <c r="G583" s="1">
        <f>'Unformatted Trip Summary'!G581</f>
        <v>8.5590025595999997</v>
      </c>
      <c r="H583" s="1">
        <f>'Unformatted Trip Summary'!H581</f>
        <v>0.37259602530000002</v>
      </c>
    </row>
    <row r="584" spans="1:8" x14ac:dyDescent="0.2">
      <c r="A584" t="str">
        <f>'Unformatted Trip Summary'!A582</f>
        <v>08 MANAWATU-WANGANUI</v>
      </c>
      <c r="B584" t="str">
        <f>'Unformatted Trip Summary'!J582</f>
        <v>2042/43</v>
      </c>
      <c r="C584" t="str">
        <f>'Unformatted Trip Summary'!I582</f>
        <v>Taxi/Vehicle Share</v>
      </c>
      <c r="D584">
        <f>'Unformatted Trip Summary'!D582</f>
        <v>16</v>
      </c>
      <c r="E584">
        <f>'Unformatted Trip Summary'!E582</f>
        <v>32</v>
      </c>
      <c r="F584" s="1">
        <f>'Unformatted Trip Summary'!F582</f>
        <v>0.99307189650000005</v>
      </c>
      <c r="G584" s="1">
        <f>'Unformatted Trip Summary'!G582</f>
        <v>9.0861207010000005</v>
      </c>
      <c r="H584" s="1">
        <f>'Unformatted Trip Summary'!H582</f>
        <v>0.39167442229999999</v>
      </c>
    </row>
    <row r="585" spans="1:8" x14ac:dyDescent="0.2">
      <c r="A585" t="str">
        <f>'Unformatted Trip Summary'!A583</f>
        <v>08 MANAWATU-WANGANUI</v>
      </c>
      <c r="B585" t="str">
        <f>'Unformatted Trip Summary'!J583</f>
        <v>2012/13</v>
      </c>
      <c r="C585" t="str">
        <f>'Unformatted Trip Summary'!I583</f>
        <v>Motorcyclist</v>
      </c>
      <c r="D585">
        <f>'Unformatted Trip Summary'!D583</f>
        <v>5</v>
      </c>
      <c r="E585">
        <f>'Unformatted Trip Summary'!E583</f>
        <v>19</v>
      </c>
      <c r="F585" s="1">
        <f>'Unformatted Trip Summary'!F583</f>
        <v>0.79000583589999995</v>
      </c>
      <c r="G585" s="1">
        <f>'Unformatted Trip Summary'!G583</f>
        <v>3.8744282972000001</v>
      </c>
      <c r="H585" s="1">
        <f>'Unformatted Trip Summary'!H583</f>
        <v>0.1643149203</v>
      </c>
    </row>
    <row r="586" spans="1:8" x14ac:dyDescent="0.2">
      <c r="A586" t="str">
        <f>'Unformatted Trip Summary'!A584</f>
        <v>08 MANAWATU-WANGANUI</v>
      </c>
      <c r="B586" t="str">
        <f>'Unformatted Trip Summary'!J584</f>
        <v>2017/18</v>
      </c>
      <c r="C586" t="str">
        <f>'Unformatted Trip Summary'!I584</f>
        <v>Motorcyclist</v>
      </c>
      <c r="D586">
        <f>'Unformatted Trip Summary'!D584</f>
        <v>5</v>
      </c>
      <c r="E586">
        <f>'Unformatted Trip Summary'!E584</f>
        <v>19</v>
      </c>
      <c r="F586" s="1">
        <f>'Unformatted Trip Summary'!F584</f>
        <v>0.64176532379999995</v>
      </c>
      <c r="G586" s="1">
        <f>'Unformatted Trip Summary'!G584</f>
        <v>3.8648928841000001</v>
      </c>
      <c r="H586" s="1">
        <f>'Unformatted Trip Summary'!H584</f>
        <v>0.14078471270000001</v>
      </c>
    </row>
    <row r="587" spans="1:8" x14ac:dyDescent="0.2">
      <c r="A587" t="str">
        <f>'Unformatted Trip Summary'!A585</f>
        <v>08 MANAWATU-WANGANUI</v>
      </c>
      <c r="B587" t="str">
        <f>'Unformatted Trip Summary'!J585</f>
        <v>2022/23</v>
      </c>
      <c r="C587" t="str">
        <f>'Unformatted Trip Summary'!I585</f>
        <v>Motorcyclist</v>
      </c>
      <c r="D587">
        <f>'Unformatted Trip Summary'!D585</f>
        <v>5</v>
      </c>
      <c r="E587">
        <f>'Unformatted Trip Summary'!E585</f>
        <v>19</v>
      </c>
      <c r="F587" s="1">
        <f>'Unformatted Trip Summary'!F585</f>
        <v>0.56650435450000003</v>
      </c>
      <c r="G587" s="1">
        <f>'Unformatted Trip Summary'!G585</f>
        <v>4.1787028065999996</v>
      </c>
      <c r="H587" s="1">
        <f>'Unformatted Trip Summary'!H585</f>
        <v>0.13214385449999999</v>
      </c>
    </row>
    <row r="588" spans="1:8" x14ac:dyDescent="0.2">
      <c r="A588" t="str">
        <f>'Unformatted Trip Summary'!A586</f>
        <v>08 MANAWATU-WANGANUI</v>
      </c>
      <c r="B588" t="str">
        <f>'Unformatted Trip Summary'!J586</f>
        <v>2027/28</v>
      </c>
      <c r="C588" t="str">
        <f>'Unformatted Trip Summary'!I586</f>
        <v>Motorcyclist</v>
      </c>
      <c r="D588">
        <f>'Unformatted Trip Summary'!D586</f>
        <v>5</v>
      </c>
      <c r="E588">
        <f>'Unformatted Trip Summary'!E586</f>
        <v>19</v>
      </c>
      <c r="F588" s="1">
        <f>'Unformatted Trip Summary'!F586</f>
        <v>0.45233803490000002</v>
      </c>
      <c r="G588" s="1">
        <f>'Unformatted Trip Summary'!G586</f>
        <v>3.9622549995999998</v>
      </c>
      <c r="H588" s="1">
        <f>'Unformatted Trip Summary'!H586</f>
        <v>0.1119809568</v>
      </c>
    </row>
    <row r="589" spans="1:8" x14ac:dyDescent="0.2">
      <c r="A589" t="str">
        <f>'Unformatted Trip Summary'!A587</f>
        <v>08 MANAWATU-WANGANUI</v>
      </c>
      <c r="B589" t="str">
        <f>'Unformatted Trip Summary'!J587</f>
        <v>2032/33</v>
      </c>
      <c r="C589" t="str">
        <f>'Unformatted Trip Summary'!I587</f>
        <v>Motorcyclist</v>
      </c>
      <c r="D589">
        <f>'Unformatted Trip Summary'!D587</f>
        <v>5</v>
      </c>
      <c r="E589">
        <f>'Unformatted Trip Summary'!E587</f>
        <v>19</v>
      </c>
      <c r="F589" s="1">
        <f>'Unformatted Trip Summary'!F587</f>
        <v>0.3805913038</v>
      </c>
      <c r="G589" s="1">
        <f>'Unformatted Trip Summary'!G587</f>
        <v>3.7119609078</v>
      </c>
      <c r="H589" s="1">
        <f>'Unformatted Trip Summary'!H587</f>
        <v>9.8321050500000007E-2</v>
      </c>
    </row>
    <row r="590" spans="1:8" x14ac:dyDescent="0.2">
      <c r="A590" t="str">
        <f>'Unformatted Trip Summary'!A588</f>
        <v>08 MANAWATU-WANGANUI</v>
      </c>
      <c r="B590" t="str">
        <f>'Unformatted Trip Summary'!J588</f>
        <v>2037/38</v>
      </c>
      <c r="C590" t="str">
        <f>'Unformatted Trip Summary'!I588</f>
        <v>Motorcyclist</v>
      </c>
      <c r="D590">
        <f>'Unformatted Trip Summary'!D588</f>
        <v>5</v>
      </c>
      <c r="E590">
        <f>'Unformatted Trip Summary'!E588</f>
        <v>19</v>
      </c>
      <c r="F590" s="1">
        <f>'Unformatted Trip Summary'!F588</f>
        <v>0.33518286990000001</v>
      </c>
      <c r="G590" s="1">
        <f>'Unformatted Trip Summary'!G588</f>
        <v>3.5263935580000001</v>
      </c>
      <c r="H590" s="1">
        <f>'Unformatted Trip Summary'!H588</f>
        <v>8.9537956200000005E-2</v>
      </c>
    </row>
    <row r="591" spans="1:8" x14ac:dyDescent="0.2">
      <c r="A591" t="str">
        <f>'Unformatted Trip Summary'!A589</f>
        <v>08 MANAWATU-WANGANUI</v>
      </c>
      <c r="B591" t="str">
        <f>'Unformatted Trip Summary'!J589</f>
        <v>2042/43</v>
      </c>
      <c r="C591" t="str">
        <f>'Unformatted Trip Summary'!I589</f>
        <v>Motorcyclist</v>
      </c>
      <c r="D591">
        <f>'Unformatted Trip Summary'!D589</f>
        <v>5</v>
      </c>
      <c r="E591">
        <f>'Unformatted Trip Summary'!E589</f>
        <v>19</v>
      </c>
      <c r="F591" s="1">
        <f>'Unformatted Trip Summary'!F589</f>
        <v>0.29123330730000002</v>
      </c>
      <c r="G591" s="1">
        <f>'Unformatted Trip Summary'!G589</f>
        <v>3.3161715956000002</v>
      </c>
      <c r="H591" s="1">
        <f>'Unformatted Trip Summary'!H589</f>
        <v>8.0655949800000001E-2</v>
      </c>
    </row>
    <row r="592" spans="1:8" x14ac:dyDescent="0.2">
      <c r="A592" t="str">
        <f>'Unformatted Trip Summary'!A590</f>
        <v>08 MANAWATU-WANGANUI</v>
      </c>
      <c r="B592" t="str">
        <f>'Unformatted Trip Summary'!J590</f>
        <v>2012/13</v>
      </c>
      <c r="C592" t="str">
        <f>'Unformatted Trip Summary'!I590</f>
        <v>Local Bus</v>
      </c>
      <c r="D592">
        <f>'Unformatted Trip Summary'!D590</f>
        <v>41</v>
      </c>
      <c r="E592">
        <f>'Unformatted Trip Summary'!E590</f>
        <v>90</v>
      </c>
      <c r="F592" s="1">
        <f>'Unformatted Trip Summary'!F590</f>
        <v>5.2110099151</v>
      </c>
      <c r="G592" s="1">
        <f>'Unformatted Trip Summary'!G590</f>
        <v>39.768452936000003</v>
      </c>
      <c r="H592" s="1">
        <f>'Unformatted Trip Summary'!H590</f>
        <v>1.7349616699999999</v>
      </c>
    </row>
    <row r="593" spans="1:8" x14ac:dyDescent="0.2">
      <c r="A593" t="str">
        <f>'Unformatted Trip Summary'!A591</f>
        <v>08 MANAWATU-WANGANUI</v>
      </c>
      <c r="B593" t="str">
        <f>'Unformatted Trip Summary'!J591</f>
        <v>2017/18</v>
      </c>
      <c r="C593" t="str">
        <f>'Unformatted Trip Summary'!I591</f>
        <v>Local Bus</v>
      </c>
      <c r="D593">
        <f>'Unformatted Trip Summary'!D591</f>
        <v>41</v>
      </c>
      <c r="E593">
        <f>'Unformatted Trip Summary'!E591</f>
        <v>90</v>
      </c>
      <c r="F593" s="1">
        <f>'Unformatted Trip Summary'!F591</f>
        <v>4.3126166013000002</v>
      </c>
      <c r="G593" s="1">
        <f>'Unformatted Trip Summary'!G591</f>
        <v>31.694402836999998</v>
      </c>
      <c r="H593" s="1">
        <f>'Unformatted Trip Summary'!H591</f>
        <v>1.4311430845999999</v>
      </c>
    </row>
    <row r="594" spans="1:8" x14ac:dyDescent="0.2">
      <c r="A594" t="str">
        <f>'Unformatted Trip Summary'!A592</f>
        <v>08 MANAWATU-WANGANUI</v>
      </c>
      <c r="B594" t="str">
        <f>'Unformatted Trip Summary'!J592</f>
        <v>2022/23</v>
      </c>
      <c r="C594" t="str">
        <f>'Unformatted Trip Summary'!I592</f>
        <v>Local Bus</v>
      </c>
      <c r="D594">
        <f>'Unformatted Trip Summary'!D592</f>
        <v>41</v>
      </c>
      <c r="E594">
        <f>'Unformatted Trip Summary'!E592</f>
        <v>90</v>
      </c>
      <c r="F594" s="1">
        <f>'Unformatted Trip Summary'!F592</f>
        <v>3.8923595990000002</v>
      </c>
      <c r="G594" s="1">
        <f>'Unformatted Trip Summary'!G592</f>
        <v>27.914601403999999</v>
      </c>
      <c r="H594" s="1">
        <f>'Unformatted Trip Summary'!H592</f>
        <v>1.2815809909</v>
      </c>
    </row>
    <row r="595" spans="1:8" x14ac:dyDescent="0.2">
      <c r="A595" t="str">
        <f>'Unformatted Trip Summary'!A593</f>
        <v>08 MANAWATU-WANGANUI</v>
      </c>
      <c r="B595" t="str">
        <f>'Unformatted Trip Summary'!J593</f>
        <v>2027/28</v>
      </c>
      <c r="C595" t="str">
        <f>'Unformatted Trip Summary'!I593</f>
        <v>Local Bus</v>
      </c>
      <c r="D595">
        <f>'Unformatted Trip Summary'!D593</f>
        <v>41</v>
      </c>
      <c r="E595">
        <f>'Unformatted Trip Summary'!E593</f>
        <v>90</v>
      </c>
      <c r="F595" s="1">
        <f>'Unformatted Trip Summary'!F593</f>
        <v>3.4443131826000002</v>
      </c>
      <c r="G595" s="1">
        <f>'Unformatted Trip Summary'!G593</f>
        <v>24.353701634</v>
      </c>
      <c r="H595" s="1">
        <f>'Unformatted Trip Summary'!H593</f>
        <v>1.1177029573999999</v>
      </c>
    </row>
    <row r="596" spans="1:8" x14ac:dyDescent="0.2">
      <c r="A596" t="str">
        <f>'Unformatted Trip Summary'!A594</f>
        <v>08 MANAWATU-WANGANUI</v>
      </c>
      <c r="B596" t="str">
        <f>'Unformatted Trip Summary'!J594</f>
        <v>2032/33</v>
      </c>
      <c r="C596" t="str">
        <f>'Unformatted Trip Summary'!I594</f>
        <v>Local Bus</v>
      </c>
      <c r="D596">
        <f>'Unformatted Trip Summary'!D594</f>
        <v>41</v>
      </c>
      <c r="E596">
        <f>'Unformatted Trip Summary'!E594</f>
        <v>90</v>
      </c>
      <c r="F596" s="1">
        <f>'Unformatted Trip Summary'!F594</f>
        <v>3.0860643437999999</v>
      </c>
      <c r="G596" s="1">
        <f>'Unformatted Trip Summary'!G594</f>
        <v>21.535918241000001</v>
      </c>
      <c r="H596" s="1">
        <f>'Unformatted Trip Summary'!H594</f>
        <v>0.99348433169999995</v>
      </c>
    </row>
    <row r="597" spans="1:8" x14ac:dyDescent="0.2">
      <c r="A597" t="str">
        <f>'Unformatted Trip Summary'!A595</f>
        <v>08 MANAWATU-WANGANUI</v>
      </c>
      <c r="B597" t="str">
        <f>'Unformatted Trip Summary'!J595</f>
        <v>2037/38</v>
      </c>
      <c r="C597" t="str">
        <f>'Unformatted Trip Summary'!I595</f>
        <v>Local Bus</v>
      </c>
      <c r="D597">
        <f>'Unformatted Trip Summary'!D595</f>
        <v>41</v>
      </c>
      <c r="E597">
        <f>'Unformatted Trip Summary'!E595</f>
        <v>90</v>
      </c>
      <c r="F597" s="1">
        <f>'Unformatted Trip Summary'!F595</f>
        <v>2.7663440989999999</v>
      </c>
      <c r="G597" s="1">
        <f>'Unformatted Trip Summary'!G595</f>
        <v>19.159372230999999</v>
      </c>
      <c r="H597" s="1">
        <f>'Unformatted Trip Summary'!H595</f>
        <v>0.8744608532</v>
      </c>
    </row>
    <row r="598" spans="1:8" x14ac:dyDescent="0.2">
      <c r="A598" t="str">
        <f>'Unformatted Trip Summary'!A596</f>
        <v>08 MANAWATU-WANGANUI</v>
      </c>
      <c r="B598" t="str">
        <f>'Unformatted Trip Summary'!J596</f>
        <v>2042/43</v>
      </c>
      <c r="C598" t="str">
        <f>'Unformatted Trip Summary'!I596</f>
        <v>Local Bus</v>
      </c>
      <c r="D598">
        <f>'Unformatted Trip Summary'!D596</f>
        <v>41</v>
      </c>
      <c r="E598">
        <f>'Unformatted Trip Summary'!E596</f>
        <v>90</v>
      </c>
      <c r="F598" s="1">
        <f>'Unformatted Trip Summary'!F596</f>
        <v>2.4487108268000002</v>
      </c>
      <c r="G598" s="1">
        <f>'Unformatted Trip Summary'!G596</f>
        <v>17.011265295000001</v>
      </c>
      <c r="H598" s="1">
        <f>'Unformatted Trip Summary'!H596</f>
        <v>0.76216989420000003</v>
      </c>
    </row>
    <row r="599" spans="1:8" x14ac:dyDescent="0.2">
      <c r="A599" t="str">
        <f>'Unformatted Trip Summary'!A597</f>
        <v>08 MANAWATU-WANGANUI</v>
      </c>
      <c r="B599" t="str">
        <f>'Unformatted Trip Summary'!J597</f>
        <v>2012/13</v>
      </c>
      <c r="C599" t="str">
        <f>'Unformatted Trip Summary'!I597</f>
        <v>Local Ferry</v>
      </c>
      <c r="D599">
        <f>'Unformatted Trip Summary'!D597</f>
        <v>2</v>
      </c>
      <c r="E599">
        <f>'Unformatted Trip Summary'!E597</f>
        <v>4</v>
      </c>
      <c r="F599" s="1">
        <f>'Unformatted Trip Summary'!F597</f>
        <v>0.1068619116</v>
      </c>
      <c r="G599" s="1">
        <f>'Unformatted Trip Summary'!G597</f>
        <v>0</v>
      </c>
      <c r="H599" s="1">
        <f>'Unformatted Trip Summary'!H597</f>
        <v>1.3357739E-2</v>
      </c>
    </row>
    <row r="600" spans="1:8" x14ac:dyDescent="0.2">
      <c r="A600" t="str">
        <f>'Unformatted Trip Summary'!A598</f>
        <v>08 MANAWATU-WANGANUI</v>
      </c>
      <c r="B600" t="str">
        <f>'Unformatted Trip Summary'!J598</f>
        <v>2017/18</v>
      </c>
      <c r="C600" t="str">
        <f>'Unformatted Trip Summary'!I598</f>
        <v>Local Ferry</v>
      </c>
      <c r="D600">
        <f>'Unformatted Trip Summary'!D598</f>
        <v>2</v>
      </c>
      <c r="E600">
        <f>'Unformatted Trip Summary'!E598</f>
        <v>4</v>
      </c>
      <c r="F600" s="1">
        <f>'Unformatted Trip Summary'!F598</f>
        <v>0.1060596151</v>
      </c>
      <c r="G600" s="1">
        <f>'Unformatted Trip Summary'!G598</f>
        <v>0</v>
      </c>
      <c r="H600" s="1">
        <f>'Unformatted Trip Summary'!H598</f>
        <v>1.32574519E-2</v>
      </c>
    </row>
    <row r="601" spans="1:8" x14ac:dyDescent="0.2">
      <c r="A601" t="str">
        <f>'Unformatted Trip Summary'!A599</f>
        <v>08 MANAWATU-WANGANUI</v>
      </c>
      <c r="B601" t="str">
        <f>'Unformatted Trip Summary'!J599</f>
        <v>2022/23</v>
      </c>
      <c r="C601" t="str">
        <f>'Unformatted Trip Summary'!I599</f>
        <v>Local Ferry</v>
      </c>
      <c r="D601">
        <f>'Unformatted Trip Summary'!D599</f>
        <v>2</v>
      </c>
      <c r="E601">
        <f>'Unformatted Trip Summary'!E599</f>
        <v>4</v>
      </c>
      <c r="F601" s="1">
        <f>'Unformatted Trip Summary'!F599</f>
        <v>0.1141237985</v>
      </c>
      <c r="G601" s="1">
        <f>'Unformatted Trip Summary'!G599</f>
        <v>0</v>
      </c>
      <c r="H601" s="1">
        <f>'Unformatted Trip Summary'!H599</f>
        <v>1.42654748E-2</v>
      </c>
    </row>
    <row r="602" spans="1:8" x14ac:dyDescent="0.2">
      <c r="A602" t="str">
        <f>'Unformatted Trip Summary'!A600</f>
        <v>08 MANAWATU-WANGANUI</v>
      </c>
      <c r="B602" t="str">
        <f>'Unformatted Trip Summary'!J600</f>
        <v>2027/28</v>
      </c>
      <c r="C602" t="str">
        <f>'Unformatted Trip Summary'!I600</f>
        <v>Local Ferry</v>
      </c>
      <c r="D602">
        <f>'Unformatted Trip Summary'!D600</f>
        <v>2</v>
      </c>
      <c r="E602">
        <f>'Unformatted Trip Summary'!E600</f>
        <v>4</v>
      </c>
      <c r="F602" s="1">
        <f>'Unformatted Trip Summary'!F600</f>
        <v>0.1197609025</v>
      </c>
      <c r="G602" s="1">
        <f>'Unformatted Trip Summary'!G600</f>
        <v>0</v>
      </c>
      <c r="H602" s="1">
        <f>'Unformatted Trip Summary'!H600</f>
        <v>1.4970112799999999E-2</v>
      </c>
    </row>
    <row r="603" spans="1:8" x14ac:dyDescent="0.2">
      <c r="A603" t="str">
        <f>'Unformatted Trip Summary'!A601</f>
        <v>08 MANAWATU-WANGANUI</v>
      </c>
      <c r="B603" t="str">
        <f>'Unformatted Trip Summary'!J601</f>
        <v>2032/33</v>
      </c>
      <c r="C603" t="str">
        <f>'Unformatted Trip Summary'!I601</f>
        <v>Local Ferry</v>
      </c>
      <c r="D603">
        <f>'Unformatted Trip Summary'!D601</f>
        <v>2</v>
      </c>
      <c r="E603">
        <f>'Unformatted Trip Summary'!E601</f>
        <v>4</v>
      </c>
      <c r="F603" s="1">
        <f>'Unformatted Trip Summary'!F601</f>
        <v>0.11512448760000001</v>
      </c>
      <c r="G603" s="1">
        <f>'Unformatted Trip Summary'!G601</f>
        <v>0</v>
      </c>
      <c r="H603" s="1">
        <f>'Unformatted Trip Summary'!H601</f>
        <v>1.4390561E-2</v>
      </c>
    </row>
    <row r="604" spans="1:8" x14ac:dyDescent="0.2">
      <c r="A604" t="str">
        <f>'Unformatted Trip Summary'!A602</f>
        <v>08 MANAWATU-WANGANUI</v>
      </c>
      <c r="B604" t="str">
        <f>'Unformatted Trip Summary'!J602</f>
        <v>2037/38</v>
      </c>
      <c r="C604" t="str">
        <f>'Unformatted Trip Summary'!I602</f>
        <v>Local Ferry</v>
      </c>
      <c r="D604">
        <f>'Unformatted Trip Summary'!D602</f>
        <v>2</v>
      </c>
      <c r="E604">
        <f>'Unformatted Trip Summary'!E602</f>
        <v>4</v>
      </c>
      <c r="F604" s="1">
        <f>'Unformatted Trip Summary'!F602</f>
        <v>0.104391755</v>
      </c>
      <c r="G604" s="1">
        <f>'Unformatted Trip Summary'!G602</f>
        <v>0</v>
      </c>
      <c r="H604" s="1">
        <f>'Unformatted Trip Summary'!H602</f>
        <v>1.3048969400000001E-2</v>
      </c>
    </row>
    <row r="605" spans="1:8" x14ac:dyDescent="0.2">
      <c r="A605" t="str">
        <f>'Unformatted Trip Summary'!A603</f>
        <v>08 MANAWATU-WANGANUI</v>
      </c>
      <c r="B605" t="str">
        <f>'Unformatted Trip Summary'!J603</f>
        <v>2042/43</v>
      </c>
      <c r="C605" t="str">
        <f>'Unformatted Trip Summary'!I603</f>
        <v>Local Ferry</v>
      </c>
      <c r="D605">
        <f>'Unformatted Trip Summary'!D603</f>
        <v>2</v>
      </c>
      <c r="E605">
        <f>'Unformatted Trip Summary'!E603</f>
        <v>4</v>
      </c>
      <c r="F605" s="1">
        <f>'Unformatted Trip Summary'!F603</f>
        <v>9.2469770399999998E-2</v>
      </c>
      <c r="G605" s="1">
        <f>'Unformatted Trip Summary'!G603</f>
        <v>0</v>
      </c>
      <c r="H605" s="1">
        <f>'Unformatted Trip Summary'!H603</f>
        <v>1.15587213E-2</v>
      </c>
    </row>
    <row r="606" spans="1:8" x14ac:dyDescent="0.2">
      <c r="A606" t="str">
        <f>'Unformatted Trip Summary'!A604</f>
        <v>08 MANAWATU-WANGANUI</v>
      </c>
      <c r="B606" t="str">
        <f>'Unformatted Trip Summary'!J604</f>
        <v>2012/13</v>
      </c>
      <c r="C606" t="str">
        <f>'Unformatted Trip Summary'!I604</f>
        <v>Other Household Travel</v>
      </c>
      <c r="D606">
        <f>'Unformatted Trip Summary'!D604</f>
        <v>2</v>
      </c>
      <c r="E606">
        <f>'Unformatted Trip Summary'!E604</f>
        <v>5</v>
      </c>
      <c r="F606" s="1">
        <f>'Unformatted Trip Summary'!F604</f>
        <v>0.24513607779999999</v>
      </c>
      <c r="G606" s="1">
        <f>'Unformatted Trip Summary'!G604</f>
        <v>0</v>
      </c>
      <c r="H606" s="1">
        <f>'Unformatted Trip Summary'!H604</f>
        <v>3.9735238899999997E-2</v>
      </c>
    </row>
    <row r="607" spans="1:8" x14ac:dyDescent="0.2">
      <c r="A607" t="str">
        <f>'Unformatted Trip Summary'!A605</f>
        <v>08 MANAWATU-WANGANUI</v>
      </c>
      <c r="B607" t="str">
        <f>'Unformatted Trip Summary'!J605</f>
        <v>2017/18</v>
      </c>
      <c r="C607" t="str">
        <f>'Unformatted Trip Summary'!I605</f>
        <v>Other Household Travel</v>
      </c>
      <c r="D607">
        <f>'Unformatted Trip Summary'!D605</f>
        <v>2</v>
      </c>
      <c r="E607">
        <f>'Unformatted Trip Summary'!E605</f>
        <v>5</v>
      </c>
      <c r="F607" s="1">
        <f>'Unformatted Trip Summary'!F605</f>
        <v>0.2046765639</v>
      </c>
      <c r="G607" s="1">
        <f>'Unformatted Trip Summary'!G605</f>
        <v>0</v>
      </c>
      <c r="H607" s="1">
        <f>'Unformatted Trip Summary'!H605</f>
        <v>3.3104125999999998E-2</v>
      </c>
    </row>
    <row r="608" spans="1:8" x14ac:dyDescent="0.2">
      <c r="A608" t="str">
        <f>'Unformatted Trip Summary'!A606</f>
        <v>08 MANAWATU-WANGANUI</v>
      </c>
      <c r="B608" t="str">
        <f>'Unformatted Trip Summary'!J606</f>
        <v>2022/23</v>
      </c>
      <c r="C608" t="str">
        <f>'Unformatted Trip Summary'!I606</f>
        <v>Other Household Travel</v>
      </c>
      <c r="D608">
        <f>'Unformatted Trip Summary'!D606</f>
        <v>2</v>
      </c>
      <c r="E608">
        <f>'Unformatted Trip Summary'!E606</f>
        <v>5</v>
      </c>
      <c r="F608" s="1">
        <f>'Unformatted Trip Summary'!F606</f>
        <v>0.1765352798</v>
      </c>
      <c r="G608" s="1">
        <f>'Unformatted Trip Summary'!G606</f>
        <v>0</v>
      </c>
      <c r="H608" s="1">
        <f>'Unformatted Trip Summary'!H606</f>
        <v>2.7887338399999999E-2</v>
      </c>
    </row>
    <row r="609" spans="1:8" x14ac:dyDescent="0.2">
      <c r="A609" t="str">
        <f>'Unformatted Trip Summary'!A607</f>
        <v>08 MANAWATU-WANGANUI</v>
      </c>
      <c r="B609" t="str">
        <f>'Unformatted Trip Summary'!J607</f>
        <v>2027/28</v>
      </c>
      <c r="C609" t="str">
        <f>'Unformatted Trip Summary'!I607</f>
        <v>Other Household Travel</v>
      </c>
      <c r="D609">
        <f>'Unformatted Trip Summary'!D607</f>
        <v>2</v>
      </c>
      <c r="E609">
        <f>'Unformatted Trip Summary'!E607</f>
        <v>5</v>
      </c>
      <c r="F609" s="1">
        <f>'Unformatted Trip Summary'!F607</f>
        <v>0.13955092429999999</v>
      </c>
      <c r="G609" s="1">
        <f>'Unformatted Trip Summary'!G607</f>
        <v>0</v>
      </c>
      <c r="H609" s="1">
        <f>'Unformatted Trip Summary'!H607</f>
        <v>2.2200393799999999E-2</v>
      </c>
    </row>
    <row r="610" spans="1:8" x14ac:dyDescent="0.2">
      <c r="A610" t="str">
        <f>'Unformatted Trip Summary'!A608</f>
        <v>08 MANAWATU-WANGANUI</v>
      </c>
      <c r="B610" t="str">
        <f>'Unformatted Trip Summary'!J608</f>
        <v>2032/33</v>
      </c>
      <c r="C610" t="str">
        <f>'Unformatted Trip Summary'!I608</f>
        <v>Other Household Travel</v>
      </c>
      <c r="D610">
        <f>'Unformatted Trip Summary'!D608</f>
        <v>2</v>
      </c>
      <c r="E610">
        <f>'Unformatted Trip Summary'!E608</f>
        <v>5</v>
      </c>
      <c r="F610" s="1">
        <f>'Unformatted Trip Summary'!F608</f>
        <v>0.1121803626</v>
      </c>
      <c r="G610" s="1">
        <f>'Unformatted Trip Summary'!G608</f>
        <v>0</v>
      </c>
      <c r="H610" s="1">
        <f>'Unformatted Trip Summary'!H608</f>
        <v>1.8029578099999999E-2</v>
      </c>
    </row>
    <row r="611" spans="1:8" x14ac:dyDescent="0.2">
      <c r="A611" t="str">
        <f>'Unformatted Trip Summary'!A609</f>
        <v>08 MANAWATU-WANGANUI</v>
      </c>
      <c r="B611" t="str">
        <f>'Unformatted Trip Summary'!J609</f>
        <v>2037/38</v>
      </c>
      <c r="C611" t="str">
        <f>'Unformatted Trip Summary'!I609</f>
        <v>Other Household Travel</v>
      </c>
      <c r="D611">
        <f>'Unformatted Trip Summary'!D609</f>
        <v>2</v>
      </c>
      <c r="E611">
        <f>'Unformatted Trip Summary'!E609</f>
        <v>5</v>
      </c>
      <c r="F611" s="1">
        <f>'Unformatted Trip Summary'!F609</f>
        <v>8.7030184100000005E-2</v>
      </c>
      <c r="G611" s="1">
        <f>'Unformatted Trip Summary'!G609</f>
        <v>0</v>
      </c>
      <c r="H611" s="1">
        <f>'Unformatted Trip Summary'!H609</f>
        <v>1.43730627E-2</v>
      </c>
    </row>
    <row r="612" spans="1:8" x14ac:dyDescent="0.2">
      <c r="A612" t="str">
        <f>'Unformatted Trip Summary'!A610</f>
        <v>08 MANAWATU-WANGANUI</v>
      </c>
      <c r="B612" t="str">
        <f>'Unformatted Trip Summary'!J610</f>
        <v>2042/43</v>
      </c>
      <c r="C612" t="str">
        <f>'Unformatted Trip Summary'!I610</f>
        <v>Other Household Travel</v>
      </c>
      <c r="D612">
        <f>'Unformatted Trip Summary'!D610</f>
        <v>2</v>
      </c>
      <c r="E612">
        <f>'Unformatted Trip Summary'!E610</f>
        <v>5</v>
      </c>
      <c r="F612" s="1">
        <f>'Unformatted Trip Summary'!F610</f>
        <v>6.5350691799999999E-2</v>
      </c>
      <c r="G612" s="1">
        <f>'Unformatted Trip Summary'!G610</f>
        <v>0</v>
      </c>
      <c r="H612" s="1">
        <f>'Unformatted Trip Summary'!H610</f>
        <v>1.1172613600000001E-2</v>
      </c>
    </row>
    <row r="613" spans="1:8" x14ac:dyDescent="0.2">
      <c r="A613" t="str">
        <f>'Unformatted Trip Summary'!A611</f>
        <v>08 MANAWATU-WANGANUI</v>
      </c>
      <c r="B613" t="str">
        <f>'Unformatted Trip Summary'!J611</f>
        <v>2012/13</v>
      </c>
      <c r="C613" t="str">
        <f>'Unformatted Trip Summary'!I611</f>
        <v>Air/Non-Local PT</v>
      </c>
      <c r="D613">
        <f>'Unformatted Trip Summary'!D611</f>
        <v>7</v>
      </c>
      <c r="E613">
        <f>'Unformatted Trip Summary'!E611</f>
        <v>9</v>
      </c>
      <c r="F613" s="1">
        <f>'Unformatted Trip Summary'!F611</f>
        <v>0.39226351739999998</v>
      </c>
      <c r="G613" s="1">
        <f>'Unformatted Trip Summary'!G611</f>
        <v>21.972430028000002</v>
      </c>
      <c r="H613" s="1">
        <f>'Unformatted Trip Summary'!H611</f>
        <v>0.73590853769999998</v>
      </c>
    </row>
    <row r="614" spans="1:8" x14ac:dyDescent="0.2">
      <c r="A614" t="str">
        <f>'Unformatted Trip Summary'!A612</f>
        <v>08 MANAWATU-WANGANUI</v>
      </c>
      <c r="B614" t="str">
        <f>'Unformatted Trip Summary'!J612</f>
        <v>2017/18</v>
      </c>
      <c r="C614" t="str">
        <f>'Unformatted Trip Summary'!I612</f>
        <v>Air/Non-Local PT</v>
      </c>
      <c r="D614">
        <f>'Unformatted Trip Summary'!D612</f>
        <v>7</v>
      </c>
      <c r="E614">
        <f>'Unformatted Trip Summary'!E612</f>
        <v>9</v>
      </c>
      <c r="F614" s="1">
        <f>'Unformatted Trip Summary'!F612</f>
        <v>0.45930285300000001</v>
      </c>
      <c r="G614" s="1">
        <f>'Unformatted Trip Summary'!G612</f>
        <v>23.050249677</v>
      </c>
      <c r="H614" s="1">
        <f>'Unformatted Trip Summary'!H612</f>
        <v>0.82246605510000004</v>
      </c>
    </row>
    <row r="615" spans="1:8" x14ac:dyDescent="0.2">
      <c r="A615" t="str">
        <f>'Unformatted Trip Summary'!A613</f>
        <v>08 MANAWATU-WANGANUI</v>
      </c>
      <c r="B615" t="str">
        <f>'Unformatted Trip Summary'!J613</f>
        <v>2022/23</v>
      </c>
      <c r="C615" t="str">
        <f>'Unformatted Trip Summary'!I613</f>
        <v>Air/Non-Local PT</v>
      </c>
      <c r="D615">
        <f>'Unformatted Trip Summary'!D613</f>
        <v>7</v>
      </c>
      <c r="E615">
        <f>'Unformatted Trip Summary'!E613</f>
        <v>9</v>
      </c>
      <c r="F615" s="1">
        <f>'Unformatted Trip Summary'!F613</f>
        <v>0.57419239730000005</v>
      </c>
      <c r="G615" s="1">
        <f>'Unformatted Trip Summary'!G613</f>
        <v>25.860268151</v>
      </c>
      <c r="H615" s="1">
        <f>'Unformatted Trip Summary'!H613</f>
        <v>1.0002201359</v>
      </c>
    </row>
    <row r="616" spans="1:8" x14ac:dyDescent="0.2">
      <c r="A616" t="str">
        <f>'Unformatted Trip Summary'!A614</f>
        <v>08 MANAWATU-WANGANUI</v>
      </c>
      <c r="B616" t="str">
        <f>'Unformatted Trip Summary'!J614</f>
        <v>2027/28</v>
      </c>
      <c r="C616" t="str">
        <f>'Unformatted Trip Summary'!I614</f>
        <v>Air/Non-Local PT</v>
      </c>
      <c r="D616">
        <f>'Unformatted Trip Summary'!D614</f>
        <v>7</v>
      </c>
      <c r="E616">
        <f>'Unformatted Trip Summary'!E614</f>
        <v>9</v>
      </c>
      <c r="F616" s="1">
        <f>'Unformatted Trip Summary'!F614</f>
        <v>0.65480474580000003</v>
      </c>
      <c r="G616" s="1">
        <f>'Unformatted Trip Summary'!G614</f>
        <v>28.364491792999999</v>
      </c>
      <c r="H616" s="1">
        <f>'Unformatted Trip Summary'!H614</f>
        <v>1.1513599754999999</v>
      </c>
    </row>
    <row r="617" spans="1:8" x14ac:dyDescent="0.2">
      <c r="A617" t="str">
        <f>'Unformatted Trip Summary'!A615</f>
        <v>08 MANAWATU-WANGANUI</v>
      </c>
      <c r="B617" t="str">
        <f>'Unformatted Trip Summary'!J615</f>
        <v>2032/33</v>
      </c>
      <c r="C617" t="str">
        <f>'Unformatted Trip Summary'!I615</f>
        <v>Air/Non-Local PT</v>
      </c>
      <c r="D617">
        <f>'Unformatted Trip Summary'!D615</f>
        <v>7</v>
      </c>
      <c r="E617">
        <f>'Unformatted Trip Summary'!E615</f>
        <v>9</v>
      </c>
      <c r="F617" s="1">
        <f>'Unformatted Trip Summary'!F615</f>
        <v>0.71538816910000003</v>
      </c>
      <c r="G617" s="1">
        <f>'Unformatted Trip Summary'!G615</f>
        <v>28.506266888999999</v>
      </c>
      <c r="H617" s="1">
        <f>'Unformatted Trip Summary'!H615</f>
        <v>1.2536040751999999</v>
      </c>
    </row>
    <row r="618" spans="1:8" x14ac:dyDescent="0.2">
      <c r="A618" t="str">
        <f>'Unformatted Trip Summary'!A616</f>
        <v>08 MANAWATU-WANGANUI</v>
      </c>
      <c r="B618" t="str">
        <f>'Unformatted Trip Summary'!J616</f>
        <v>2037/38</v>
      </c>
      <c r="C618" t="str">
        <f>'Unformatted Trip Summary'!I616</f>
        <v>Air/Non-Local PT</v>
      </c>
      <c r="D618">
        <f>'Unformatted Trip Summary'!D616</f>
        <v>7</v>
      </c>
      <c r="E618">
        <f>'Unformatted Trip Summary'!E616</f>
        <v>9</v>
      </c>
      <c r="F618" s="1">
        <f>'Unformatted Trip Summary'!F616</f>
        <v>0.75203562950000002</v>
      </c>
      <c r="G618" s="1">
        <f>'Unformatted Trip Summary'!G616</f>
        <v>25.578171831999999</v>
      </c>
      <c r="H618" s="1">
        <f>'Unformatted Trip Summary'!H616</f>
        <v>1.2697856492999999</v>
      </c>
    </row>
    <row r="619" spans="1:8" x14ac:dyDescent="0.2">
      <c r="A619" t="str">
        <f>'Unformatted Trip Summary'!A617</f>
        <v>08 MANAWATU-WANGANUI</v>
      </c>
      <c r="B619" t="str">
        <f>'Unformatted Trip Summary'!J617</f>
        <v>2042/43</v>
      </c>
      <c r="C619" t="str">
        <f>'Unformatted Trip Summary'!I617</f>
        <v>Air/Non-Local PT</v>
      </c>
      <c r="D619">
        <f>'Unformatted Trip Summary'!D617</f>
        <v>7</v>
      </c>
      <c r="E619">
        <f>'Unformatted Trip Summary'!E617</f>
        <v>9</v>
      </c>
      <c r="F619" s="1">
        <f>'Unformatted Trip Summary'!F617</f>
        <v>0.78458561709999997</v>
      </c>
      <c r="G619" s="1">
        <f>'Unformatted Trip Summary'!G617</f>
        <v>22.36289966</v>
      </c>
      <c r="H619" s="1">
        <f>'Unformatted Trip Summary'!H617</f>
        <v>1.2758726060000001</v>
      </c>
    </row>
    <row r="620" spans="1:8" x14ac:dyDescent="0.2">
      <c r="A620" t="str">
        <f>'Unformatted Trip Summary'!A618</f>
        <v>08 MANAWATU-WANGANUI</v>
      </c>
      <c r="B620" t="str">
        <f>'Unformatted Trip Summary'!J618</f>
        <v>2012/13</v>
      </c>
      <c r="C620" t="str">
        <f>'Unformatted Trip Summary'!I618</f>
        <v>Non-Household Travel</v>
      </c>
      <c r="D620">
        <f>'Unformatted Trip Summary'!D618</f>
        <v>12</v>
      </c>
      <c r="E620">
        <f>'Unformatted Trip Summary'!E618</f>
        <v>37</v>
      </c>
      <c r="F620" s="1">
        <f>'Unformatted Trip Summary'!F618</f>
        <v>1.6982787315000001</v>
      </c>
      <c r="G620" s="1">
        <f>'Unformatted Trip Summary'!G618</f>
        <v>38.826541556000002</v>
      </c>
      <c r="H620" s="1">
        <f>'Unformatted Trip Summary'!H618</f>
        <v>0.76899050189999996</v>
      </c>
    </row>
    <row r="621" spans="1:8" x14ac:dyDescent="0.2">
      <c r="A621" t="str">
        <f>'Unformatted Trip Summary'!A619</f>
        <v>08 MANAWATU-WANGANUI</v>
      </c>
      <c r="B621" t="str">
        <f>'Unformatted Trip Summary'!J619</f>
        <v>2017/18</v>
      </c>
      <c r="C621" t="str">
        <f>'Unformatted Trip Summary'!I619</f>
        <v>Non-Household Travel</v>
      </c>
      <c r="D621">
        <f>'Unformatted Trip Summary'!D619</f>
        <v>12</v>
      </c>
      <c r="E621">
        <f>'Unformatted Trip Summary'!E619</f>
        <v>37</v>
      </c>
      <c r="F621" s="1">
        <f>'Unformatted Trip Summary'!F619</f>
        <v>1.578165504</v>
      </c>
      <c r="G621" s="1">
        <f>'Unformatted Trip Summary'!G619</f>
        <v>35.824974361000002</v>
      </c>
      <c r="H621" s="1">
        <f>'Unformatted Trip Summary'!H619</f>
        <v>0.7224841353</v>
      </c>
    </row>
    <row r="622" spans="1:8" x14ac:dyDescent="0.2">
      <c r="A622" t="str">
        <f>'Unformatted Trip Summary'!A620</f>
        <v>08 MANAWATU-WANGANUI</v>
      </c>
      <c r="B622" t="str">
        <f>'Unformatted Trip Summary'!J620</f>
        <v>2022/23</v>
      </c>
      <c r="C622" t="str">
        <f>'Unformatted Trip Summary'!I620</f>
        <v>Non-Household Travel</v>
      </c>
      <c r="D622">
        <f>'Unformatted Trip Summary'!D620</f>
        <v>12</v>
      </c>
      <c r="E622">
        <f>'Unformatted Trip Summary'!E620</f>
        <v>37</v>
      </c>
      <c r="F622" s="1">
        <f>'Unformatted Trip Summary'!F620</f>
        <v>1.6514728424</v>
      </c>
      <c r="G622" s="1">
        <f>'Unformatted Trip Summary'!G620</f>
        <v>37.824670009000002</v>
      </c>
      <c r="H622" s="1">
        <f>'Unformatted Trip Summary'!H620</f>
        <v>0.77048099889999999</v>
      </c>
    </row>
    <row r="623" spans="1:8" x14ac:dyDescent="0.2">
      <c r="A623" t="str">
        <f>'Unformatted Trip Summary'!A621</f>
        <v>08 MANAWATU-WANGANUI</v>
      </c>
      <c r="B623" t="str">
        <f>'Unformatted Trip Summary'!J621</f>
        <v>2027/28</v>
      </c>
      <c r="C623" t="str">
        <f>'Unformatted Trip Summary'!I621</f>
        <v>Non-Household Travel</v>
      </c>
      <c r="D623">
        <f>'Unformatted Trip Summary'!D621</f>
        <v>12</v>
      </c>
      <c r="E623">
        <f>'Unformatted Trip Summary'!E621</f>
        <v>37</v>
      </c>
      <c r="F623" s="1">
        <f>'Unformatted Trip Summary'!F621</f>
        <v>1.6762303526</v>
      </c>
      <c r="G623" s="1">
        <f>'Unformatted Trip Summary'!G621</f>
        <v>39.342611968</v>
      </c>
      <c r="H623" s="1">
        <f>'Unformatted Trip Summary'!H621</f>
        <v>0.79717298510000001</v>
      </c>
    </row>
    <row r="624" spans="1:8" x14ac:dyDescent="0.2">
      <c r="A624" t="str">
        <f>'Unformatted Trip Summary'!A622</f>
        <v>08 MANAWATU-WANGANUI</v>
      </c>
      <c r="B624" t="str">
        <f>'Unformatted Trip Summary'!J622</f>
        <v>2032/33</v>
      </c>
      <c r="C624" t="str">
        <f>'Unformatted Trip Summary'!I622</f>
        <v>Non-Household Travel</v>
      </c>
      <c r="D624">
        <f>'Unformatted Trip Summary'!D622</f>
        <v>12</v>
      </c>
      <c r="E624">
        <f>'Unformatted Trip Summary'!E622</f>
        <v>37</v>
      </c>
      <c r="F624" s="1">
        <f>'Unformatted Trip Summary'!F622</f>
        <v>1.6433430725</v>
      </c>
      <c r="G624" s="1">
        <f>'Unformatted Trip Summary'!G622</f>
        <v>40.62039309</v>
      </c>
      <c r="H624" s="1">
        <f>'Unformatted Trip Summary'!H622</f>
        <v>0.80991094850000001</v>
      </c>
    </row>
    <row r="625" spans="1:8" x14ac:dyDescent="0.2">
      <c r="A625" t="str">
        <f>'Unformatted Trip Summary'!A623</f>
        <v>08 MANAWATU-WANGANUI</v>
      </c>
      <c r="B625" t="str">
        <f>'Unformatted Trip Summary'!J623</f>
        <v>2037/38</v>
      </c>
      <c r="C625" t="str">
        <f>'Unformatted Trip Summary'!I623</f>
        <v>Non-Household Travel</v>
      </c>
      <c r="D625">
        <f>'Unformatted Trip Summary'!D623</f>
        <v>12</v>
      </c>
      <c r="E625">
        <f>'Unformatted Trip Summary'!E623</f>
        <v>37</v>
      </c>
      <c r="F625" s="1">
        <f>'Unformatted Trip Summary'!F623</f>
        <v>1.5718071697</v>
      </c>
      <c r="G625" s="1">
        <f>'Unformatted Trip Summary'!G623</f>
        <v>40.124336606</v>
      </c>
      <c r="H625" s="1">
        <f>'Unformatted Trip Summary'!H623</f>
        <v>0.79220111289999995</v>
      </c>
    </row>
    <row r="626" spans="1:8" x14ac:dyDescent="0.2">
      <c r="A626" t="str">
        <f>'Unformatted Trip Summary'!A624</f>
        <v>08 MANAWATU-WANGANUI</v>
      </c>
      <c r="B626" t="str">
        <f>'Unformatted Trip Summary'!J624</f>
        <v>2042/43</v>
      </c>
      <c r="C626" t="str">
        <f>'Unformatted Trip Summary'!I624</f>
        <v>Non-Household Travel</v>
      </c>
      <c r="D626">
        <f>'Unformatted Trip Summary'!D624</f>
        <v>12</v>
      </c>
      <c r="E626">
        <f>'Unformatted Trip Summary'!E624</f>
        <v>37</v>
      </c>
      <c r="F626" s="1">
        <f>'Unformatted Trip Summary'!F624</f>
        <v>1.4882751776000001</v>
      </c>
      <c r="G626" s="1">
        <f>'Unformatted Trip Summary'!G624</f>
        <v>39.389277620999998</v>
      </c>
      <c r="H626" s="1">
        <f>'Unformatted Trip Summary'!H624</f>
        <v>0.76940907960000005</v>
      </c>
    </row>
    <row r="627" spans="1:8" x14ac:dyDescent="0.2">
      <c r="A627" t="str">
        <f>'Unformatted Trip Summary'!A625</f>
        <v>09 WELLINGTON</v>
      </c>
      <c r="B627" t="str">
        <f>'Unformatted Trip Summary'!J625</f>
        <v>2012/13</v>
      </c>
      <c r="C627" t="str">
        <f>'Unformatted Trip Summary'!I625</f>
        <v>Pedestrian</v>
      </c>
      <c r="D627">
        <f>'Unformatted Trip Summary'!D625</f>
        <v>941</v>
      </c>
      <c r="E627">
        <f>'Unformatted Trip Summary'!E625</f>
        <v>4221</v>
      </c>
      <c r="F627" s="1">
        <f>'Unformatted Trip Summary'!F625</f>
        <v>182.29561206</v>
      </c>
      <c r="G627" s="1">
        <f>'Unformatted Trip Summary'!G625</f>
        <v>126.13499251</v>
      </c>
      <c r="H627" s="1">
        <f>'Unformatted Trip Summary'!H625</f>
        <v>32.985647405999998</v>
      </c>
    </row>
    <row r="628" spans="1:8" x14ac:dyDescent="0.2">
      <c r="A628" t="str">
        <f>'Unformatted Trip Summary'!A626</f>
        <v>09 WELLINGTON</v>
      </c>
      <c r="B628" t="str">
        <f>'Unformatted Trip Summary'!J626</f>
        <v>2017/18</v>
      </c>
      <c r="C628" t="str">
        <f>'Unformatted Trip Summary'!I626</f>
        <v>Pedestrian</v>
      </c>
      <c r="D628">
        <f>'Unformatted Trip Summary'!D626</f>
        <v>941</v>
      </c>
      <c r="E628">
        <f>'Unformatted Trip Summary'!E626</f>
        <v>4221</v>
      </c>
      <c r="F628" s="1">
        <f>'Unformatted Trip Summary'!F626</f>
        <v>177.88913851000001</v>
      </c>
      <c r="G628" s="1">
        <f>'Unformatted Trip Summary'!G626</f>
        <v>123.96942556</v>
      </c>
      <c r="H628" s="1">
        <f>'Unformatted Trip Summary'!H626</f>
        <v>32.378853972000002</v>
      </c>
    </row>
    <row r="629" spans="1:8" x14ac:dyDescent="0.2">
      <c r="A629" t="str">
        <f>'Unformatted Trip Summary'!A627</f>
        <v>09 WELLINGTON</v>
      </c>
      <c r="B629" t="str">
        <f>'Unformatted Trip Summary'!J627</f>
        <v>2022/23</v>
      </c>
      <c r="C629" t="str">
        <f>'Unformatted Trip Summary'!I627</f>
        <v>Pedestrian</v>
      </c>
      <c r="D629">
        <f>'Unformatted Trip Summary'!D627</f>
        <v>941</v>
      </c>
      <c r="E629">
        <f>'Unformatted Trip Summary'!E627</f>
        <v>4221</v>
      </c>
      <c r="F629" s="1">
        <f>'Unformatted Trip Summary'!F627</f>
        <v>185.20194710999999</v>
      </c>
      <c r="G629" s="1">
        <f>'Unformatted Trip Summary'!G627</f>
        <v>129.98584789</v>
      </c>
      <c r="H629" s="1">
        <f>'Unformatted Trip Summary'!H627</f>
        <v>33.830685123000002</v>
      </c>
    </row>
    <row r="630" spans="1:8" x14ac:dyDescent="0.2">
      <c r="A630" t="str">
        <f>'Unformatted Trip Summary'!A628</f>
        <v>09 WELLINGTON</v>
      </c>
      <c r="B630" t="str">
        <f>'Unformatted Trip Summary'!J628</f>
        <v>2027/28</v>
      </c>
      <c r="C630" t="str">
        <f>'Unformatted Trip Summary'!I628</f>
        <v>Pedestrian</v>
      </c>
      <c r="D630">
        <f>'Unformatted Trip Summary'!D628</f>
        <v>941</v>
      </c>
      <c r="E630">
        <f>'Unformatted Trip Summary'!E628</f>
        <v>4221</v>
      </c>
      <c r="F630" s="1">
        <f>'Unformatted Trip Summary'!F628</f>
        <v>184.1776749</v>
      </c>
      <c r="G630" s="1">
        <f>'Unformatted Trip Summary'!G628</f>
        <v>130.26183119999999</v>
      </c>
      <c r="H630" s="1">
        <f>'Unformatted Trip Summary'!H628</f>
        <v>33.993501332000001</v>
      </c>
    </row>
    <row r="631" spans="1:8" x14ac:dyDescent="0.2">
      <c r="A631" t="str">
        <f>'Unformatted Trip Summary'!A629</f>
        <v>09 WELLINGTON</v>
      </c>
      <c r="B631" t="str">
        <f>'Unformatted Trip Summary'!J629</f>
        <v>2032/33</v>
      </c>
      <c r="C631" t="str">
        <f>'Unformatted Trip Summary'!I629</f>
        <v>Pedestrian</v>
      </c>
      <c r="D631">
        <f>'Unformatted Trip Summary'!D629</f>
        <v>941</v>
      </c>
      <c r="E631">
        <f>'Unformatted Trip Summary'!E629</f>
        <v>4221</v>
      </c>
      <c r="F631" s="1">
        <f>'Unformatted Trip Summary'!F629</f>
        <v>182.662373</v>
      </c>
      <c r="G631" s="1">
        <f>'Unformatted Trip Summary'!G629</f>
        <v>130.43973721</v>
      </c>
      <c r="H631" s="1">
        <f>'Unformatted Trip Summary'!H629</f>
        <v>34.066717838000002</v>
      </c>
    </row>
    <row r="632" spans="1:8" x14ac:dyDescent="0.2">
      <c r="A632" t="str">
        <f>'Unformatted Trip Summary'!A630</f>
        <v>09 WELLINGTON</v>
      </c>
      <c r="B632" t="str">
        <f>'Unformatted Trip Summary'!J630</f>
        <v>2037/38</v>
      </c>
      <c r="C632" t="str">
        <f>'Unformatted Trip Summary'!I630</f>
        <v>Pedestrian</v>
      </c>
      <c r="D632">
        <f>'Unformatted Trip Summary'!D630</f>
        <v>941</v>
      </c>
      <c r="E632">
        <f>'Unformatted Trip Summary'!E630</f>
        <v>4221</v>
      </c>
      <c r="F632" s="1">
        <f>'Unformatted Trip Summary'!F630</f>
        <v>181.01789328999999</v>
      </c>
      <c r="G632" s="1">
        <f>'Unformatted Trip Summary'!G630</f>
        <v>130.84280457</v>
      </c>
      <c r="H632" s="1">
        <f>'Unformatted Trip Summary'!H630</f>
        <v>34.085450879</v>
      </c>
    </row>
    <row r="633" spans="1:8" x14ac:dyDescent="0.2">
      <c r="A633" t="str">
        <f>'Unformatted Trip Summary'!A631</f>
        <v>09 WELLINGTON</v>
      </c>
      <c r="B633" t="str">
        <f>'Unformatted Trip Summary'!J631</f>
        <v>2042/43</v>
      </c>
      <c r="C633" t="str">
        <f>'Unformatted Trip Summary'!I631</f>
        <v>Pedestrian</v>
      </c>
      <c r="D633">
        <f>'Unformatted Trip Summary'!D631</f>
        <v>941</v>
      </c>
      <c r="E633">
        <f>'Unformatted Trip Summary'!E631</f>
        <v>4221</v>
      </c>
      <c r="F633" s="1">
        <f>'Unformatted Trip Summary'!F631</f>
        <v>178.95579347</v>
      </c>
      <c r="G633" s="1">
        <f>'Unformatted Trip Summary'!G631</f>
        <v>130.93685808999999</v>
      </c>
      <c r="H633" s="1">
        <f>'Unformatted Trip Summary'!H631</f>
        <v>34.033042403000003</v>
      </c>
    </row>
    <row r="634" spans="1:8" x14ac:dyDescent="0.2">
      <c r="A634" t="str">
        <f>'Unformatted Trip Summary'!A632</f>
        <v>09 WELLINGTON</v>
      </c>
      <c r="B634" t="str">
        <f>'Unformatted Trip Summary'!J632</f>
        <v>2012/13</v>
      </c>
      <c r="C634" t="str">
        <f>'Unformatted Trip Summary'!I632</f>
        <v>Cyclist</v>
      </c>
      <c r="D634">
        <f>'Unformatted Trip Summary'!D632</f>
        <v>54</v>
      </c>
      <c r="E634">
        <f>'Unformatted Trip Summary'!E632</f>
        <v>164</v>
      </c>
      <c r="F634" s="1">
        <f>'Unformatted Trip Summary'!F632</f>
        <v>8.1327913301999999</v>
      </c>
      <c r="G634" s="1">
        <f>'Unformatted Trip Summary'!G632</f>
        <v>52.092312808000003</v>
      </c>
      <c r="H634" s="1">
        <f>'Unformatted Trip Summary'!H632</f>
        <v>3.6978261002999999</v>
      </c>
    </row>
    <row r="635" spans="1:8" x14ac:dyDescent="0.2">
      <c r="A635" t="str">
        <f>'Unformatted Trip Summary'!A633</f>
        <v>09 WELLINGTON</v>
      </c>
      <c r="B635" t="str">
        <f>'Unformatted Trip Summary'!J633</f>
        <v>2017/18</v>
      </c>
      <c r="C635" t="str">
        <f>'Unformatted Trip Summary'!I633</f>
        <v>Cyclist</v>
      </c>
      <c r="D635">
        <f>'Unformatted Trip Summary'!D633</f>
        <v>54</v>
      </c>
      <c r="E635">
        <f>'Unformatted Trip Summary'!E633</f>
        <v>164</v>
      </c>
      <c r="F635" s="1">
        <f>'Unformatted Trip Summary'!F633</f>
        <v>7.5884396090999999</v>
      </c>
      <c r="G635" s="1">
        <f>'Unformatted Trip Summary'!G633</f>
        <v>51.455130435000001</v>
      </c>
      <c r="H635" s="1">
        <f>'Unformatted Trip Summary'!H633</f>
        <v>3.6392283412999999</v>
      </c>
    </row>
    <row r="636" spans="1:8" x14ac:dyDescent="0.2">
      <c r="A636" t="str">
        <f>'Unformatted Trip Summary'!A634</f>
        <v>09 WELLINGTON</v>
      </c>
      <c r="B636" t="str">
        <f>'Unformatted Trip Summary'!J634</f>
        <v>2022/23</v>
      </c>
      <c r="C636" t="str">
        <f>'Unformatted Trip Summary'!I634</f>
        <v>Cyclist</v>
      </c>
      <c r="D636">
        <f>'Unformatted Trip Summary'!D634</f>
        <v>54</v>
      </c>
      <c r="E636">
        <f>'Unformatted Trip Summary'!E634</f>
        <v>164</v>
      </c>
      <c r="F636" s="1">
        <f>'Unformatted Trip Summary'!F634</f>
        <v>7.7282094037000002</v>
      </c>
      <c r="G636" s="1">
        <f>'Unformatted Trip Summary'!G634</f>
        <v>55.006635909000003</v>
      </c>
      <c r="H636" s="1">
        <f>'Unformatted Trip Summary'!H634</f>
        <v>3.8731623105000001</v>
      </c>
    </row>
    <row r="637" spans="1:8" x14ac:dyDescent="0.2">
      <c r="A637" t="str">
        <f>'Unformatted Trip Summary'!A635</f>
        <v>09 WELLINGTON</v>
      </c>
      <c r="B637" t="str">
        <f>'Unformatted Trip Summary'!J635</f>
        <v>2027/28</v>
      </c>
      <c r="C637" t="str">
        <f>'Unformatted Trip Summary'!I635</f>
        <v>Cyclist</v>
      </c>
      <c r="D637">
        <f>'Unformatted Trip Summary'!D635</f>
        <v>54</v>
      </c>
      <c r="E637">
        <f>'Unformatted Trip Summary'!E635</f>
        <v>164</v>
      </c>
      <c r="F637" s="1">
        <f>'Unformatted Trip Summary'!F635</f>
        <v>7.2226084952000003</v>
      </c>
      <c r="G637" s="1">
        <f>'Unformatted Trip Summary'!G635</f>
        <v>56.273331108999997</v>
      </c>
      <c r="H637" s="1">
        <f>'Unformatted Trip Summary'!H635</f>
        <v>3.9160114251000002</v>
      </c>
    </row>
    <row r="638" spans="1:8" x14ac:dyDescent="0.2">
      <c r="A638" t="str">
        <f>'Unformatted Trip Summary'!A636</f>
        <v>09 WELLINGTON</v>
      </c>
      <c r="B638" t="str">
        <f>'Unformatted Trip Summary'!J636</f>
        <v>2032/33</v>
      </c>
      <c r="C638" t="str">
        <f>'Unformatted Trip Summary'!I636</f>
        <v>Cyclist</v>
      </c>
      <c r="D638">
        <f>'Unformatted Trip Summary'!D636</f>
        <v>54</v>
      </c>
      <c r="E638">
        <f>'Unformatted Trip Summary'!E636</f>
        <v>164</v>
      </c>
      <c r="F638" s="1">
        <f>'Unformatted Trip Summary'!F636</f>
        <v>6.8972345065000003</v>
      </c>
      <c r="G638" s="1">
        <f>'Unformatted Trip Summary'!G636</f>
        <v>59.975755483999997</v>
      </c>
      <c r="H638" s="1">
        <f>'Unformatted Trip Summary'!H636</f>
        <v>4.1103149610000003</v>
      </c>
    </row>
    <row r="639" spans="1:8" x14ac:dyDescent="0.2">
      <c r="A639" t="str">
        <f>'Unformatted Trip Summary'!A637</f>
        <v>09 WELLINGTON</v>
      </c>
      <c r="B639" t="str">
        <f>'Unformatted Trip Summary'!J637</f>
        <v>2037/38</v>
      </c>
      <c r="C639" t="str">
        <f>'Unformatted Trip Summary'!I637</f>
        <v>Cyclist</v>
      </c>
      <c r="D639">
        <f>'Unformatted Trip Summary'!D637</f>
        <v>54</v>
      </c>
      <c r="E639">
        <f>'Unformatted Trip Summary'!E637</f>
        <v>164</v>
      </c>
      <c r="F639" s="1">
        <f>'Unformatted Trip Summary'!F637</f>
        <v>6.7079273287000003</v>
      </c>
      <c r="G639" s="1">
        <f>'Unformatted Trip Summary'!G637</f>
        <v>65.351235028999994</v>
      </c>
      <c r="H639" s="1">
        <f>'Unformatted Trip Summary'!H637</f>
        <v>4.4142268666</v>
      </c>
    </row>
    <row r="640" spans="1:8" x14ac:dyDescent="0.2">
      <c r="A640" t="str">
        <f>'Unformatted Trip Summary'!A638</f>
        <v>09 WELLINGTON</v>
      </c>
      <c r="B640" t="str">
        <f>'Unformatted Trip Summary'!J638</f>
        <v>2042/43</v>
      </c>
      <c r="C640" t="str">
        <f>'Unformatted Trip Summary'!I638</f>
        <v>Cyclist</v>
      </c>
      <c r="D640">
        <f>'Unformatted Trip Summary'!D638</f>
        <v>54</v>
      </c>
      <c r="E640">
        <f>'Unformatted Trip Summary'!E638</f>
        <v>164</v>
      </c>
      <c r="F640" s="1">
        <f>'Unformatted Trip Summary'!F638</f>
        <v>6.5500462530999997</v>
      </c>
      <c r="G640" s="1">
        <f>'Unformatted Trip Summary'!G638</f>
        <v>70.795868893000005</v>
      </c>
      <c r="H640" s="1">
        <f>'Unformatted Trip Summary'!H638</f>
        <v>4.7215930316000003</v>
      </c>
    </row>
    <row r="641" spans="1:8" x14ac:dyDescent="0.2">
      <c r="A641" t="str">
        <f>'Unformatted Trip Summary'!A639</f>
        <v>09 WELLINGTON</v>
      </c>
      <c r="B641" t="str">
        <f>'Unformatted Trip Summary'!J639</f>
        <v>2012/13</v>
      </c>
      <c r="C641" t="str">
        <f>'Unformatted Trip Summary'!I639</f>
        <v>Light Vehicle Driver</v>
      </c>
      <c r="D641">
        <f>'Unformatted Trip Summary'!D639</f>
        <v>1130</v>
      </c>
      <c r="E641">
        <f>'Unformatted Trip Summary'!E639</f>
        <v>8488</v>
      </c>
      <c r="F641" s="1">
        <f>'Unformatted Trip Summary'!F639</f>
        <v>377.93589692</v>
      </c>
      <c r="G641" s="1">
        <f>'Unformatted Trip Summary'!G639</f>
        <v>3481.4296611999998</v>
      </c>
      <c r="H641" s="1">
        <f>'Unformatted Trip Summary'!H639</f>
        <v>92.129697210000003</v>
      </c>
    </row>
    <row r="642" spans="1:8" x14ac:dyDescent="0.2">
      <c r="A642" t="str">
        <f>'Unformatted Trip Summary'!A640</f>
        <v>09 WELLINGTON</v>
      </c>
      <c r="B642" t="str">
        <f>'Unformatted Trip Summary'!J640</f>
        <v>2017/18</v>
      </c>
      <c r="C642" t="str">
        <f>'Unformatted Trip Summary'!I640</f>
        <v>Light Vehicle Driver</v>
      </c>
      <c r="D642">
        <f>'Unformatted Trip Summary'!D640</f>
        <v>1130</v>
      </c>
      <c r="E642">
        <f>'Unformatted Trip Summary'!E640</f>
        <v>8488</v>
      </c>
      <c r="F642" s="1">
        <f>'Unformatted Trip Summary'!F640</f>
        <v>365.40659854</v>
      </c>
      <c r="G642" s="1">
        <f>'Unformatted Trip Summary'!G640</f>
        <v>3389.5387887000002</v>
      </c>
      <c r="H642" s="1">
        <f>'Unformatted Trip Summary'!H640</f>
        <v>89.660255981000006</v>
      </c>
    </row>
    <row r="643" spans="1:8" x14ac:dyDescent="0.2">
      <c r="A643" t="str">
        <f>'Unformatted Trip Summary'!A641</f>
        <v>09 WELLINGTON</v>
      </c>
      <c r="B643" t="str">
        <f>'Unformatted Trip Summary'!J641</f>
        <v>2022/23</v>
      </c>
      <c r="C643" t="str">
        <f>'Unformatted Trip Summary'!I641</f>
        <v>Light Vehicle Driver</v>
      </c>
      <c r="D643">
        <f>'Unformatted Trip Summary'!D641</f>
        <v>1130</v>
      </c>
      <c r="E643">
        <f>'Unformatted Trip Summary'!E641</f>
        <v>8488</v>
      </c>
      <c r="F643" s="1">
        <f>'Unformatted Trip Summary'!F641</f>
        <v>383.07034952999999</v>
      </c>
      <c r="G643" s="1">
        <f>'Unformatted Trip Summary'!G641</f>
        <v>3580.9944003999999</v>
      </c>
      <c r="H643" s="1">
        <f>'Unformatted Trip Summary'!H641</f>
        <v>94.639987130999998</v>
      </c>
    </row>
    <row r="644" spans="1:8" x14ac:dyDescent="0.2">
      <c r="A644" t="str">
        <f>'Unformatted Trip Summary'!A642</f>
        <v>09 WELLINGTON</v>
      </c>
      <c r="B644" t="str">
        <f>'Unformatted Trip Summary'!J642</f>
        <v>2027/28</v>
      </c>
      <c r="C644" t="str">
        <f>'Unformatted Trip Summary'!I642</f>
        <v>Light Vehicle Driver</v>
      </c>
      <c r="D644">
        <f>'Unformatted Trip Summary'!D642</f>
        <v>1130</v>
      </c>
      <c r="E644">
        <f>'Unformatted Trip Summary'!E642</f>
        <v>8488</v>
      </c>
      <c r="F644" s="1">
        <f>'Unformatted Trip Summary'!F642</f>
        <v>390.70102287999998</v>
      </c>
      <c r="G644" s="1">
        <f>'Unformatted Trip Summary'!G642</f>
        <v>3686.3797288000001</v>
      </c>
      <c r="H644" s="1">
        <f>'Unformatted Trip Summary'!H642</f>
        <v>97.052113758999994</v>
      </c>
    </row>
    <row r="645" spans="1:8" x14ac:dyDescent="0.2">
      <c r="A645" t="str">
        <f>'Unformatted Trip Summary'!A643</f>
        <v>09 WELLINGTON</v>
      </c>
      <c r="B645" t="str">
        <f>'Unformatted Trip Summary'!J643</f>
        <v>2032/33</v>
      </c>
      <c r="C645" t="str">
        <f>'Unformatted Trip Summary'!I643</f>
        <v>Light Vehicle Driver</v>
      </c>
      <c r="D645">
        <f>'Unformatted Trip Summary'!D643</f>
        <v>1130</v>
      </c>
      <c r="E645">
        <f>'Unformatted Trip Summary'!E643</f>
        <v>8488</v>
      </c>
      <c r="F645" s="1">
        <f>'Unformatted Trip Summary'!F643</f>
        <v>395.69365536999999</v>
      </c>
      <c r="G645" s="1">
        <f>'Unformatted Trip Summary'!G643</f>
        <v>3774.6531451000001</v>
      </c>
      <c r="H645" s="1">
        <f>'Unformatted Trip Summary'!H643</f>
        <v>98.860474457999999</v>
      </c>
    </row>
    <row r="646" spans="1:8" x14ac:dyDescent="0.2">
      <c r="A646" t="str">
        <f>'Unformatted Trip Summary'!A644</f>
        <v>09 WELLINGTON</v>
      </c>
      <c r="B646" t="str">
        <f>'Unformatted Trip Summary'!J644</f>
        <v>2037/38</v>
      </c>
      <c r="C646" t="str">
        <f>'Unformatted Trip Summary'!I644</f>
        <v>Light Vehicle Driver</v>
      </c>
      <c r="D646">
        <f>'Unformatted Trip Summary'!D644</f>
        <v>1130</v>
      </c>
      <c r="E646">
        <f>'Unformatted Trip Summary'!E644</f>
        <v>8488</v>
      </c>
      <c r="F646" s="1">
        <f>'Unformatted Trip Summary'!F644</f>
        <v>396.39454992999998</v>
      </c>
      <c r="G646" s="1">
        <f>'Unformatted Trip Summary'!G644</f>
        <v>3815.8583039</v>
      </c>
      <c r="H646" s="1">
        <f>'Unformatted Trip Summary'!H644</f>
        <v>99.596492377999994</v>
      </c>
    </row>
    <row r="647" spans="1:8" x14ac:dyDescent="0.2">
      <c r="A647" t="str">
        <f>'Unformatted Trip Summary'!A645</f>
        <v>09 WELLINGTON</v>
      </c>
      <c r="B647" t="str">
        <f>'Unformatted Trip Summary'!J645</f>
        <v>2042/43</v>
      </c>
      <c r="C647" t="str">
        <f>'Unformatted Trip Summary'!I645</f>
        <v>Light Vehicle Driver</v>
      </c>
      <c r="D647">
        <f>'Unformatted Trip Summary'!D645</f>
        <v>1130</v>
      </c>
      <c r="E647">
        <f>'Unformatted Trip Summary'!E645</f>
        <v>8488</v>
      </c>
      <c r="F647" s="1">
        <f>'Unformatted Trip Summary'!F645</f>
        <v>395.55123354</v>
      </c>
      <c r="G647" s="1">
        <f>'Unformatted Trip Summary'!G645</f>
        <v>3836.1299755</v>
      </c>
      <c r="H647" s="1">
        <f>'Unformatted Trip Summary'!H645</f>
        <v>99.877484260000003</v>
      </c>
    </row>
    <row r="648" spans="1:8" x14ac:dyDescent="0.2">
      <c r="A648" t="str">
        <f>'Unformatted Trip Summary'!A646</f>
        <v>09 WELLINGTON</v>
      </c>
      <c r="B648" t="str">
        <f>'Unformatted Trip Summary'!J646</f>
        <v>2012/13</v>
      </c>
      <c r="C648" t="str">
        <f>'Unformatted Trip Summary'!I646</f>
        <v>Light Vehicle Passenger</v>
      </c>
      <c r="D648">
        <f>'Unformatted Trip Summary'!D646</f>
        <v>936</v>
      </c>
      <c r="E648">
        <f>'Unformatted Trip Summary'!E646</f>
        <v>4461</v>
      </c>
      <c r="F648" s="1">
        <f>'Unformatted Trip Summary'!F646</f>
        <v>183.55442563</v>
      </c>
      <c r="G648" s="1">
        <f>'Unformatted Trip Summary'!G646</f>
        <v>2005.8850408000001</v>
      </c>
      <c r="H648" s="1">
        <f>'Unformatted Trip Summary'!H646</f>
        <v>48.966354531</v>
      </c>
    </row>
    <row r="649" spans="1:8" x14ac:dyDescent="0.2">
      <c r="A649" t="str">
        <f>'Unformatted Trip Summary'!A647</f>
        <v>09 WELLINGTON</v>
      </c>
      <c r="B649" t="str">
        <f>'Unformatted Trip Summary'!J647</f>
        <v>2017/18</v>
      </c>
      <c r="C649" t="str">
        <f>'Unformatted Trip Summary'!I647</f>
        <v>Light Vehicle Passenger</v>
      </c>
      <c r="D649">
        <f>'Unformatted Trip Summary'!D647</f>
        <v>936</v>
      </c>
      <c r="E649">
        <f>'Unformatted Trip Summary'!E647</f>
        <v>4461</v>
      </c>
      <c r="F649" s="1">
        <f>'Unformatted Trip Summary'!F647</f>
        <v>172.51208758000001</v>
      </c>
      <c r="G649" s="1">
        <f>'Unformatted Trip Summary'!G647</f>
        <v>1855.0981509999999</v>
      </c>
      <c r="H649" s="1">
        <f>'Unformatted Trip Summary'!H647</f>
        <v>45.688922679000001</v>
      </c>
    </row>
    <row r="650" spans="1:8" x14ac:dyDescent="0.2">
      <c r="A650" t="str">
        <f>'Unformatted Trip Summary'!A648</f>
        <v>09 WELLINGTON</v>
      </c>
      <c r="B650" t="str">
        <f>'Unformatted Trip Summary'!J648</f>
        <v>2022/23</v>
      </c>
      <c r="C650" t="str">
        <f>'Unformatted Trip Summary'!I648</f>
        <v>Light Vehicle Passenger</v>
      </c>
      <c r="D650">
        <f>'Unformatted Trip Summary'!D648</f>
        <v>936</v>
      </c>
      <c r="E650">
        <f>'Unformatted Trip Summary'!E648</f>
        <v>4461</v>
      </c>
      <c r="F650" s="1">
        <f>'Unformatted Trip Summary'!F648</f>
        <v>178.04549179</v>
      </c>
      <c r="G650" s="1">
        <f>'Unformatted Trip Summary'!G648</f>
        <v>1882.7146579</v>
      </c>
      <c r="H650" s="1">
        <f>'Unformatted Trip Summary'!H648</f>
        <v>46.728240538999998</v>
      </c>
    </row>
    <row r="651" spans="1:8" x14ac:dyDescent="0.2">
      <c r="A651" t="str">
        <f>'Unformatted Trip Summary'!A649</f>
        <v>09 WELLINGTON</v>
      </c>
      <c r="B651" t="str">
        <f>'Unformatted Trip Summary'!J649</f>
        <v>2027/28</v>
      </c>
      <c r="C651" t="str">
        <f>'Unformatted Trip Summary'!I649</f>
        <v>Light Vehicle Passenger</v>
      </c>
      <c r="D651">
        <f>'Unformatted Trip Summary'!D649</f>
        <v>936</v>
      </c>
      <c r="E651">
        <f>'Unformatted Trip Summary'!E649</f>
        <v>4461</v>
      </c>
      <c r="F651" s="1">
        <f>'Unformatted Trip Summary'!F649</f>
        <v>176.16609156999999</v>
      </c>
      <c r="G651" s="1">
        <f>'Unformatted Trip Summary'!G649</f>
        <v>1862.0886949000001</v>
      </c>
      <c r="H651" s="1">
        <f>'Unformatted Trip Summary'!H649</f>
        <v>46.207601717000003</v>
      </c>
    </row>
    <row r="652" spans="1:8" x14ac:dyDescent="0.2">
      <c r="A652" t="str">
        <f>'Unformatted Trip Summary'!A650</f>
        <v>09 WELLINGTON</v>
      </c>
      <c r="B652" t="str">
        <f>'Unformatted Trip Summary'!J650</f>
        <v>2032/33</v>
      </c>
      <c r="C652" t="str">
        <f>'Unformatted Trip Summary'!I650</f>
        <v>Light Vehicle Passenger</v>
      </c>
      <c r="D652">
        <f>'Unformatted Trip Summary'!D650</f>
        <v>936</v>
      </c>
      <c r="E652">
        <f>'Unformatted Trip Summary'!E650</f>
        <v>4461</v>
      </c>
      <c r="F652" s="1">
        <f>'Unformatted Trip Summary'!F650</f>
        <v>174.79865082000001</v>
      </c>
      <c r="G652" s="1">
        <f>'Unformatted Trip Summary'!G650</f>
        <v>1848.1684035000001</v>
      </c>
      <c r="H652" s="1">
        <f>'Unformatted Trip Summary'!H650</f>
        <v>45.856724487000001</v>
      </c>
    </row>
    <row r="653" spans="1:8" x14ac:dyDescent="0.2">
      <c r="A653" t="str">
        <f>'Unformatted Trip Summary'!A651</f>
        <v>09 WELLINGTON</v>
      </c>
      <c r="B653" t="str">
        <f>'Unformatted Trip Summary'!J651</f>
        <v>2037/38</v>
      </c>
      <c r="C653" t="str">
        <f>'Unformatted Trip Summary'!I651</f>
        <v>Light Vehicle Passenger</v>
      </c>
      <c r="D653">
        <f>'Unformatted Trip Summary'!D651</f>
        <v>936</v>
      </c>
      <c r="E653">
        <f>'Unformatted Trip Summary'!E651</f>
        <v>4461</v>
      </c>
      <c r="F653" s="1">
        <f>'Unformatted Trip Summary'!F651</f>
        <v>172.59254505000001</v>
      </c>
      <c r="G653" s="1">
        <f>'Unformatted Trip Summary'!G651</f>
        <v>1823.1036879000001</v>
      </c>
      <c r="H653" s="1">
        <f>'Unformatted Trip Summary'!H651</f>
        <v>45.248670437000001</v>
      </c>
    </row>
    <row r="654" spans="1:8" x14ac:dyDescent="0.2">
      <c r="A654" t="str">
        <f>'Unformatted Trip Summary'!A652</f>
        <v>09 WELLINGTON</v>
      </c>
      <c r="B654" t="str">
        <f>'Unformatted Trip Summary'!J652</f>
        <v>2042/43</v>
      </c>
      <c r="C654" t="str">
        <f>'Unformatted Trip Summary'!I652</f>
        <v>Light Vehicle Passenger</v>
      </c>
      <c r="D654">
        <f>'Unformatted Trip Summary'!D652</f>
        <v>936</v>
      </c>
      <c r="E654">
        <f>'Unformatted Trip Summary'!E652</f>
        <v>4461</v>
      </c>
      <c r="F654" s="1">
        <f>'Unformatted Trip Summary'!F652</f>
        <v>169.91660947</v>
      </c>
      <c r="G654" s="1">
        <f>'Unformatted Trip Summary'!G652</f>
        <v>1795.2926726000001</v>
      </c>
      <c r="H654" s="1">
        <f>'Unformatted Trip Summary'!H652</f>
        <v>44.573655440000003</v>
      </c>
    </row>
    <row r="655" spans="1:8" x14ac:dyDescent="0.2">
      <c r="A655" t="str">
        <f>'Unformatted Trip Summary'!A653</f>
        <v>09 WELLINGTON</v>
      </c>
      <c r="B655" t="str">
        <f>'Unformatted Trip Summary'!J653</f>
        <v>2012/13</v>
      </c>
      <c r="C655" t="str">
        <f>'Unformatted Trip Summary'!I653</f>
        <v>Taxi/Vehicle Share</v>
      </c>
      <c r="D655">
        <f>'Unformatted Trip Summary'!D653</f>
        <v>31</v>
      </c>
      <c r="E655">
        <f>'Unformatted Trip Summary'!E653</f>
        <v>51</v>
      </c>
      <c r="F655" s="1">
        <f>'Unformatted Trip Summary'!F653</f>
        <v>2.3579512121000001</v>
      </c>
      <c r="G655" s="1">
        <f>'Unformatted Trip Summary'!G653</f>
        <v>19.359252680000001</v>
      </c>
      <c r="H655" s="1">
        <f>'Unformatted Trip Summary'!H653</f>
        <v>0.76229285280000003</v>
      </c>
    </row>
    <row r="656" spans="1:8" x14ac:dyDescent="0.2">
      <c r="A656" t="str">
        <f>'Unformatted Trip Summary'!A654</f>
        <v>09 WELLINGTON</v>
      </c>
      <c r="B656" t="str">
        <f>'Unformatted Trip Summary'!J654</f>
        <v>2017/18</v>
      </c>
      <c r="C656" t="str">
        <f>'Unformatted Trip Summary'!I654</f>
        <v>Taxi/Vehicle Share</v>
      </c>
      <c r="D656">
        <f>'Unformatted Trip Summary'!D654</f>
        <v>31</v>
      </c>
      <c r="E656">
        <f>'Unformatted Trip Summary'!E654</f>
        <v>51</v>
      </c>
      <c r="F656" s="1">
        <f>'Unformatted Trip Summary'!F654</f>
        <v>2.4168221678999999</v>
      </c>
      <c r="G656" s="1">
        <f>'Unformatted Trip Summary'!G654</f>
        <v>19.232101614000001</v>
      </c>
      <c r="H656" s="1">
        <f>'Unformatted Trip Summary'!H654</f>
        <v>0.76412563649999998</v>
      </c>
    </row>
    <row r="657" spans="1:8" x14ac:dyDescent="0.2">
      <c r="A657" t="str">
        <f>'Unformatted Trip Summary'!A655</f>
        <v>09 WELLINGTON</v>
      </c>
      <c r="B657" t="str">
        <f>'Unformatted Trip Summary'!J655</f>
        <v>2022/23</v>
      </c>
      <c r="C657" t="str">
        <f>'Unformatted Trip Summary'!I655</f>
        <v>Taxi/Vehicle Share</v>
      </c>
      <c r="D657">
        <f>'Unformatted Trip Summary'!D655</f>
        <v>31</v>
      </c>
      <c r="E657">
        <f>'Unformatted Trip Summary'!E655</f>
        <v>51</v>
      </c>
      <c r="F657" s="1">
        <f>'Unformatted Trip Summary'!F655</f>
        <v>2.5978669863000001</v>
      </c>
      <c r="G657" s="1">
        <f>'Unformatted Trip Summary'!G655</f>
        <v>20.761453255999999</v>
      </c>
      <c r="H657" s="1">
        <f>'Unformatted Trip Summary'!H655</f>
        <v>0.82882970730000005</v>
      </c>
    </row>
    <row r="658" spans="1:8" x14ac:dyDescent="0.2">
      <c r="A658" t="str">
        <f>'Unformatted Trip Summary'!A656</f>
        <v>09 WELLINGTON</v>
      </c>
      <c r="B658" t="str">
        <f>'Unformatted Trip Summary'!J656</f>
        <v>2027/28</v>
      </c>
      <c r="C658" t="str">
        <f>'Unformatted Trip Summary'!I656</f>
        <v>Taxi/Vehicle Share</v>
      </c>
      <c r="D658">
        <f>'Unformatted Trip Summary'!D656</f>
        <v>31</v>
      </c>
      <c r="E658">
        <f>'Unformatted Trip Summary'!E656</f>
        <v>51</v>
      </c>
      <c r="F658" s="1">
        <f>'Unformatted Trip Summary'!F656</f>
        <v>2.6792763157000001</v>
      </c>
      <c r="G658" s="1">
        <f>'Unformatted Trip Summary'!G656</f>
        <v>22.193646449999999</v>
      </c>
      <c r="H658" s="1">
        <f>'Unformatted Trip Summary'!H656</f>
        <v>0.88177437449999996</v>
      </c>
    </row>
    <row r="659" spans="1:8" x14ac:dyDescent="0.2">
      <c r="A659" t="str">
        <f>'Unformatted Trip Summary'!A657</f>
        <v>09 WELLINGTON</v>
      </c>
      <c r="B659" t="str">
        <f>'Unformatted Trip Summary'!J657</f>
        <v>2032/33</v>
      </c>
      <c r="C659" t="str">
        <f>'Unformatted Trip Summary'!I657</f>
        <v>Taxi/Vehicle Share</v>
      </c>
      <c r="D659">
        <f>'Unformatted Trip Summary'!D657</f>
        <v>31</v>
      </c>
      <c r="E659">
        <f>'Unformatted Trip Summary'!E657</f>
        <v>51</v>
      </c>
      <c r="F659" s="1">
        <f>'Unformatted Trip Summary'!F657</f>
        <v>2.7275156650999999</v>
      </c>
      <c r="G659" s="1">
        <f>'Unformatted Trip Summary'!G657</f>
        <v>23.359180929000001</v>
      </c>
      <c r="H659" s="1">
        <f>'Unformatted Trip Summary'!H657</f>
        <v>0.91880890299999995</v>
      </c>
    </row>
    <row r="660" spans="1:8" x14ac:dyDescent="0.2">
      <c r="A660" t="str">
        <f>'Unformatted Trip Summary'!A658</f>
        <v>09 WELLINGTON</v>
      </c>
      <c r="B660" t="str">
        <f>'Unformatted Trip Summary'!J658</f>
        <v>2037/38</v>
      </c>
      <c r="C660" t="str">
        <f>'Unformatted Trip Summary'!I658</f>
        <v>Taxi/Vehicle Share</v>
      </c>
      <c r="D660">
        <f>'Unformatted Trip Summary'!D658</f>
        <v>31</v>
      </c>
      <c r="E660">
        <f>'Unformatted Trip Summary'!E658</f>
        <v>51</v>
      </c>
      <c r="F660" s="1">
        <f>'Unformatted Trip Summary'!F658</f>
        <v>2.7373725566</v>
      </c>
      <c r="G660" s="1">
        <f>'Unformatted Trip Summary'!G658</f>
        <v>23.777106331999999</v>
      </c>
      <c r="H660" s="1">
        <f>'Unformatted Trip Summary'!H658</f>
        <v>0.92690842139999996</v>
      </c>
    </row>
    <row r="661" spans="1:8" x14ac:dyDescent="0.2">
      <c r="A661" t="str">
        <f>'Unformatted Trip Summary'!A659</f>
        <v>09 WELLINGTON</v>
      </c>
      <c r="B661" t="str">
        <f>'Unformatted Trip Summary'!J659</f>
        <v>2042/43</v>
      </c>
      <c r="C661" t="str">
        <f>'Unformatted Trip Summary'!I659</f>
        <v>Taxi/Vehicle Share</v>
      </c>
      <c r="D661">
        <f>'Unformatted Trip Summary'!D659</f>
        <v>31</v>
      </c>
      <c r="E661">
        <f>'Unformatted Trip Summary'!E659</f>
        <v>51</v>
      </c>
      <c r="F661" s="1">
        <f>'Unformatted Trip Summary'!F659</f>
        <v>2.7187060926000002</v>
      </c>
      <c r="G661" s="1">
        <f>'Unformatted Trip Summary'!G659</f>
        <v>23.879346567999999</v>
      </c>
      <c r="H661" s="1">
        <f>'Unformatted Trip Summary'!H659</f>
        <v>0.92660349500000005</v>
      </c>
    </row>
    <row r="662" spans="1:8" x14ac:dyDescent="0.2">
      <c r="A662" t="str">
        <f>'Unformatted Trip Summary'!A660</f>
        <v>09 WELLINGTON</v>
      </c>
      <c r="B662" t="str">
        <f>'Unformatted Trip Summary'!J660</f>
        <v>2012/13</v>
      </c>
      <c r="C662" t="str">
        <f>'Unformatted Trip Summary'!I660</f>
        <v>Motorcyclist</v>
      </c>
      <c r="D662">
        <f>'Unformatted Trip Summary'!D660</f>
        <v>16</v>
      </c>
      <c r="E662">
        <f>'Unformatted Trip Summary'!E660</f>
        <v>64</v>
      </c>
      <c r="F662" s="1">
        <f>'Unformatted Trip Summary'!F660</f>
        <v>2.4968267649999998</v>
      </c>
      <c r="G662" s="1">
        <f>'Unformatted Trip Summary'!G660</f>
        <v>24.444631151999999</v>
      </c>
      <c r="H662" s="1">
        <f>'Unformatted Trip Summary'!H660</f>
        <v>0.71073078609999996</v>
      </c>
    </row>
    <row r="663" spans="1:8" x14ac:dyDescent="0.2">
      <c r="A663" t="str">
        <f>'Unformatted Trip Summary'!A661</f>
        <v>09 WELLINGTON</v>
      </c>
      <c r="B663" t="str">
        <f>'Unformatted Trip Summary'!J661</f>
        <v>2017/18</v>
      </c>
      <c r="C663" t="str">
        <f>'Unformatted Trip Summary'!I661</f>
        <v>Motorcyclist</v>
      </c>
      <c r="D663">
        <f>'Unformatted Trip Summary'!D661</f>
        <v>16</v>
      </c>
      <c r="E663">
        <f>'Unformatted Trip Summary'!E661</f>
        <v>64</v>
      </c>
      <c r="F663" s="1">
        <f>'Unformatted Trip Summary'!F661</f>
        <v>2.4736570579000001</v>
      </c>
      <c r="G663" s="1">
        <f>'Unformatted Trip Summary'!G661</f>
        <v>22.907917955999999</v>
      </c>
      <c r="H663" s="1">
        <f>'Unformatted Trip Summary'!H661</f>
        <v>0.68385273589999995</v>
      </c>
    </row>
    <row r="664" spans="1:8" x14ac:dyDescent="0.2">
      <c r="A664" t="str">
        <f>'Unformatted Trip Summary'!A662</f>
        <v>09 WELLINGTON</v>
      </c>
      <c r="B664" t="str">
        <f>'Unformatted Trip Summary'!J662</f>
        <v>2022/23</v>
      </c>
      <c r="C664" t="str">
        <f>'Unformatted Trip Summary'!I662</f>
        <v>Motorcyclist</v>
      </c>
      <c r="D664">
        <f>'Unformatted Trip Summary'!D662</f>
        <v>16</v>
      </c>
      <c r="E664">
        <f>'Unformatted Trip Summary'!E662</f>
        <v>64</v>
      </c>
      <c r="F664" s="1">
        <f>'Unformatted Trip Summary'!F662</f>
        <v>2.5316279951</v>
      </c>
      <c r="G664" s="1">
        <f>'Unformatted Trip Summary'!G662</f>
        <v>22.712486507000001</v>
      </c>
      <c r="H664" s="1">
        <f>'Unformatted Trip Summary'!H662</f>
        <v>0.68081713330000004</v>
      </c>
    </row>
    <row r="665" spans="1:8" x14ac:dyDescent="0.2">
      <c r="A665" t="str">
        <f>'Unformatted Trip Summary'!A663</f>
        <v>09 WELLINGTON</v>
      </c>
      <c r="B665" t="str">
        <f>'Unformatted Trip Summary'!J663</f>
        <v>2027/28</v>
      </c>
      <c r="C665" t="str">
        <f>'Unformatted Trip Summary'!I663</f>
        <v>Motorcyclist</v>
      </c>
      <c r="D665">
        <f>'Unformatted Trip Summary'!D663</f>
        <v>16</v>
      </c>
      <c r="E665">
        <f>'Unformatted Trip Summary'!E663</f>
        <v>64</v>
      </c>
      <c r="F665" s="1">
        <f>'Unformatted Trip Summary'!F663</f>
        <v>2.5050514668999999</v>
      </c>
      <c r="G665" s="1">
        <f>'Unformatted Trip Summary'!G663</f>
        <v>22.602515806</v>
      </c>
      <c r="H665" s="1">
        <f>'Unformatted Trip Summary'!H663</f>
        <v>0.66818940760000001</v>
      </c>
    </row>
    <row r="666" spans="1:8" x14ac:dyDescent="0.2">
      <c r="A666" t="str">
        <f>'Unformatted Trip Summary'!A664</f>
        <v>09 WELLINGTON</v>
      </c>
      <c r="B666" t="str">
        <f>'Unformatted Trip Summary'!J664</f>
        <v>2032/33</v>
      </c>
      <c r="C666" t="str">
        <f>'Unformatted Trip Summary'!I664</f>
        <v>Motorcyclist</v>
      </c>
      <c r="D666">
        <f>'Unformatted Trip Summary'!D664</f>
        <v>16</v>
      </c>
      <c r="E666">
        <f>'Unformatted Trip Summary'!E664</f>
        <v>64</v>
      </c>
      <c r="F666" s="1">
        <f>'Unformatted Trip Summary'!F664</f>
        <v>2.4764686352999998</v>
      </c>
      <c r="G666" s="1">
        <f>'Unformatted Trip Summary'!G664</f>
        <v>22.950346429</v>
      </c>
      <c r="H666" s="1">
        <f>'Unformatted Trip Summary'!H664</f>
        <v>0.66796934350000003</v>
      </c>
    </row>
    <row r="667" spans="1:8" x14ac:dyDescent="0.2">
      <c r="A667" t="str">
        <f>'Unformatted Trip Summary'!A665</f>
        <v>09 WELLINGTON</v>
      </c>
      <c r="B667" t="str">
        <f>'Unformatted Trip Summary'!J665</f>
        <v>2037/38</v>
      </c>
      <c r="C667" t="str">
        <f>'Unformatted Trip Summary'!I665</f>
        <v>Motorcyclist</v>
      </c>
      <c r="D667">
        <f>'Unformatted Trip Summary'!D665</f>
        <v>16</v>
      </c>
      <c r="E667">
        <f>'Unformatted Trip Summary'!E665</f>
        <v>64</v>
      </c>
      <c r="F667" s="1">
        <f>'Unformatted Trip Summary'!F665</f>
        <v>2.3926534435</v>
      </c>
      <c r="G667" s="1">
        <f>'Unformatted Trip Summary'!G665</f>
        <v>22.714475229000001</v>
      </c>
      <c r="H667" s="1">
        <f>'Unformatted Trip Summary'!H665</f>
        <v>0.65411944529999999</v>
      </c>
    </row>
    <row r="668" spans="1:8" x14ac:dyDescent="0.2">
      <c r="A668" t="str">
        <f>'Unformatted Trip Summary'!A666</f>
        <v>09 WELLINGTON</v>
      </c>
      <c r="B668" t="str">
        <f>'Unformatted Trip Summary'!J666</f>
        <v>2042/43</v>
      </c>
      <c r="C668" t="str">
        <f>'Unformatted Trip Summary'!I666</f>
        <v>Motorcyclist</v>
      </c>
      <c r="D668">
        <f>'Unformatted Trip Summary'!D666</f>
        <v>16</v>
      </c>
      <c r="E668">
        <f>'Unformatted Trip Summary'!E666</f>
        <v>64</v>
      </c>
      <c r="F668" s="1">
        <f>'Unformatted Trip Summary'!F666</f>
        <v>2.2854672223999999</v>
      </c>
      <c r="G668" s="1">
        <f>'Unformatted Trip Summary'!G666</f>
        <v>22.185977841</v>
      </c>
      <c r="H668" s="1">
        <f>'Unformatted Trip Summary'!H666</f>
        <v>0.63178818690000005</v>
      </c>
    </row>
    <row r="669" spans="1:8" x14ac:dyDescent="0.2">
      <c r="A669" t="str">
        <f>'Unformatted Trip Summary'!A667</f>
        <v>09 WELLINGTON</v>
      </c>
      <c r="B669" t="str">
        <f>'Unformatted Trip Summary'!J667</f>
        <v>2012/13</v>
      </c>
      <c r="C669" t="str">
        <f>'Unformatted Trip Summary'!I667</f>
        <v>Local Train</v>
      </c>
      <c r="D669">
        <f>'Unformatted Trip Summary'!D667</f>
        <v>94</v>
      </c>
      <c r="E669">
        <f>'Unformatted Trip Summary'!E667</f>
        <v>228</v>
      </c>
      <c r="F669" s="1">
        <f>'Unformatted Trip Summary'!F667</f>
        <v>10.165258230999999</v>
      </c>
      <c r="G669" s="1">
        <f>'Unformatted Trip Summary'!G667</f>
        <v>251.12727889999999</v>
      </c>
      <c r="H669" s="1">
        <f>'Unformatted Trip Summary'!H667</f>
        <v>5.5268751299999996</v>
      </c>
    </row>
    <row r="670" spans="1:8" x14ac:dyDescent="0.2">
      <c r="A670" t="str">
        <f>'Unformatted Trip Summary'!A668</f>
        <v>09 WELLINGTON</v>
      </c>
      <c r="B670" t="str">
        <f>'Unformatted Trip Summary'!J668</f>
        <v>2017/18</v>
      </c>
      <c r="C670" t="str">
        <f>'Unformatted Trip Summary'!I668</f>
        <v>Local Train</v>
      </c>
      <c r="D670">
        <f>'Unformatted Trip Summary'!D668</f>
        <v>94</v>
      </c>
      <c r="E670">
        <f>'Unformatted Trip Summary'!E668</f>
        <v>228</v>
      </c>
      <c r="F670" s="1">
        <f>'Unformatted Trip Summary'!F668</f>
        <v>10.128875609</v>
      </c>
      <c r="G670" s="1">
        <f>'Unformatted Trip Summary'!G668</f>
        <v>248.44248303000001</v>
      </c>
      <c r="H670" s="1">
        <f>'Unformatted Trip Summary'!H668</f>
        <v>5.4457496082999999</v>
      </c>
    </row>
    <row r="671" spans="1:8" x14ac:dyDescent="0.2">
      <c r="A671" t="str">
        <f>'Unformatted Trip Summary'!A669</f>
        <v>09 WELLINGTON</v>
      </c>
      <c r="B671" t="str">
        <f>'Unformatted Trip Summary'!J669</f>
        <v>2022/23</v>
      </c>
      <c r="C671" t="str">
        <f>'Unformatted Trip Summary'!I669</f>
        <v>Local Train</v>
      </c>
      <c r="D671">
        <f>'Unformatted Trip Summary'!D669</f>
        <v>94</v>
      </c>
      <c r="E671">
        <f>'Unformatted Trip Summary'!E669</f>
        <v>228</v>
      </c>
      <c r="F671" s="1">
        <f>'Unformatted Trip Summary'!F669</f>
        <v>10.859865211000001</v>
      </c>
      <c r="G671" s="1">
        <f>'Unformatted Trip Summary'!G669</f>
        <v>265.06830047</v>
      </c>
      <c r="H671" s="1">
        <f>'Unformatted Trip Summary'!H669</f>
        <v>5.7970040563999996</v>
      </c>
    </row>
    <row r="672" spans="1:8" x14ac:dyDescent="0.2">
      <c r="A672" t="str">
        <f>'Unformatted Trip Summary'!A670</f>
        <v>09 WELLINGTON</v>
      </c>
      <c r="B672" t="str">
        <f>'Unformatted Trip Summary'!J670</f>
        <v>2027/28</v>
      </c>
      <c r="C672" t="str">
        <f>'Unformatted Trip Summary'!I670</f>
        <v>Local Train</v>
      </c>
      <c r="D672">
        <f>'Unformatted Trip Summary'!D670</f>
        <v>94</v>
      </c>
      <c r="E672">
        <f>'Unformatted Trip Summary'!E670</f>
        <v>228</v>
      </c>
      <c r="F672" s="1">
        <f>'Unformatted Trip Summary'!F670</f>
        <v>10.683263460999999</v>
      </c>
      <c r="G672" s="1">
        <f>'Unformatted Trip Summary'!G670</f>
        <v>263.58451653999998</v>
      </c>
      <c r="H672" s="1">
        <f>'Unformatted Trip Summary'!H670</f>
        <v>5.7580250529999999</v>
      </c>
    </row>
    <row r="673" spans="1:8" x14ac:dyDescent="0.2">
      <c r="A673" t="str">
        <f>'Unformatted Trip Summary'!A671</f>
        <v>09 WELLINGTON</v>
      </c>
      <c r="B673" t="str">
        <f>'Unformatted Trip Summary'!J671</f>
        <v>2032/33</v>
      </c>
      <c r="C673" t="str">
        <f>'Unformatted Trip Summary'!I671</f>
        <v>Local Train</v>
      </c>
      <c r="D673">
        <f>'Unformatted Trip Summary'!D671</f>
        <v>94</v>
      </c>
      <c r="E673">
        <f>'Unformatted Trip Summary'!E671</f>
        <v>228</v>
      </c>
      <c r="F673" s="1">
        <f>'Unformatted Trip Summary'!F671</f>
        <v>10.385782411999999</v>
      </c>
      <c r="G673" s="1">
        <f>'Unformatted Trip Summary'!G671</f>
        <v>256.17808224999999</v>
      </c>
      <c r="H673" s="1">
        <f>'Unformatted Trip Summary'!H671</f>
        <v>5.6142858811999998</v>
      </c>
    </row>
    <row r="674" spans="1:8" x14ac:dyDescent="0.2">
      <c r="A674" t="str">
        <f>'Unformatted Trip Summary'!A672</f>
        <v>09 WELLINGTON</v>
      </c>
      <c r="B674" t="str">
        <f>'Unformatted Trip Summary'!J672</f>
        <v>2037/38</v>
      </c>
      <c r="C674" t="str">
        <f>'Unformatted Trip Summary'!I672</f>
        <v>Local Train</v>
      </c>
      <c r="D674">
        <f>'Unformatted Trip Summary'!D672</f>
        <v>94</v>
      </c>
      <c r="E674">
        <f>'Unformatted Trip Summary'!E672</f>
        <v>228</v>
      </c>
      <c r="F674" s="1">
        <f>'Unformatted Trip Summary'!F672</f>
        <v>10.128598181999999</v>
      </c>
      <c r="G674" s="1">
        <f>'Unformatted Trip Summary'!G672</f>
        <v>248.81406132000001</v>
      </c>
      <c r="H674" s="1">
        <f>'Unformatted Trip Summary'!H672</f>
        <v>5.4689339025999999</v>
      </c>
    </row>
    <row r="675" spans="1:8" x14ac:dyDescent="0.2">
      <c r="A675" t="str">
        <f>'Unformatted Trip Summary'!A673</f>
        <v>09 WELLINGTON</v>
      </c>
      <c r="B675" t="str">
        <f>'Unformatted Trip Summary'!J673</f>
        <v>2042/43</v>
      </c>
      <c r="C675" t="str">
        <f>'Unformatted Trip Summary'!I673</f>
        <v>Local Train</v>
      </c>
      <c r="D675">
        <f>'Unformatted Trip Summary'!D673</f>
        <v>94</v>
      </c>
      <c r="E675">
        <f>'Unformatted Trip Summary'!E673</f>
        <v>228</v>
      </c>
      <c r="F675" s="1">
        <f>'Unformatted Trip Summary'!F673</f>
        <v>9.8277317289999999</v>
      </c>
      <c r="G675" s="1">
        <f>'Unformatted Trip Summary'!G673</f>
        <v>240.12026714999999</v>
      </c>
      <c r="H675" s="1">
        <f>'Unformatted Trip Summary'!H673</f>
        <v>5.2999744542</v>
      </c>
    </row>
    <row r="676" spans="1:8" x14ac:dyDescent="0.2">
      <c r="A676" t="str">
        <f>'Unformatted Trip Summary'!A674</f>
        <v>09 WELLINGTON</v>
      </c>
      <c r="B676" t="str">
        <f>'Unformatted Trip Summary'!J674</f>
        <v>2012/13</v>
      </c>
      <c r="C676" t="str">
        <f>'Unformatted Trip Summary'!I674</f>
        <v>Local Bus</v>
      </c>
      <c r="D676">
        <f>'Unformatted Trip Summary'!D674</f>
        <v>211</v>
      </c>
      <c r="E676">
        <f>'Unformatted Trip Summary'!E674</f>
        <v>552</v>
      </c>
      <c r="F676" s="1">
        <f>'Unformatted Trip Summary'!F674</f>
        <v>24.821335829999999</v>
      </c>
      <c r="G676" s="1">
        <f>'Unformatted Trip Summary'!G674</f>
        <v>187.412398</v>
      </c>
      <c r="H676" s="1">
        <f>'Unformatted Trip Summary'!H674</f>
        <v>9.3956469076999998</v>
      </c>
    </row>
    <row r="677" spans="1:8" x14ac:dyDescent="0.2">
      <c r="A677" t="str">
        <f>'Unformatted Trip Summary'!A675</f>
        <v>09 WELLINGTON</v>
      </c>
      <c r="B677" t="str">
        <f>'Unformatted Trip Summary'!J675</f>
        <v>2017/18</v>
      </c>
      <c r="C677" t="str">
        <f>'Unformatted Trip Summary'!I675</f>
        <v>Local Bus</v>
      </c>
      <c r="D677">
        <f>'Unformatted Trip Summary'!D675</f>
        <v>211</v>
      </c>
      <c r="E677">
        <f>'Unformatted Trip Summary'!E675</f>
        <v>552</v>
      </c>
      <c r="F677" s="1">
        <f>'Unformatted Trip Summary'!F675</f>
        <v>23.850128953999999</v>
      </c>
      <c r="G677" s="1">
        <f>'Unformatted Trip Summary'!G675</f>
        <v>181.7900128</v>
      </c>
      <c r="H677" s="1">
        <f>'Unformatted Trip Summary'!H675</f>
        <v>9.0797274296000001</v>
      </c>
    </row>
    <row r="678" spans="1:8" x14ac:dyDescent="0.2">
      <c r="A678" t="str">
        <f>'Unformatted Trip Summary'!A676</f>
        <v>09 WELLINGTON</v>
      </c>
      <c r="B678" t="str">
        <f>'Unformatted Trip Summary'!J676</f>
        <v>2022/23</v>
      </c>
      <c r="C678" t="str">
        <f>'Unformatted Trip Summary'!I676</f>
        <v>Local Bus</v>
      </c>
      <c r="D678">
        <f>'Unformatted Trip Summary'!D676</f>
        <v>211</v>
      </c>
      <c r="E678">
        <f>'Unformatted Trip Summary'!E676</f>
        <v>552</v>
      </c>
      <c r="F678" s="1">
        <f>'Unformatted Trip Summary'!F676</f>
        <v>24.259543268000002</v>
      </c>
      <c r="G678" s="1">
        <f>'Unformatted Trip Summary'!G676</f>
        <v>187.11115660999999</v>
      </c>
      <c r="H678" s="1">
        <f>'Unformatted Trip Summary'!H676</f>
        <v>9.3040085975999993</v>
      </c>
    </row>
    <row r="679" spans="1:8" x14ac:dyDescent="0.2">
      <c r="A679" t="str">
        <f>'Unformatted Trip Summary'!A677</f>
        <v>09 WELLINGTON</v>
      </c>
      <c r="B679" t="str">
        <f>'Unformatted Trip Summary'!J677</f>
        <v>2027/28</v>
      </c>
      <c r="C679" t="str">
        <f>'Unformatted Trip Summary'!I677</f>
        <v>Local Bus</v>
      </c>
      <c r="D679">
        <f>'Unformatted Trip Summary'!D677</f>
        <v>211</v>
      </c>
      <c r="E679">
        <f>'Unformatted Trip Summary'!E677</f>
        <v>552</v>
      </c>
      <c r="F679" s="1">
        <f>'Unformatted Trip Summary'!F677</f>
        <v>23.003972069</v>
      </c>
      <c r="G679" s="1">
        <f>'Unformatted Trip Summary'!G677</f>
        <v>182.32258335</v>
      </c>
      <c r="H679" s="1">
        <f>'Unformatted Trip Summary'!H677</f>
        <v>8.8628852868999992</v>
      </c>
    </row>
    <row r="680" spans="1:8" x14ac:dyDescent="0.2">
      <c r="A680" t="str">
        <f>'Unformatted Trip Summary'!A678</f>
        <v>09 WELLINGTON</v>
      </c>
      <c r="B680" t="str">
        <f>'Unformatted Trip Summary'!J678</f>
        <v>2032/33</v>
      </c>
      <c r="C680" t="str">
        <f>'Unformatted Trip Summary'!I678</f>
        <v>Local Bus</v>
      </c>
      <c r="D680">
        <f>'Unformatted Trip Summary'!D678</f>
        <v>211</v>
      </c>
      <c r="E680">
        <f>'Unformatted Trip Summary'!E678</f>
        <v>552</v>
      </c>
      <c r="F680" s="1">
        <f>'Unformatted Trip Summary'!F678</f>
        <v>21.607857992</v>
      </c>
      <c r="G680" s="1">
        <f>'Unformatted Trip Summary'!G678</f>
        <v>177.10118631</v>
      </c>
      <c r="H680" s="1">
        <f>'Unformatted Trip Summary'!H678</f>
        <v>8.3726417217000009</v>
      </c>
    </row>
    <row r="681" spans="1:8" x14ac:dyDescent="0.2">
      <c r="A681" t="str">
        <f>'Unformatted Trip Summary'!A679</f>
        <v>09 WELLINGTON</v>
      </c>
      <c r="B681" t="str">
        <f>'Unformatted Trip Summary'!J679</f>
        <v>2037/38</v>
      </c>
      <c r="C681" t="str">
        <f>'Unformatted Trip Summary'!I679</f>
        <v>Local Bus</v>
      </c>
      <c r="D681">
        <f>'Unformatted Trip Summary'!D679</f>
        <v>211</v>
      </c>
      <c r="E681">
        <f>'Unformatted Trip Summary'!E679</f>
        <v>552</v>
      </c>
      <c r="F681" s="1">
        <f>'Unformatted Trip Summary'!F679</f>
        <v>20.261840903</v>
      </c>
      <c r="G681" s="1">
        <f>'Unformatted Trip Summary'!G679</f>
        <v>171.97027491</v>
      </c>
      <c r="H681" s="1">
        <f>'Unformatted Trip Summary'!H679</f>
        <v>7.8966896970000002</v>
      </c>
    </row>
    <row r="682" spans="1:8" x14ac:dyDescent="0.2">
      <c r="A682" t="str">
        <f>'Unformatted Trip Summary'!A680</f>
        <v>09 WELLINGTON</v>
      </c>
      <c r="B682" t="str">
        <f>'Unformatted Trip Summary'!J680</f>
        <v>2042/43</v>
      </c>
      <c r="C682" t="str">
        <f>'Unformatted Trip Summary'!I680</f>
        <v>Local Bus</v>
      </c>
      <c r="D682">
        <f>'Unformatted Trip Summary'!D680</f>
        <v>211</v>
      </c>
      <c r="E682">
        <f>'Unformatted Trip Summary'!E680</f>
        <v>552</v>
      </c>
      <c r="F682" s="1">
        <f>'Unformatted Trip Summary'!F680</f>
        <v>18.955095878000002</v>
      </c>
      <c r="G682" s="1">
        <f>'Unformatted Trip Summary'!G680</f>
        <v>166.55157001000001</v>
      </c>
      <c r="H682" s="1">
        <f>'Unformatted Trip Summary'!H680</f>
        <v>7.4243218439999996</v>
      </c>
    </row>
    <row r="683" spans="1:8" x14ac:dyDescent="0.2">
      <c r="A683" t="str">
        <f>'Unformatted Trip Summary'!A681</f>
        <v>09 WELLINGTON</v>
      </c>
      <c r="B683" t="str">
        <f>'Unformatted Trip Summary'!J681</f>
        <v>2012/13</v>
      </c>
      <c r="C683" t="str">
        <f>'Unformatted Trip Summary'!I681</f>
        <v>Local Ferry</v>
      </c>
      <c r="D683">
        <f>'Unformatted Trip Summary'!D681</f>
        <v>2</v>
      </c>
      <c r="E683">
        <f>'Unformatted Trip Summary'!E681</f>
        <v>4</v>
      </c>
      <c r="F683" s="1">
        <f>'Unformatted Trip Summary'!F681</f>
        <v>0.22615005399999999</v>
      </c>
      <c r="G683" s="1">
        <f>'Unformatted Trip Summary'!G681</f>
        <v>0</v>
      </c>
      <c r="H683" s="1">
        <f>'Unformatted Trip Summary'!H681</f>
        <v>5.6537513499999997E-2</v>
      </c>
    </row>
    <row r="684" spans="1:8" x14ac:dyDescent="0.2">
      <c r="A684" t="str">
        <f>'Unformatted Trip Summary'!A682</f>
        <v>09 WELLINGTON</v>
      </c>
      <c r="B684" t="str">
        <f>'Unformatted Trip Summary'!J682</f>
        <v>2017/18</v>
      </c>
      <c r="C684" t="str">
        <f>'Unformatted Trip Summary'!I682</f>
        <v>Local Ferry</v>
      </c>
      <c r="D684">
        <f>'Unformatted Trip Summary'!D682</f>
        <v>2</v>
      </c>
      <c r="E684">
        <f>'Unformatted Trip Summary'!E682</f>
        <v>4</v>
      </c>
      <c r="F684" s="1">
        <f>'Unformatted Trip Summary'!F682</f>
        <v>0.25161437549999999</v>
      </c>
      <c r="G684" s="1">
        <f>'Unformatted Trip Summary'!G682</f>
        <v>0</v>
      </c>
      <c r="H684" s="1">
        <f>'Unformatted Trip Summary'!H682</f>
        <v>6.2903593899999999E-2</v>
      </c>
    </row>
    <row r="685" spans="1:8" x14ac:dyDescent="0.2">
      <c r="A685" t="str">
        <f>'Unformatted Trip Summary'!A683</f>
        <v>09 WELLINGTON</v>
      </c>
      <c r="B685" t="str">
        <f>'Unformatted Trip Summary'!J683</f>
        <v>2022/23</v>
      </c>
      <c r="C685" t="str">
        <f>'Unformatted Trip Summary'!I683</f>
        <v>Local Ferry</v>
      </c>
      <c r="D685">
        <f>'Unformatted Trip Summary'!D683</f>
        <v>2</v>
      </c>
      <c r="E685">
        <f>'Unformatted Trip Summary'!E683</f>
        <v>4</v>
      </c>
      <c r="F685" s="1">
        <f>'Unformatted Trip Summary'!F683</f>
        <v>0.29867249950000002</v>
      </c>
      <c r="G685" s="1">
        <f>'Unformatted Trip Summary'!G683</f>
        <v>0</v>
      </c>
      <c r="H685" s="1">
        <f>'Unformatted Trip Summary'!H683</f>
        <v>7.4668124899999994E-2</v>
      </c>
    </row>
    <row r="686" spans="1:8" x14ac:dyDescent="0.2">
      <c r="A686" t="str">
        <f>'Unformatted Trip Summary'!A684</f>
        <v>09 WELLINGTON</v>
      </c>
      <c r="B686" t="str">
        <f>'Unformatted Trip Summary'!J684</f>
        <v>2027/28</v>
      </c>
      <c r="C686" t="str">
        <f>'Unformatted Trip Summary'!I684</f>
        <v>Local Ferry</v>
      </c>
      <c r="D686">
        <f>'Unformatted Trip Summary'!D684</f>
        <v>2</v>
      </c>
      <c r="E686">
        <f>'Unformatted Trip Summary'!E684</f>
        <v>4</v>
      </c>
      <c r="F686" s="1">
        <f>'Unformatted Trip Summary'!F684</f>
        <v>0.33806518390000001</v>
      </c>
      <c r="G686" s="1">
        <f>'Unformatted Trip Summary'!G684</f>
        <v>0</v>
      </c>
      <c r="H686" s="1">
        <f>'Unformatted Trip Summary'!H684</f>
        <v>8.4516296000000005E-2</v>
      </c>
    </row>
    <row r="687" spans="1:8" x14ac:dyDescent="0.2">
      <c r="A687" t="str">
        <f>'Unformatted Trip Summary'!A685</f>
        <v>09 WELLINGTON</v>
      </c>
      <c r="B687" t="str">
        <f>'Unformatted Trip Summary'!J685</f>
        <v>2032/33</v>
      </c>
      <c r="C687" t="str">
        <f>'Unformatted Trip Summary'!I685</f>
        <v>Local Ferry</v>
      </c>
      <c r="D687">
        <f>'Unformatted Trip Summary'!D685</f>
        <v>2</v>
      </c>
      <c r="E687">
        <f>'Unformatted Trip Summary'!E685</f>
        <v>4</v>
      </c>
      <c r="F687" s="1">
        <f>'Unformatted Trip Summary'!F685</f>
        <v>0.37676095970000001</v>
      </c>
      <c r="G687" s="1">
        <f>'Unformatted Trip Summary'!G685</f>
        <v>0</v>
      </c>
      <c r="H687" s="1">
        <f>'Unformatted Trip Summary'!H685</f>
        <v>9.41902399E-2</v>
      </c>
    </row>
    <row r="688" spans="1:8" x14ac:dyDescent="0.2">
      <c r="A688" t="str">
        <f>'Unformatted Trip Summary'!A686</f>
        <v>09 WELLINGTON</v>
      </c>
      <c r="B688" t="str">
        <f>'Unformatted Trip Summary'!J686</f>
        <v>2037/38</v>
      </c>
      <c r="C688" t="str">
        <f>'Unformatted Trip Summary'!I686</f>
        <v>Local Ferry</v>
      </c>
      <c r="D688">
        <f>'Unformatted Trip Summary'!D686</f>
        <v>2</v>
      </c>
      <c r="E688">
        <f>'Unformatted Trip Summary'!E686</f>
        <v>4</v>
      </c>
      <c r="F688" s="1">
        <f>'Unformatted Trip Summary'!F686</f>
        <v>0.42251739859999998</v>
      </c>
      <c r="G688" s="1">
        <f>'Unformatted Trip Summary'!G686</f>
        <v>0</v>
      </c>
      <c r="H688" s="1">
        <f>'Unformatted Trip Summary'!H686</f>
        <v>0.1056293497</v>
      </c>
    </row>
    <row r="689" spans="1:8" x14ac:dyDescent="0.2">
      <c r="A689" t="str">
        <f>'Unformatted Trip Summary'!A687</f>
        <v>09 WELLINGTON</v>
      </c>
      <c r="B689" t="str">
        <f>'Unformatted Trip Summary'!J687</f>
        <v>2042/43</v>
      </c>
      <c r="C689" t="str">
        <f>'Unformatted Trip Summary'!I687</f>
        <v>Local Ferry</v>
      </c>
      <c r="D689">
        <f>'Unformatted Trip Summary'!D687</f>
        <v>2</v>
      </c>
      <c r="E689">
        <f>'Unformatted Trip Summary'!E687</f>
        <v>4</v>
      </c>
      <c r="F689" s="1">
        <f>'Unformatted Trip Summary'!F687</f>
        <v>0.46676014850000003</v>
      </c>
      <c r="G689" s="1">
        <f>'Unformatted Trip Summary'!G687</f>
        <v>0</v>
      </c>
      <c r="H689" s="1">
        <f>'Unformatted Trip Summary'!H687</f>
        <v>0.1166900371</v>
      </c>
    </row>
    <row r="690" spans="1:8" x14ac:dyDescent="0.2">
      <c r="A690" t="str">
        <f>'Unformatted Trip Summary'!A688</f>
        <v>09 WELLINGTON</v>
      </c>
      <c r="B690" t="str">
        <f>'Unformatted Trip Summary'!J688</f>
        <v>2012/13</v>
      </c>
      <c r="C690" t="str">
        <f>'Unformatted Trip Summary'!I688</f>
        <v>Other Household Travel</v>
      </c>
      <c r="D690">
        <f>'Unformatted Trip Summary'!D688</f>
        <v>7</v>
      </c>
      <c r="E690">
        <f>'Unformatted Trip Summary'!E688</f>
        <v>10</v>
      </c>
      <c r="F690" s="1">
        <f>'Unformatted Trip Summary'!F688</f>
        <v>0.33422365529999998</v>
      </c>
      <c r="G690" s="1">
        <f>'Unformatted Trip Summary'!G688</f>
        <v>0</v>
      </c>
      <c r="H690" s="1">
        <f>'Unformatted Trip Summary'!H688</f>
        <v>0.36538599710000003</v>
      </c>
    </row>
    <row r="691" spans="1:8" x14ac:dyDescent="0.2">
      <c r="A691" t="str">
        <f>'Unformatted Trip Summary'!A689</f>
        <v>09 WELLINGTON</v>
      </c>
      <c r="B691" t="str">
        <f>'Unformatted Trip Summary'!J689</f>
        <v>2017/18</v>
      </c>
      <c r="C691" t="str">
        <f>'Unformatted Trip Summary'!I689</f>
        <v>Other Household Travel</v>
      </c>
      <c r="D691">
        <f>'Unformatted Trip Summary'!D689</f>
        <v>7</v>
      </c>
      <c r="E691">
        <f>'Unformatted Trip Summary'!E689</f>
        <v>10</v>
      </c>
      <c r="F691" s="1">
        <f>'Unformatted Trip Summary'!F689</f>
        <v>0.31002510319999999</v>
      </c>
      <c r="G691" s="1">
        <f>'Unformatted Trip Summary'!G689</f>
        <v>0</v>
      </c>
      <c r="H691" s="1">
        <f>'Unformatted Trip Summary'!H689</f>
        <v>0.32689731360000002</v>
      </c>
    </row>
    <row r="692" spans="1:8" x14ac:dyDescent="0.2">
      <c r="A692" t="str">
        <f>'Unformatted Trip Summary'!A690</f>
        <v>09 WELLINGTON</v>
      </c>
      <c r="B692" t="str">
        <f>'Unformatted Trip Summary'!J690</f>
        <v>2022/23</v>
      </c>
      <c r="C692" t="str">
        <f>'Unformatted Trip Summary'!I690</f>
        <v>Other Household Travel</v>
      </c>
      <c r="D692">
        <f>'Unformatted Trip Summary'!D690</f>
        <v>7</v>
      </c>
      <c r="E692">
        <f>'Unformatted Trip Summary'!E690</f>
        <v>10</v>
      </c>
      <c r="F692" s="1">
        <f>'Unformatted Trip Summary'!F690</f>
        <v>0.32476526610000001</v>
      </c>
      <c r="G692" s="1">
        <f>'Unformatted Trip Summary'!G690</f>
        <v>0</v>
      </c>
      <c r="H692" s="1">
        <f>'Unformatted Trip Summary'!H690</f>
        <v>0.33525093989999999</v>
      </c>
    </row>
    <row r="693" spans="1:8" x14ac:dyDescent="0.2">
      <c r="A693" t="str">
        <f>'Unformatted Trip Summary'!A691</f>
        <v>09 WELLINGTON</v>
      </c>
      <c r="B693" t="str">
        <f>'Unformatted Trip Summary'!J691</f>
        <v>2027/28</v>
      </c>
      <c r="C693" t="str">
        <f>'Unformatted Trip Summary'!I691</f>
        <v>Other Household Travel</v>
      </c>
      <c r="D693">
        <f>'Unformatted Trip Summary'!D691</f>
        <v>7</v>
      </c>
      <c r="E693">
        <f>'Unformatted Trip Summary'!E691</f>
        <v>10</v>
      </c>
      <c r="F693" s="1">
        <f>'Unformatted Trip Summary'!F691</f>
        <v>0.3165565246</v>
      </c>
      <c r="G693" s="1">
        <f>'Unformatted Trip Summary'!G691</f>
        <v>0</v>
      </c>
      <c r="H693" s="1">
        <f>'Unformatted Trip Summary'!H691</f>
        <v>0.37054193460000001</v>
      </c>
    </row>
    <row r="694" spans="1:8" x14ac:dyDescent="0.2">
      <c r="A694" t="str">
        <f>'Unformatted Trip Summary'!A692</f>
        <v>09 WELLINGTON</v>
      </c>
      <c r="B694" t="str">
        <f>'Unformatted Trip Summary'!J692</f>
        <v>2032/33</v>
      </c>
      <c r="C694" t="str">
        <f>'Unformatted Trip Summary'!I692</f>
        <v>Other Household Travel</v>
      </c>
      <c r="D694">
        <f>'Unformatted Trip Summary'!D692</f>
        <v>7</v>
      </c>
      <c r="E694">
        <f>'Unformatted Trip Summary'!E692</f>
        <v>10</v>
      </c>
      <c r="F694" s="1">
        <f>'Unformatted Trip Summary'!F692</f>
        <v>0.3005884607</v>
      </c>
      <c r="G694" s="1">
        <f>'Unformatted Trip Summary'!G692</f>
        <v>0</v>
      </c>
      <c r="H694" s="1">
        <f>'Unformatted Trip Summary'!H692</f>
        <v>0.38282474119999998</v>
      </c>
    </row>
    <row r="695" spans="1:8" x14ac:dyDescent="0.2">
      <c r="A695" t="str">
        <f>'Unformatted Trip Summary'!A693</f>
        <v>09 WELLINGTON</v>
      </c>
      <c r="B695" t="str">
        <f>'Unformatted Trip Summary'!J693</f>
        <v>2037/38</v>
      </c>
      <c r="C695" t="str">
        <f>'Unformatted Trip Summary'!I693</f>
        <v>Other Household Travel</v>
      </c>
      <c r="D695">
        <f>'Unformatted Trip Summary'!D693</f>
        <v>7</v>
      </c>
      <c r="E695">
        <f>'Unformatted Trip Summary'!E693</f>
        <v>10</v>
      </c>
      <c r="F695" s="1">
        <f>'Unformatted Trip Summary'!F693</f>
        <v>0.28488795750000001</v>
      </c>
      <c r="G695" s="1">
        <f>'Unformatted Trip Summary'!G693</f>
        <v>0</v>
      </c>
      <c r="H695" s="1">
        <f>'Unformatted Trip Summary'!H693</f>
        <v>0.35636601680000002</v>
      </c>
    </row>
    <row r="696" spans="1:8" x14ac:dyDescent="0.2">
      <c r="A696" t="str">
        <f>'Unformatted Trip Summary'!A694</f>
        <v>09 WELLINGTON</v>
      </c>
      <c r="B696" t="str">
        <f>'Unformatted Trip Summary'!J694</f>
        <v>2042/43</v>
      </c>
      <c r="C696" t="str">
        <f>'Unformatted Trip Summary'!I694</f>
        <v>Other Household Travel</v>
      </c>
      <c r="D696">
        <f>'Unformatted Trip Summary'!D694</f>
        <v>7</v>
      </c>
      <c r="E696">
        <f>'Unformatted Trip Summary'!E694</f>
        <v>10</v>
      </c>
      <c r="F696" s="1">
        <f>'Unformatted Trip Summary'!F694</f>
        <v>0.26677333040000001</v>
      </c>
      <c r="G696" s="1">
        <f>'Unformatted Trip Summary'!G694</f>
        <v>0</v>
      </c>
      <c r="H696" s="1">
        <f>'Unformatted Trip Summary'!H694</f>
        <v>0.32363022759999999</v>
      </c>
    </row>
    <row r="697" spans="1:8" x14ac:dyDescent="0.2">
      <c r="A697" t="str">
        <f>'Unformatted Trip Summary'!A695</f>
        <v>09 WELLINGTON</v>
      </c>
      <c r="B697" t="str">
        <f>'Unformatted Trip Summary'!J695</f>
        <v>2012/13</v>
      </c>
      <c r="C697" t="str">
        <f>'Unformatted Trip Summary'!I695</f>
        <v>Air/Non-Local PT</v>
      </c>
      <c r="D697">
        <f>'Unformatted Trip Summary'!D695</f>
        <v>44</v>
      </c>
      <c r="E697">
        <f>'Unformatted Trip Summary'!E695</f>
        <v>59</v>
      </c>
      <c r="F697" s="1">
        <f>'Unformatted Trip Summary'!F695</f>
        <v>2.6590020702000001</v>
      </c>
      <c r="G697" s="1">
        <f>'Unformatted Trip Summary'!G695</f>
        <v>67.715118274999995</v>
      </c>
      <c r="H697" s="1">
        <f>'Unformatted Trip Summary'!H695</f>
        <v>5.4178011538000002</v>
      </c>
    </row>
    <row r="698" spans="1:8" x14ac:dyDescent="0.2">
      <c r="A698" t="str">
        <f>'Unformatted Trip Summary'!A696</f>
        <v>09 WELLINGTON</v>
      </c>
      <c r="B698" t="str">
        <f>'Unformatted Trip Summary'!J696</f>
        <v>2017/18</v>
      </c>
      <c r="C698" t="str">
        <f>'Unformatted Trip Summary'!I696</f>
        <v>Air/Non-Local PT</v>
      </c>
      <c r="D698">
        <f>'Unformatted Trip Summary'!D696</f>
        <v>44</v>
      </c>
      <c r="E698">
        <f>'Unformatted Trip Summary'!E696</f>
        <v>59</v>
      </c>
      <c r="F698" s="1">
        <f>'Unformatted Trip Summary'!F696</f>
        <v>2.7602023181000002</v>
      </c>
      <c r="G698" s="1">
        <f>'Unformatted Trip Summary'!G696</f>
        <v>77.617112509999998</v>
      </c>
      <c r="H698" s="1">
        <f>'Unformatted Trip Summary'!H696</f>
        <v>5.7225328060000002</v>
      </c>
    </row>
    <row r="699" spans="1:8" x14ac:dyDescent="0.2">
      <c r="A699" t="str">
        <f>'Unformatted Trip Summary'!A697</f>
        <v>09 WELLINGTON</v>
      </c>
      <c r="B699" t="str">
        <f>'Unformatted Trip Summary'!J697</f>
        <v>2022/23</v>
      </c>
      <c r="C699" t="str">
        <f>'Unformatted Trip Summary'!I697</f>
        <v>Air/Non-Local PT</v>
      </c>
      <c r="D699">
        <f>'Unformatted Trip Summary'!D697</f>
        <v>44</v>
      </c>
      <c r="E699">
        <f>'Unformatted Trip Summary'!E697</f>
        <v>59</v>
      </c>
      <c r="F699" s="1">
        <f>'Unformatted Trip Summary'!F697</f>
        <v>3.1215030637000001</v>
      </c>
      <c r="G699" s="1">
        <f>'Unformatted Trip Summary'!G697</f>
        <v>90.359648090999997</v>
      </c>
      <c r="H699" s="1">
        <f>'Unformatted Trip Summary'!H697</f>
        <v>6.6538859965999997</v>
      </c>
    </row>
    <row r="700" spans="1:8" x14ac:dyDescent="0.2">
      <c r="A700" t="str">
        <f>'Unformatted Trip Summary'!A698</f>
        <v>09 WELLINGTON</v>
      </c>
      <c r="B700" t="str">
        <f>'Unformatted Trip Summary'!J698</f>
        <v>2027/28</v>
      </c>
      <c r="C700" t="str">
        <f>'Unformatted Trip Summary'!I698</f>
        <v>Air/Non-Local PT</v>
      </c>
      <c r="D700">
        <f>'Unformatted Trip Summary'!D698</f>
        <v>44</v>
      </c>
      <c r="E700">
        <f>'Unformatted Trip Summary'!E698</f>
        <v>59</v>
      </c>
      <c r="F700" s="1">
        <f>'Unformatted Trip Summary'!F698</f>
        <v>3.3824796897999998</v>
      </c>
      <c r="G700" s="1">
        <f>'Unformatted Trip Summary'!G698</f>
        <v>91.474079821000004</v>
      </c>
      <c r="H700" s="1">
        <f>'Unformatted Trip Summary'!H698</f>
        <v>7.3705023537000001</v>
      </c>
    </row>
    <row r="701" spans="1:8" x14ac:dyDescent="0.2">
      <c r="A701" t="str">
        <f>'Unformatted Trip Summary'!A699</f>
        <v>09 WELLINGTON</v>
      </c>
      <c r="B701" t="str">
        <f>'Unformatted Trip Summary'!J699</f>
        <v>2032/33</v>
      </c>
      <c r="C701" t="str">
        <f>'Unformatted Trip Summary'!I699</f>
        <v>Air/Non-Local PT</v>
      </c>
      <c r="D701">
        <f>'Unformatted Trip Summary'!D699</f>
        <v>44</v>
      </c>
      <c r="E701">
        <f>'Unformatted Trip Summary'!E699</f>
        <v>59</v>
      </c>
      <c r="F701" s="1">
        <f>'Unformatted Trip Summary'!F699</f>
        <v>3.5653346963999999</v>
      </c>
      <c r="G701" s="1">
        <f>'Unformatted Trip Summary'!G699</f>
        <v>88.996563203999997</v>
      </c>
      <c r="H701" s="1">
        <f>'Unformatted Trip Summary'!H699</f>
        <v>7.8651554653</v>
      </c>
    </row>
    <row r="702" spans="1:8" x14ac:dyDescent="0.2">
      <c r="A702" t="str">
        <f>'Unformatted Trip Summary'!A700</f>
        <v>09 WELLINGTON</v>
      </c>
      <c r="B702" t="str">
        <f>'Unformatted Trip Summary'!J700</f>
        <v>2037/38</v>
      </c>
      <c r="C702" t="str">
        <f>'Unformatted Trip Summary'!I700</f>
        <v>Air/Non-Local PT</v>
      </c>
      <c r="D702">
        <f>'Unformatted Trip Summary'!D700</f>
        <v>44</v>
      </c>
      <c r="E702">
        <f>'Unformatted Trip Summary'!E700</f>
        <v>59</v>
      </c>
      <c r="F702" s="1">
        <f>'Unformatted Trip Summary'!F700</f>
        <v>3.6301513671999999</v>
      </c>
      <c r="G702" s="1">
        <f>'Unformatted Trip Summary'!G700</f>
        <v>82.861127292000006</v>
      </c>
      <c r="H702" s="1">
        <f>'Unformatted Trip Summary'!H700</f>
        <v>8.0001868505000004</v>
      </c>
    </row>
    <row r="703" spans="1:8" x14ac:dyDescent="0.2">
      <c r="A703" t="str">
        <f>'Unformatted Trip Summary'!A701</f>
        <v>09 WELLINGTON</v>
      </c>
      <c r="B703" t="str">
        <f>'Unformatted Trip Summary'!J701</f>
        <v>2042/43</v>
      </c>
      <c r="C703" t="str">
        <f>'Unformatted Trip Summary'!I701</f>
        <v>Air/Non-Local PT</v>
      </c>
      <c r="D703">
        <f>'Unformatted Trip Summary'!D701</f>
        <v>44</v>
      </c>
      <c r="E703">
        <f>'Unformatted Trip Summary'!E701</f>
        <v>59</v>
      </c>
      <c r="F703" s="1">
        <f>'Unformatted Trip Summary'!F701</f>
        <v>3.6722487881000001</v>
      </c>
      <c r="G703" s="1">
        <f>'Unformatted Trip Summary'!G701</f>
        <v>75.319982816999996</v>
      </c>
      <c r="H703" s="1">
        <f>'Unformatted Trip Summary'!H701</f>
        <v>8.0686788486999994</v>
      </c>
    </row>
    <row r="704" spans="1:8" x14ac:dyDescent="0.2">
      <c r="A704" t="str">
        <f>'Unformatted Trip Summary'!A702</f>
        <v>09 WELLINGTON</v>
      </c>
      <c r="B704" t="str">
        <f>'Unformatted Trip Summary'!J702</f>
        <v>2012/13</v>
      </c>
      <c r="C704" t="str">
        <f>'Unformatted Trip Summary'!I702</f>
        <v>Non-Household Travel</v>
      </c>
      <c r="D704">
        <f>'Unformatted Trip Summary'!D702</f>
        <v>22</v>
      </c>
      <c r="E704">
        <f>'Unformatted Trip Summary'!E702</f>
        <v>115</v>
      </c>
      <c r="F704" s="1">
        <f>'Unformatted Trip Summary'!F702</f>
        <v>5.4599503292999998</v>
      </c>
      <c r="G704" s="1">
        <f>'Unformatted Trip Summary'!G702</f>
        <v>100.96436647</v>
      </c>
      <c r="H704" s="1">
        <f>'Unformatted Trip Summary'!H702</f>
        <v>1.9758448391000001</v>
      </c>
    </row>
    <row r="705" spans="1:8" x14ac:dyDescent="0.2">
      <c r="A705" t="str">
        <f>'Unformatted Trip Summary'!A703</f>
        <v>09 WELLINGTON</v>
      </c>
      <c r="B705" t="str">
        <f>'Unformatted Trip Summary'!J703</f>
        <v>2017/18</v>
      </c>
      <c r="C705" t="str">
        <f>'Unformatted Trip Summary'!I703</f>
        <v>Non-Household Travel</v>
      </c>
      <c r="D705">
        <f>'Unformatted Trip Summary'!D703</f>
        <v>22</v>
      </c>
      <c r="E705">
        <f>'Unformatted Trip Summary'!E703</f>
        <v>115</v>
      </c>
      <c r="F705" s="1">
        <f>'Unformatted Trip Summary'!F703</f>
        <v>5.2767067031000003</v>
      </c>
      <c r="G705" s="1">
        <f>'Unformatted Trip Summary'!G703</f>
        <v>107.01605850999999</v>
      </c>
      <c r="H705" s="1">
        <f>'Unformatted Trip Summary'!H703</f>
        <v>2.0474502582</v>
      </c>
    </row>
    <row r="706" spans="1:8" x14ac:dyDescent="0.2">
      <c r="A706" t="str">
        <f>'Unformatted Trip Summary'!A704</f>
        <v>09 WELLINGTON</v>
      </c>
      <c r="B706" t="str">
        <f>'Unformatted Trip Summary'!J704</f>
        <v>2022/23</v>
      </c>
      <c r="C706" t="str">
        <f>'Unformatted Trip Summary'!I704</f>
        <v>Non-Household Travel</v>
      </c>
      <c r="D706">
        <f>'Unformatted Trip Summary'!D704</f>
        <v>22</v>
      </c>
      <c r="E706">
        <f>'Unformatted Trip Summary'!E704</f>
        <v>115</v>
      </c>
      <c r="F706" s="1">
        <f>'Unformatted Trip Summary'!F704</f>
        <v>5.5251865805999998</v>
      </c>
      <c r="G706" s="1">
        <f>'Unformatted Trip Summary'!G704</f>
        <v>120.52777138</v>
      </c>
      <c r="H706" s="1">
        <f>'Unformatted Trip Summary'!H704</f>
        <v>2.2750190606</v>
      </c>
    </row>
    <row r="707" spans="1:8" x14ac:dyDescent="0.2">
      <c r="A707" t="str">
        <f>'Unformatted Trip Summary'!A705</f>
        <v>09 WELLINGTON</v>
      </c>
      <c r="B707" t="str">
        <f>'Unformatted Trip Summary'!J705</f>
        <v>2027/28</v>
      </c>
      <c r="C707" t="str">
        <f>'Unformatted Trip Summary'!I705</f>
        <v>Non-Household Travel</v>
      </c>
      <c r="D707">
        <f>'Unformatted Trip Summary'!D705</f>
        <v>22</v>
      </c>
      <c r="E707">
        <f>'Unformatted Trip Summary'!E705</f>
        <v>115</v>
      </c>
      <c r="F707" s="1">
        <f>'Unformatted Trip Summary'!F705</f>
        <v>5.5716149715999999</v>
      </c>
      <c r="G707" s="1">
        <f>'Unformatted Trip Summary'!G705</f>
        <v>120.4680424</v>
      </c>
      <c r="H707" s="1">
        <f>'Unformatted Trip Summary'!H705</f>
        <v>2.2794584656999999</v>
      </c>
    </row>
    <row r="708" spans="1:8" x14ac:dyDescent="0.2">
      <c r="A708" t="str">
        <f>'Unformatted Trip Summary'!A706</f>
        <v>09 WELLINGTON</v>
      </c>
      <c r="B708" t="str">
        <f>'Unformatted Trip Summary'!J706</f>
        <v>2032/33</v>
      </c>
      <c r="C708" t="str">
        <f>'Unformatted Trip Summary'!I706</f>
        <v>Non-Household Travel</v>
      </c>
      <c r="D708">
        <f>'Unformatted Trip Summary'!D706</f>
        <v>22</v>
      </c>
      <c r="E708">
        <f>'Unformatted Trip Summary'!E706</f>
        <v>115</v>
      </c>
      <c r="F708" s="1">
        <f>'Unformatted Trip Summary'!F706</f>
        <v>5.7201179481000004</v>
      </c>
      <c r="G708" s="1">
        <f>'Unformatted Trip Summary'!G706</f>
        <v>118.61677822</v>
      </c>
      <c r="H708" s="1">
        <f>'Unformatted Trip Summary'!H706</f>
        <v>2.2816876825999999</v>
      </c>
    </row>
    <row r="709" spans="1:8" x14ac:dyDescent="0.2">
      <c r="A709" t="str">
        <f>'Unformatted Trip Summary'!A707</f>
        <v>09 WELLINGTON</v>
      </c>
      <c r="B709" t="str">
        <f>'Unformatted Trip Summary'!J707</f>
        <v>2037/38</v>
      </c>
      <c r="C709" t="str">
        <f>'Unformatted Trip Summary'!I707</f>
        <v>Non-Household Travel</v>
      </c>
      <c r="D709">
        <f>'Unformatted Trip Summary'!D707</f>
        <v>22</v>
      </c>
      <c r="E709">
        <f>'Unformatted Trip Summary'!E707</f>
        <v>115</v>
      </c>
      <c r="F709" s="1">
        <f>'Unformatted Trip Summary'!F707</f>
        <v>5.9902704911000004</v>
      </c>
      <c r="G709" s="1">
        <f>'Unformatted Trip Summary'!G707</f>
        <v>118.59427329</v>
      </c>
      <c r="H709" s="1">
        <f>'Unformatted Trip Summary'!H707</f>
        <v>2.3344334086999998</v>
      </c>
    </row>
    <row r="710" spans="1:8" x14ac:dyDescent="0.2">
      <c r="A710" t="str">
        <f>'Unformatted Trip Summary'!A708</f>
        <v>09 WELLINGTON</v>
      </c>
      <c r="B710" t="str">
        <f>'Unformatted Trip Summary'!J708</f>
        <v>2042/43</v>
      </c>
      <c r="C710" t="str">
        <f>'Unformatted Trip Summary'!I708</f>
        <v>Non-Household Travel</v>
      </c>
      <c r="D710">
        <f>'Unformatted Trip Summary'!D708</f>
        <v>22</v>
      </c>
      <c r="E710">
        <f>'Unformatted Trip Summary'!E708</f>
        <v>115</v>
      </c>
      <c r="F710" s="1">
        <f>'Unformatted Trip Summary'!F708</f>
        <v>6.2837643367</v>
      </c>
      <c r="G710" s="1">
        <f>'Unformatted Trip Summary'!G708</f>
        <v>118.32150256</v>
      </c>
      <c r="H710" s="1">
        <f>'Unformatted Trip Summary'!H708</f>
        <v>2.3853803291000002</v>
      </c>
    </row>
    <row r="711" spans="1:8" x14ac:dyDescent="0.2">
      <c r="A711" t="str">
        <f>'Unformatted Trip Summary'!A709</f>
        <v>10 NELS-MARLB-TAS</v>
      </c>
      <c r="B711" t="str">
        <f>'Unformatted Trip Summary'!J709</f>
        <v>2012/13</v>
      </c>
      <c r="C711" t="str">
        <f>'Unformatted Trip Summary'!I709</f>
        <v>Pedestrian</v>
      </c>
      <c r="D711">
        <f>'Unformatted Trip Summary'!D709</f>
        <v>333</v>
      </c>
      <c r="E711">
        <f>'Unformatted Trip Summary'!E709</f>
        <v>1184</v>
      </c>
      <c r="F711" s="1">
        <f>'Unformatted Trip Summary'!F709</f>
        <v>34.609993433</v>
      </c>
      <c r="G711" s="1">
        <f>'Unformatted Trip Summary'!G709</f>
        <v>28.582749250999999</v>
      </c>
      <c r="H711" s="1">
        <f>'Unformatted Trip Summary'!H709</f>
        <v>7.2640217022</v>
      </c>
    </row>
    <row r="712" spans="1:8" x14ac:dyDescent="0.2">
      <c r="A712" t="str">
        <f>'Unformatted Trip Summary'!A710</f>
        <v>10 NELS-MARLB-TAS</v>
      </c>
      <c r="B712" t="str">
        <f>'Unformatted Trip Summary'!J710</f>
        <v>2017/18</v>
      </c>
      <c r="C712" t="str">
        <f>'Unformatted Trip Summary'!I710</f>
        <v>Pedestrian</v>
      </c>
      <c r="D712">
        <f>'Unformatted Trip Summary'!D710</f>
        <v>333</v>
      </c>
      <c r="E712">
        <f>'Unformatted Trip Summary'!E710</f>
        <v>1184</v>
      </c>
      <c r="F712" s="1">
        <f>'Unformatted Trip Summary'!F710</f>
        <v>32.992558275999997</v>
      </c>
      <c r="G712" s="1">
        <f>'Unformatted Trip Summary'!G710</f>
        <v>27.267364876999999</v>
      </c>
      <c r="H712" s="1">
        <f>'Unformatted Trip Summary'!H710</f>
        <v>6.9012564692999998</v>
      </c>
    </row>
    <row r="713" spans="1:8" x14ac:dyDescent="0.2">
      <c r="A713" t="str">
        <f>'Unformatted Trip Summary'!A711</f>
        <v>10 NELS-MARLB-TAS</v>
      </c>
      <c r="B713" t="str">
        <f>'Unformatted Trip Summary'!J711</f>
        <v>2022/23</v>
      </c>
      <c r="C713" t="str">
        <f>'Unformatted Trip Summary'!I711</f>
        <v>Pedestrian</v>
      </c>
      <c r="D713">
        <f>'Unformatted Trip Summary'!D711</f>
        <v>333</v>
      </c>
      <c r="E713">
        <f>'Unformatted Trip Summary'!E711</f>
        <v>1184</v>
      </c>
      <c r="F713" s="1">
        <f>'Unformatted Trip Summary'!F711</f>
        <v>34.554545754999999</v>
      </c>
      <c r="G713" s="1">
        <f>'Unformatted Trip Summary'!G711</f>
        <v>28.824585110000001</v>
      </c>
      <c r="H713" s="1">
        <f>'Unformatted Trip Summary'!H711</f>
        <v>7.2513576973999996</v>
      </c>
    </row>
    <row r="714" spans="1:8" x14ac:dyDescent="0.2">
      <c r="A714" t="str">
        <f>'Unformatted Trip Summary'!A712</f>
        <v>10 NELS-MARLB-TAS</v>
      </c>
      <c r="B714" t="str">
        <f>'Unformatted Trip Summary'!J712</f>
        <v>2027/28</v>
      </c>
      <c r="C714" t="str">
        <f>'Unformatted Trip Summary'!I712</f>
        <v>Pedestrian</v>
      </c>
      <c r="D714">
        <f>'Unformatted Trip Summary'!D712</f>
        <v>333</v>
      </c>
      <c r="E714">
        <f>'Unformatted Trip Summary'!E712</f>
        <v>1184</v>
      </c>
      <c r="F714" s="1">
        <f>'Unformatted Trip Summary'!F712</f>
        <v>34.477018751999999</v>
      </c>
      <c r="G714" s="1">
        <f>'Unformatted Trip Summary'!G712</f>
        <v>28.939395995999998</v>
      </c>
      <c r="H714" s="1">
        <f>'Unformatted Trip Summary'!H712</f>
        <v>7.3093114993999997</v>
      </c>
    </row>
    <row r="715" spans="1:8" x14ac:dyDescent="0.2">
      <c r="A715" t="str">
        <f>'Unformatted Trip Summary'!A713</f>
        <v>10 NELS-MARLB-TAS</v>
      </c>
      <c r="B715" t="str">
        <f>'Unformatted Trip Summary'!J713</f>
        <v>2032/33</v>
      </c>
      <c r="C715" t="str">
        <f>'Unformatted Trip Summary'!I713</f>
        <v>Pedestrian</v>
      </c>
      <c r="D715">
        <f>'Unformatted Trip Summary'!D713</f>
        <v>333</v>
      </c>
      <c r="E715">
        <f>'Unformatted Trip Summary'!E713</f>
        <v>1184</v>
      </c>
      <c r="F715" s="1">
        <f>'Unformatted Trip Summary'!F713</f>
        <v>33.591976072999998</v>
      </c>
      <c r="G715" s="1">
        <f>'Unformatted Trip Summary'!G713</f>
        <v>28.389989558</v>
      </c>
      <c r="H715" s="1">
        <f>'Unformatted Trip Summary'!H713</f>
        <v>7.1925722921000004</v>
      </c>
    </row>
    <row r="716" spans="1:8" x14ac:dyDescent="0.2">
      <c r="A716" t="str">
        <f>'Unformatted Trip Summary'!A714</f>
        <v>10 NELS-MARLB-TAS</v>
      </c>
      <c r="B716" t="str">
        <f>'Unformatted Trip Summary'!J714</f>
        <v>2037/38</v>
      </c>
      <c r="C716" t="str">
        <f>'Unformatted Trip Summary'!I714</f>
        <v>Pedestrian</v>
      </c>
      <c r="D716">
        <f>'Unformatted Trip Summary'!D714</f>
        <v>333</v>
      </c>
      <c r="E716">
        <f>'Unformatted Trip Summary'!E714</f>
        <v>1184</v>
      </c>
      <c r="F716" s="1">
        <f>'Unformatted Trip Summary'!F714</f>
        <v>32.353178698000001</v>
      </c>
      <c r="G716" s="1">
        <f>'Unformatted Trip Summary'!G714</f>
        <v>27.225143998</v>
      </c>
      <c r="H716" s="1">
        <f>'Unformatted Trip Summary'!H714</f>
        <v>6.9288820534999997</v>
      </c>
    </row>
    <row r="717" spans="1:8" x14ac:dyDescent="0.2">
      <c r="A717" t="str">
        <f>'Unformatted Trip Summary'!A715</f>
        <v>10 NELS-MARLB-TAS</v>
      </c>
      <c r="B717" t="str">
        <f>'Unformatted Trip Summary'!J715</f>
        <v>2042/43</v>
      </c>
      <c r="C717" t="str">
        <f>'Unformatted Trip Summary'!I715</f>
        <v>Pedestrian</v>
      </c>
      <c r="D717">
        <f>'Unformatted Trip Summary'!D715</f>
        <v>333</v>
      </c>
      <c r="E717">
        <f>'Unformatted Trip Summary'!E715</f>
        <v>1184</v>
      </c>
      <c r="F717" s="1">
        <f>'Unformatted Trip Summary'!F715</f>
        <v>30.996355791999999</v>
      </c>
      <c r="G717" s="1">
        <f>'Unformatted Trip Summary'!G715</f>
        <v>25.899596658</v>
      </c>
      <c r="H717" s="1">
        <f>'Unformatted Trip Summary'!H715</f>
        <v>6.6244057433999997</v>
      </c>
    </row>
    <row r="718" spans="1:8" x14ac:dyDescent="0.2">
      <c r="A718" t="str">
        <f>'Unformatted Trip Summary'!A716</f>
        <v>10 NELS-MARLB-TAS</v>
      </c>
      <c r="B718" t="str">
        <f>'Unformatted Trip Summary'!J716</f>
        <v>2012/13</v>
      </c>
      <c r="C718" t="str">
        <f>'Unformatted Trip Summary'!I716</f>
        <v>Cyclist</v>
      </c>
      <c r="D718">
        <f>'Unformatted Trip Summary'!D716</f>
        <v>42</v>
      </c>
      <c r="E718">
        <f>'Unformatted Trip Summary'!E716</f>
        <v>121</v>
      </c>
      <c r="F718" s="1">
        <f>'Unformatted Trip Summary'!F716</f>
        <v>2.9519642961999999</v>
      </c>
      <c r="G718" s="1">
        <f>'Unformatted Trip Summary'!G716</f>
        <v>10.809874027999999</v>
      </c>
      <c r="H718" s="1">
        <f>'Unformatted Trip Summary'!H716</f>
        <v>1.0417220854</v>
      </c>
    </row>
    <row r="719" spans="1:8" x14ac:dyDescent="0.2">
      <c r="A719" t="str">
        <f>'Unformatted Trip Summary'!A717</f>
        <v>10 NELS-MARLB-TAS</v>
      </c>
      <c r="B719" t="str">
        <f>'Unformatted Trip Summary'!J717</f>
        <v>2017/18</v>
      </c>
      <c r="C719" t="str">
        <f>'Unformatted Trip Summary'!I717</f>
        <v>Cyclist</v>
      </c>
      <c r="D719">
        <f>'Unformatted Trip Summary'!D717</f>
        <v>42</v>
      </c>
      <c r="E719">
        <f>'Unformatted Trip Summary'!E717</f>
        <v>121</v>
      </c>
      <c r="F719" s="1">
        <f>'Unformatted Trip Summary'!F717</f>
        <v>2.6798533753</v>
      </c>
      <c r="G719" s="1">
        <f>'Unformatted Trip Summary'!G717</f>
        <v>10.201374881</v>
      </c>
      <c r="H719" s="1">
        <f>'Unformatted Trip Summary'!H717</f>
        <v>0.96655646019999997</v>
      </c>
    </row>
    <row r="720" spans="1:8" x14ac:dyDescent="0.2">
      <c r="A720" t="str">
        <f>'Unformatted Trip Summary'!A718</f>
        <v>10 NELS-MARLB-TAS</v>
      </c>
      <c r="B720" t="str">
        <f>'Unformatted Trip Summary'!J718</f>
        <v>2022/23</v>
      </c>
      <c r="C720" t="str">
        <f>'Unformatted Trip Summary'!I718</f>
        <v>Cyclist</v>
      </c>
      <c r="D720">
        <f>'Unformatted Trip Summary'!D718</f>
        <v>42</v>
      </c>
      <c r="E720">
        <f>'Unformatted Trip Summary'!E718</f>
        <v>121</v>
      </c>
      <c r="F720" s="1">
        <f>'Unformatted Trip Summary'!F718</f>
        <v>2.7426144341000001</v>
      </c>
      <c r="G720" s="1">
        <f>'Unformatted Trip Summary'!G718</f>
        <v>10.752784910999999</v>
      </c>
      <c r="H720" s="1">
        <f>'Unformatted Trip Summary'!H718</f>
        <v>1.0085271163</v>
      </c>
    </row>
    <row r="721" spans="1:8" x14ac:dyDescent="0.2">
      <c r="A721" t="str">
        <f>'Unformatted Trip Summary'!A719</f>
        <v>10 NELS-MARLB-TAS</v>
      </c>
      <c r="B721" t="str">
        <f>'Unformatted Trip Summary'!J719</f>
        <v>2027/28</v>
      </c>
      <c r="C721" t="str">
        <f>'Unformatted Trip Summary'!I719</f>
        <v>Cyclist</v>
      </c>
      <c r="D721">
        <f>'Unformatted Trip Summary'!D719</f>
        <v>42</v>
      </c>
      <c r="E721">
        <f>'Unformatted Trip Summary'!E719</f>
        <v>121</v>
      </c>
      <c r="F721" s="1">
        <f>'Unformatted Trip Summary'!F719</f>
        <v>2.7425096603000001</v>
      </c>
      <c r="G721" s="1">
        <f>'Unformatted Trip Summary'!G719</f>
        <v>10.807355940000001</v>
      </c>
      <c r="H721" s="1">
        <f>'Unformatted Trip Summary'!H719</f>
        <v>1.0257056428</v>
      </c>
    </row>
    <row r="722" spans="1:8" x14ac:dyDescent="0.2">
      <c r="A722" t="str">
        <f>'Unformatted Trip Summary'!A720</f>
        <v>10 NELS-MARLB-TAS</v>
      </c>
      <c r="B722" t="str">
        <f>'Unformatted Trip Summary'!J720</f>
        <v>2032/33</v>
      </c>
      <c r="C722" t="str">
        <f>'Unformatted Trip Summary'!I720</f>
        <v>Cyclist</v>
      </c>
      <c r="D722">
        <f>'Unformatted Trip Summary'!D720</f>
        <v>42</v>
      </c>
      <c r="E722">
        <f>'Unformatted Trip Summary'!E720</f>
        <v>121</v>
      </c>
      <c r="F722" s="1">
        <f>'Unformatted Trip Summary'!F720</f>
        <v>2.7261223426000001</v>
      </c>
      <c r="G722" s="1">
        <f>'Unformatted Trip Summary'!G720</f>
        <v>11.013018261999999</v>
      </c>
      <c r="H722" s="1">
        <f>'Unformatted Trip Summary'!H720</f>
        <v>1.0378578899999999</v>
      </c>
    </row>
    <row r="723" spans="1:8" x14ac:dyDescent="0.2">
      <c r="A723" t="str">
        <f>'Unformatted Trip Summary'!A721</f>
        <v>10 NELS-MARLB-TAS</v>
      </c>
      <c r="B723" t="str">
        <f>'Unformatted Trip Summary'!J721</f>
        <v>2037/38</v>
      </c>
      <c r="C723" t="str">
        <f>'Unformatted Trip Summary'!I721</f>
        <v>Cyclist</v>
      </c>
      <c r="D723">
        <f>'Unformatted Trip Summary'!D721</f>
        <v>42</v>
      </c>
      <c r="E723">
        <f>'Unformatted Trip Summary'!E721</f>
        <v>121</v>
      </c>
      <c r="F723" s="1">
        <f>'Unformatted Trip Summary'!F721</f>
        <v>2.7029097755999998</v>
      </c>
      <c r="G723" s="1">
        <f>'Unformatted Trip Summary'!G721</f>
        <v>11.471214287</v>
      </c>
      <c r="H723" s="1">
        <f>'Unformatted Trip Summary'!H721</f>
        <v>1.0592459163000001</v>
      </c>
    </row>
    <row r="724" spans="1:8" x14ac:dyDescent="0.2">
      <c r="A724" t="str">
        <f>'Unformatted Trip Summary'!A722</f>
        <v>10 NELS-MARLB-TAS</v>
      </c>
      <c r="B724" t="str">
        <f>'Unformatted Trip Summary'!J722</f>
        <v>2042/43</v>
      </c>
      <c r="C724" t="str">
        <f>'Unformatted Trip Summary'!I722</f>
        <v>Cyclist</v>
      </c>
      <c r="D724">
        <f>'Unformatted Trip Summary'!D722</f>
        <v>42</v>
      </c>
      <c r="E724">
        <f>'Unformatted Trip Summary'!E722</f>
        <v>121</v>
      </c>
      <c r="F724" s="1">
        <f>'Unformatted Trip Summary'!F722</f>
        <v>2.666393952</v>
      </c>
      <c r="G724" s="1">
        <f>'Unformatted Trip Summary'!G722</f>
        <v>11.945241836999999</v>
      </c>
      <c r="H724" s="1">
        <f>'Unformatted Trip Summary'!H722</f>
        <v>1.0812804993</v>
      </c>
    </row>
    <row r="725" spans="1:8" x14ac:dyDescent="0.2">
      <c r="A725" t="str">
        <f>'Unformatted Trip Summary'!A723</f>
        <v>10 NELS-MARLB-TAS</v>
      </c>
      <c r="B725" t="str">
        <f>'Unformatted Trip Summary'!J723</f>
        <v>2012/13</v>
      </c>
      <c r="C725" t="str">
        <f>'Unformatted Trip Summary'!I723</f>
        <v>Light Vehicle Driver</v>
      </c>
      <c r="D725">
        <f>'Unformatted Trip Summary'!D723</f>
        <v>480</v>
      </c>
      <c r="E725">
        <f>'Unformatted Trip Summary'!E723</f>
        <v>3377</v>
      </c>
      <c r="F725" s="1">
        <f>'Unformatted Trip Summary'!F723</f>
        <v>98.206986838999995</v>
      </c>
      <c r="G725" s="1">
        <f>'Unformatted Trip Summary'!G723</f>
        <v>1012.1329009999999</v>
      </c>
      <c r="H725" s="1">
        <f>'Unformatted Trip Summary'!H723</f>
        <v>23.635435057999999</v>
      </c>
    </row>
    <row r="726" spans="1:8" x14ac:dyDescent="0.2">
      <c r="A726" t="str">
        <f>'Unformatted Trip Summary'!A724</f>
        <v>10 NELS-MARLB-TAS</v>
      </c>
      <c r="B726" t="str">
        <f>'Unformatted Trip Summary'!J724</f>
        <v>2017/18</v>
      </c>
      <c r="C726" t="str">
        <f>'Unformatted Trip Summary'!I724</f>
        <v>Light Vehicle Driver</v>
      </c>
      <c r="D726">
        <f>'Unformatted Trip Summary'!D724</f>
        <v>480</v>
      </c>
      <c r="E726">
        <f>'Unformatted Trip Summary'!E724</f>
        <v>3377</v>
      </c>
      <c r="F726" s="1">
        <f>'Unformatted Trip Summary'!F724</f>
        <v>93.320697823000003</v>
      </c>
      <c r="G726" s="1">
        <f>'Unformatted Trip Summary'!G724</f>
        <v>943.80929891999995</v>
      </c>
      <c r="H726" s="1">
        <f>'Unformatted Trip Summary'!H724</f>
        <v>22.286896652999999</v>
      </c>
    </row>
    <row r="727" spans="1:8" x14ac:dyDescent="0.2">
      <c r="A727" t="str">
        <f>'Unformatted Trip Summary'!A725</f>
        <v>10 NELS-MARLB-TAS</v>
      </c>
      <c r="B727" t="str">
        <f>'Unformatted Trip Summary'!J725</f>
        <v>2022/23</v>
      </c>
      <c r="C727" t="str">
        <f>'Unformatted Trip Summary'!I725</f>
        <v>Light Vehicle Driver</v>
      </c>
      <c r="D727">
        <f>'Unformatted Trip Summary'!D725</f>
        <v>480</v>
      </c>
      <c r="E727">
        <f>'Unformatted Trip Summary'!E725</f>
        <v>3377</v>
      </c>
      <c r="F727" s="1">
        <f>'Unformatted Trip Summary'!F725</f>
        <v>95.633854182999997</v>
      </c>
      <c r="G727" s="1">
        <f>'Unformatted Trip Summary'!G725</f>
        <v>949.45673813999997</v>
      </c>
      <c r="H727" s="1">
        <f>'Unformatted Trip Summary'!H725</f>
        <v>22.645788286999998</v>
      </c>
    </row>
    <row r="728" spans="1:8" x14ac:dyDescent="0.2">
      <c r="A728" t="str">
        <f>'Unformatted Trip Summary'!A726</f>
        <v>10 NELS-MARLB-TAS</v>
      </c>
      <c r="B728" t="str">
        <f>'Unformatted Trip Summary'!J726</f>
        <v>2027/28</v>
      </c>
      <c r="C728" t="str">
        <f>'Unformatted Trip Summary'!I726</f>
        <v>Light Vehicle Driver</v>
      </c>
      <c r="D728">
        <f>'Unformatted Trip Summary'!D726</f>
        <v>480</v>
      </c>
      <c r="E728">
        <f>'Unformatted Trip Summary'!E726</f>
        <v>3377</v>
      </c>
      <c r="F728" s="1">
        <f>'Unformatted Trip Summary'!F726</f>
        <v>94.062710768000002</v>
      </c>
      <c r="G728" s="1">
        <f>'Unformatted Trip Summary'!G726</f>
        <v>912.24795867</v>
      </c>
      <c r="H728" s="1">
        <f>'Unformatted Trip Summary'!H726</f>
        <v>22.039748232000001</v>
      </c>
    </row>
    <row r="729" spans="1:8" x14ac:dyDescent="0.2">
      <c r="A729" t="str">
        <f>'Unformatted Trip Summary'!A727</f>
        <v>10 NELS-MARLB-TAS</v>
      </c>
      <c r="B729" t="str">
        <f>'Unformatted Trip Summary'!J727</f>
        <v>2032/33</v>
      </c>
      <c r="C729" t="str">
        <f>'Unformatted Trip Summary'!I727</f>
        <v>Light Vehicle Driver</v>
      </c>
      <c r="D729">
        <f>'Unformatted Trip Summary'!D727</f>
        <v>480</v>
      </c>
      <c r="E729">
        <f>'Unformatted Trip Summary'!E727</f>
        <v>3377</v>
      </c>
      <c r="F729" s="1">
        <f>'Unformatted Trip Summary'!F727</f>
        <v>92.206593419000001</v>
      </c>
      <c r="G729" s="1">
        <f>'Unformatted Trip Summary'!G727</f>
        <v>875.24259414999995</v>
      </c>
      <c r="H729" s="1">
        <f>'Unformatted Trip Summary'!H727</f>
        <v>21.365038666</v>
      </c>
    </row>
    <row r="730" spans="1:8" x14ac:dyDescent="0.2">
      <c r="A730" t="str">
        <f>'Unformatted Trip Summary'!A728</f>
        <v>10 NELS-MARLB-TAS</v>
      </c>
      <c r="B730" t="str">
        <f>'Unformatted Trip Summary'!J728</f>
        <v>2037/38</v>
      </c>
      <c r="C730" t="str">
        <f>'Unformatted Trip Summary'!I728</f>
        <v>Light Vehicle Driver</v>
      </c>
      <c r="D730">
        <f>'Unformatted Trip Summary'!D728</f>
        <v>480</v>
      </c>
      <c r="E730">
        <f>'Unformatted Trip Summary'!E728</f>
        <v>3377</v>
      </c>
      <c r="F730" s="1">
        <f>'Unformatted Trip Summary'!F728</f>
        <v>89.624540358999994</v>
      </c>
      <c r="G730" s="1">
        <f>'Unformatted Trip Summary'!G728</f>
        <v>836.67487157999994</v>
      </c>
      <c r="H730" s="1">
        <f>'Unformatted Trip Summary'!H728</f>
        <v>20.594835529000001</v>
      </c>
    </row>
    <row r="731" spans="1:8" x14ac:dyDescent="0.2">
      <c r="A731" t="str">
        <f>'Unformatted Trip Summary'!A729</f>
        <v>10 NELS-MARLB-TAS</v>
      </c>
      <c r="B731" t="str">
        <f>'Unformatted Trip Summary'!J729</f>
        <v>2042/43</v>
      </c>
      <c r="C731" t="str">
        <f>'Unformatted Trip Summary'!I729</f>
        <v>Light Vehicle Driver</v>
      </c>
      <c r="D731">
        <f>'Unformatted Trip Summary'!D729</f>
        <v>480</v>
      </c>
      <c r="E731">
        <f>'Unformatted Trip Summary'!E729</f>
        <v>3377</v>
      </c>
      <c r="F731" s="1">
        <f>'Unformatted Trip Summary'!F729</f>
        <v>86.901663595000002</v>
      </c>
      <c r="G731" s="1">
        <f>'Unformatted Trip Summary'!G729</f>
        <v>799.67904281000006</v>
      </c>
      <c r="H731" s="1">
        <f>'Unformatted Trip Summary'!H729</f>
        <v>19.826039128000001</v>
      </c>
    </row>
    <row r="732" spans="1:8" x14ac:dyDescent="0.2">
      <c r="A732" t="str">
        <f>'Unformatted Trip Summary'!A730</f>
        <v>10 NELS-MARLB-TAS</v>
      </c>
      <c r="B732" t="str">
        <f>'Unformatted Trip Summary'!J730</f>
        <v>2012/13</v>
      </c>
      <c r="C732" t="str">
        <f>'Unformatted Trip Summary'!I730</f>
        <v>Light Vehicle Passenger</v>
      </c>
      <c r="D732">
        <f>'Unformatted Trip Summary'!D730</f>
        <v>346</v>
      </c>
      <c r="E732">
        <f>'Unformatted Trip Summary'!E730</f>
        <v>1569</v>
      </c>
      <c r="F732" s="1">
        <f>'Unformatted Trip Summary'!F730</f>
        <v>45.895773310999999</v>
      </c>
      <c r="G732" s="1">
        <f>'Unformatted Trip Summary'!G730</f>
        <v>528.66856442999995</v>
      </c>
      <c r="H732" s="1">
        <f>'Unformatted Trip Summary'!H730</f>
        <v>11.910351560000001</v>
      </c>
    </row>
    <row r="733" spans="1:8" x14ac:dyDescent="0.2">
      <c r="A733" t="str">
        <f>'Unformatted Trip Summary'!A731</f>
        <v>10 NELS-MARLB-TAS</v>
      </c>
      <c r="B733" t="str">
        <f>'Unformatted Trip Summary'!J731</f>
        <v>2017/18</v>
      </c>
      <c r="C733" t="str">
        <f>'Unformatted Trip Summary'!I731</f>
        <v>Light Vehicle Passenger</v>
      </c>
      <c r="D733">
        <f>'Unformatted Trip Summary'!D731</f>
        <v>346</v>
      </c>
      <c r="E733">
        <f>'Unformatted Trip Summary'!E731</f>
        <v>1569</v>
      </c>
      <c r="F733" s="1">
        <f>'Unformatted Trip Summary'!F731</f>
        <v>41.644491457000001</v>
      </c>
      <c r="G733" s="1">
        <f>'Unformatted Trip Summary'!G731</f>
        <v>475.78726986999999</v>
      </c>
      <c r="H733" s="1">
        <f>'Unformatted Trip Summary'!H731</f>
        <v>10.841325085999999</v>
      </c>
    </row>
    <row r="734" spans="1:8" x14ac:dyDescent="0.2">
      <c r="A734" t="str">
        <f>'Unformatted Trip Summary'!A732</f>
        <v>10 NELS-MARLB-TAS</v>
      </c>
      <c r="B734" t="str">
        <f>'Unformatted Trip Summary'!J732</f>
        <v>2022/23</v>
      </c>
      <c r="C734" t="str">
        <f>'Unformatted Trip Summary'!I732</f>
        <v>Light Vehicle Passenger</v>
      </c>
      <c r="D734">
        <f>'Unformatted Trip Summary'!D732</f>
        <v>346</v>
      </c>
      <c r="E734">
        <f>'Unformatted Trip Summary'!E732</f>
        <v>1569</v>
      </c>
      <c r="F734" s="1">
        <f>'Unformatted Trip Summary'!F732</f>
        <v>41.787611198999997</v>
      </c>
      <c r="G734" s="1">
        <f>'Unformatted Trip Summary'!G732</f>
        <v>473.89340876</v>
      </c>
      <c r="H734" s="1">
        <f>'Unformatted Trip Summary'!H732</f>
        <v>10.923793422999999</v>
      </c>
    </row>
    <row r="735" spans="1:8" x14ac:dyDescent="0.2">
      <c r="A735" t="str">
        <f>'Unformatted Trip Summary'!A733</f>
        <v>10 NELS-MARLB-TAS</v>
      </c>
      <c r="B735" t="str">
        <f>'Unformatted Trip Summary'!J733</f>
        <v>2027/28</v>
      </c>
      <c r="C735" t="str">
        <f>'Unformatted Trip Summary'!I733</f>
        <v>Light Vehicle Passenger</v>
      </c>
      <c r="D735">
        <f>'Unformatted Trip Summary'!D733</f>
        <v>346</v>
      </c>
      <c r="E735">
        <f>'Unformatted Trip Summary'!E733</f>
        <v>1569</v>
      </c>
      <c r="F735" s="1">
        <f>'Unformatted Trip Summary'!F733</f>
        <v>40.415946781999999</v>
      </c>
      <c r="G735" s="1">
        <f>'Unformatted Trip Summary'!G733</f>
        <v>454.58810500999999</v>
      </c>
      <c r="H735" s="1">
        <f>'Unformatted Trip Summary'!H733</f>
        <v>10.586754925999999</v>
      </c>
    </row>
    <row r="736" spans="1:8" x14ac:dyDescent="0.2">
      <c r="A736" t="str">
        <f>'Unformatted Trip Summary'!A734</f>
        <v>10 NELS-MARLB-TAS</v>
      </c>
      <c r="B736" t="str">
        <f>'Unformatted Trip Summary'!J734</f>
        <v>2032/33</v>
      </c>
      <c r="C736" t="str">
        <f>'Unformatted Trip Summary'!I734</f>
        <v>Light Vehicle Passenger</v>
      </c>
      <c r="D736">
        <f>'Unformatted Trip Summary'!D734</f>
        <v>346</v>
      </c>
      <c r="E736">
        <f>'Unformatted Trip Summary'!E734</f>
        <v>1569</v>
      </c>
      <c r="F736" s="1">
        <f>'Unformatted Trip Summary'!F734</f>
        <v>38.568007258000002</v>
      </c>
      <c r="G736" s="1">
        <f>'Unformatted Trip Summary'!G734</f>
        <v>432.07649416999999</v>
      </c>
      <c r="H736" s="1">
        <f>'Unformatted Trip Summary'!H734</f>
        <v>10.117222745999999</v>
      </c>
    </row>
    <row r="737" spans="1:8" x14ac:dyDescent="0.2">
      <c r="A737" t="str">
        <f>'Unformatted Trip Summary'!A735</f>
        <v>10 NELS-MARLB-TAS</v>
      </c>
      <c r="B737" t="str">
        <f>'Unformatted Trip Summary'!J735</f>
        <v>2037/38</v>
      </c>
      <c r="C737" t="str">
        <f>'Unformatted Trip Summary'!I735</f>
        <v>Light Vehicle Passenger</v>
      </c>
      <c r="D737">
        <f>'Unformatted Trip Summary'!D735</f>
        <v>346</v>
      </c>
      <c r="E737">
        <f>'Unformatted Trip Summary'!E735</f>
        <v>1569</v>
      </c>
      <c r="F737" s="1">
        <f>'Unformatted Trip Summary'!F735</f>
        <v>36.804235571</v>
      </c>
      <c r="G737" s="1">
        <f>'Unformatted Trip Summary'!G735</f>
        <v>407.39648176999998</v>
      </c>
      <c r="H737" s="1">
        <f>'Unformatted Trip Summary'!H735</f>
        <v>9.6126044049000008</v>
      </c>
    </row>
    <row r="738" spans="1:8" x14ac:dyDescent="0.2">
      <c r="A738" t="str">
        <f>'Unformatted Trip Summary'!A736</f>
        <v>10 NELS-MARLB-TAS</v>
      </c>
      <c r="B738" t="str">
        <f>'Unformatted Trip Summary'!J736</f>
        <v>2042/43</v>
      </c>
      <c r="C738" t="str">
        <f>'Unformatted Trip Summary'!I736</f>
        <v>Light Vehicle Passenger</v>
      </c>
      <c r="D738">
        <f>'Unformatted Trip Summary'!D736</f>
        <v>346</v>
      </c>
      <c r="E738">
        <f>'Unformatted Trip Summary'!E736</f>
        <v>1569</v>
      </c>
      <c r="F738" s="1">
        <f>'Unformatted Trip Summary'!F736</f>
        <v>35.133734687999997</v>
      </c>
      <c r="G738" s="1">
        <f>'Unformatted Trip Summary'!G736</f>
        <v>384.21931129000001</v>
      </c>
      <c r="H738" s="1">
        <f>'Unformatted Trip Summary'!H736</f>
        <v>9.1333959613999998</v>
      </c>
    </row>
    <row r="739" spans="1:8" x14ac:dyDescent="0.2">
      <c r="A739" t="str">
        <f>'Unformatted Trip Summary'!A737</f>
        <v>10 NELS-MARLB-TAS</v>
      </c>
      <c r="B739" t="str">
        <f>'Unformatted Trip Summary'!J737</f>
        <v>2012/13</v>
      </c>
      <c r="C739" t="str">
        <f>'Unformatted Trip Summary'!I737</f>
        <v>Taxi/Vehicle Share</v>
      </c>
      <c r="D739">
        <f>'Unformatted Trip Summary'!D737</f>
        <v>9</v>
      </c>
      <c r="E739">
        <f>'Unformatted Trip Summary'!E737</f>
        <v>16</v>
      </c>
      <c r="F739" s="1">
        <f>'Unformatted Trip Summary'!F737</f>
        <v>0.40359339709999997</v>
      </c>
      <c r="G739" s="1">
        <f>'Unformatted Trip Summary'!G737</f>
        <v>2.5483198348</v>
      </c>
      <c r="H739" s="1">
        <f>'Unformatted Trip Summary'!H737</f>
        <v>8.1526233300000001E-2</v>
      </c>
    </row>
    <row r="740" spans="1:8" x14ac:dyDescent="0.2">
      <c r="A740" t="str">
        <f>'Unformatted Trip Summary'!A738</f>
        <v>10 NELS-MARLB-TAS</v>
      </c>
      <c r="B740" t="str">
        <f>'Unformatted Trip Summary'!J738</f>
        <v>2017/18</v>
      </c>
      <c r="C740" t="str">
        <f>'Unformatted Trip Summary'!I738</f>
        <v>Taxi/Vehicle Share</v>
      </c>
      <c r="D740">
        <f>'Unformatted Trip Summary'!D738</f>
        <v>9</v>
      </c>
      <c r="E740">
        <f>'Unformatted Trip Summary'!E738</f>
        <v>16</v>
      </c>
      <c r="F740" s="1">
        <f>'Unformatted Trip Summary'!F738</f>
        <v>0.47115126349999997</v>
      </c>
      <c r="G740" s="1">
        <f>'Unformatted Trip Summary'!G738</f>
        <v>2.8244837266</v>
      </c>
      <c r="H740" s="1">
        <f>'Unformatted Trip Summary'!H738</f>
        <v>9.2978975199999994E-2</v>
      </c>
    </row>
    <row r="741" spans="1:8" x14ac:dyDescent="0.2">
      <c r="A741" t="str">
        <f>'Unformatted Trip Summary'!A739</f>
        <v>10 NELS-MARLB-TAS</v>
      </c>
      <c r="B741" t="str">
        <f>'Unformatted Trip Summary'!J739</f>
        <v>2022/23</v>
      </c>
      <c r="C741" t="str">
        <f>'Unformatted Trip Summary'!I739</f>
        <v>Taxi/Vehicle Share</v>
      </c>
      <c r="D741">
        <f>'Unformatted Trip Summary'!D739</f>
        <v>9</v>
      </c>
      <c r="E741">
        <f>'Unformatted Trip Summary'!E739</f>
        <v>16</v>
      </c>
      <c r="F741" s="1">
        <f>'Unformatted Trip Summary'!F739</f>
        <v>0.57761952920000004</v>
      </c>
      <c r="G741" s="1">
        <f>'Unformatted Trip Summary'!G739</f>
        <v>3.2189384516000001</v>
      </c>
      <c r="H741" s="1">
        <f>'Unformatted Trip Summary'!H739</f>
        <v>0.1113442169</v>
      </c>
    </row>
    <row r="742" spans="1:8" x14ac:dyDescent="0.2">
      <c r="A742" t="str">
        <f>'Unformatted Trip Summary'!A740</f>
        <v>10 NELS-MARLB-TAS</v>
      </c>
      <c r="B742" t="str">
        <f>'Unformatted Trip Summary'!J740</f>
        <v>2027/28</v>
      </c>
      <c r="C742" t="str">
        <f>'Unformatted Trip Summary'!I740</f>
        <v>Taxi/Vehicle Share</v>
      </c>
      <c r="D742">
        <f>'Unformatted Trip Summary'!D740</f>
        <v>9</v>
      </c>
      <c r="E742">
        <f>'Unformatted Trip Summary'!E740</f>
        <v>16</v>
      </c>
      <c r="F742" s="1">
        <f>'Unformatted Trip Summary'!F740</f>
        <v>0.61547591440000005</v>
      </c>
      <c r="G742" s="1">
        <f>'Unformatted Trip Summary'!G740</f>
        <v>3.3239040451999999</v>
      </c>
      <c r="H742" s="1">
        <f>'Unformatted Trip Summary'!H740</f>
        <v>0.11730906319999999</v>
      </c>
    </row>
    <row r="743" spans="1:8" x14ac:dyDescent="0.2">
      <c r="A743" t="str">
        <f>'Unformatted Trip Summary'!A741</f>
        <v>10 NELS-MARLB-TAS</v>
      </c>
      <c r="B743" t="str">
        <f>'Unformatted Trip Summary'!J741</f>
        <v>2032/33</v>
      </c>
      <c r="C743" t="str">
        <f>'Unformatted Trip Summary'!I741</f>
        <v>Taxi/Vehicle Share</v>
      </c>
      <c r="D743">
        <f>'Unformatted Trip Summary'!D741</f>
        <v>9</v>
      </c>
      <c r="E743">
        <f>'Unformatted Trip Summary'!E741</f>
        <v>16</v>
      </c>
      <c r="F743" s="1">
        <f>'Unformatted Trip Summary'!F741</f>
        <v>0.62545510530000004</v>
      </c>
      <c r="G743" s="1">
        <f>'Unformatted Trip Summary'!G741</f>
        <v>3.3646077651000001</v>
      </c>
      <c r="H743" s="1">
        <f>'Unformatted Trip Summary'!H741</f>
        <v>0.11877275850000001</v>
      </c>
    </row>
    <row r="744" spans="1:8" x14ac:dyDescent="0.2">
      <c r="A744" t="str">
        <f>'Unformatted Trip Summary'!A742</f>
        <v>10 NELS-MARLB-TAS</v>
      </c>
      <c r="B744" t="str">
        <f>'Unformatted Trip Summary'!J742</f>
        <v>2037/38</v>
      </c>
      <c r="C744" t="str">
        <f>'Unformatted Trip Summary'!I742</f>
        <v>Taxi/Vehicle Share</v>
      </c>
      <c r="D744">
        <f>'Unformatted Trip Summary'!D742</f>
        <v>9</v>
      </c>
      <c r="E744">
        <f>'Unformatted Trip Summary'!E742</f>
        <v>16</v>
      </c>
      <c r="F744" s="1">
        <f>'Unformatted Trip Summary'!F742</f>
        <v>0.61200286410000004</v>
      </c>
      <c r="G744" s="1">
        <f>'Unformatted Trip Summary'!G742</f>
        <v>3.2892556308000001</v>
      </c>
      <c r="H744" s="1">
        <f>'Unformatted Trip Summary'!H742</f>
        <v>0.1156089824</v>
      </c>
    </row>
    <row r="745" spans="1:8" x14ac:dyDescent="0.2">
      <c r="A745" t="str">
        <f>'Unformatted Trip Summary'!A743</f>
        <v>10 NELS-MARLB-TAS</v>
      </c>
      <c r="B745" t="str">
        <f>'Unformatted Trip Summary'!J743</f>
        <v>2042/43</v>
      </c>
      <c r="C745" t="str">
        <f>'Unformatted Trip Summary'!I743</f>
        <v>Taxi/Vehicle Share</v>
      </c>
      <c r="D745">
        <f>'Unformatted Trip Summary'!D743</f>
        <v>9</v>
      </c>
      <c r="E745">
        <f>'Unformatted Trip Summary'!E743</f>
        <v>16</v>
      </c>
      <c r="F745" s="1">
        <f>'Unformatted Trip Summary'!F743</f>
        <v>0.59563472610000001</v>
      </c>
      <c r="G745" s="1">
        <f>'Unformatted Trip Summary'!G743</f>
        <v>3.2015085033999999</v>
      </c>
      <c r="H745" s="1">
        <f>'Unformatted Trip Summary'!H743</f>
        <v>0.11197131</v>
      </c>
    </row>
    <row r="746" spans="1:8" x14ac:dyDescent="0.2">
      <c r="A746" t="str">
        <f>'Unformatted Trip Summary'!A744</f>
        <v>10 NELS-MARLB-TAS</v>
      </c>
      <c r="B746" t="str">
        <f>'Unformatted Trip Summary'!J744</f>
        <v>2012/13</v>
      </c>
      <c r="C746" t="str">
        <f>'Unformatted Trip Summary'!I744</f>
        <v>Motorcyclist</v>
      </c>
      <c r="D746">
        <f>'Unformatted Trip Summary'!D744</f>
        <v>14</v>
      </c>
      <c r="E746">
        <f>'Unformatted Trip Summary'!E744</f>
        <v>52</v>
      </c>
      <c r="F746" s="1">
        <f>'Unformatted Trip Summary'!F744</f>
        <v>1.5095151791999999</v>
      </c>
      <c r="G746" s="1">
        <f>'Unformatted Trip Summary'!G744</f>
        <v>34.127286998000002</v>
      </c>
      <c r="H746" s="1">
        <f>'Unformatted Trip Summary'!H744</f>
        <v>0.60769230029999999</v>
      </c>
    </row>
    <row r="747" spans="1:8" x14ac:dyDescent="0.2">
      <c r="A747" t="str">
        <f>'Unformatted Trip Summary'!A745</f>
        <v>10 NELS-MARLB-TAS</v>
      </c>
      <c r="B747" t="str">
        <f>'Unformatted Trip Summary'!J745</f>
        <v>2017/18</v>
      </c>
      <c r="C747" t="str">
        <f>'Unformatted Trip Summary'!I745</f>
        <v>Motorcyclist</v>
      </c>
      <c r="D747">
        <f>'Unformatted Trip Summary'!D745</f>
        <v>14</v>
      </c>
      <c r="E747">
        <f>'Unformatted Trip Summary'!E745</f>
        <v>52</v>
      </c>
      <c r="F747" s="1">
        <f>'Unformatted Trip Summary'!F745</f>
        <v>1.3979742711000001</v>
      </c>
      <c r="G747" s="1">
        <f>'Unformatted Trip Summary'!G745</f>
        <v>32.176324786000002</v>
      </c>
      <c r="H747" s="1">
        <f>'Unformatted Trip Summary'!H745</f>
        <v>0.56662278830000001</v>
      </c>
    </row>
    <row r="748" spans="1:8" x14ac:dyDescent="0.2">
      <c r="A748" t="str">
        <f>'Unformatted Trip Summary'!A746</f>
        <v>10 NELS-MARLB-TAS</v>
      </c>
      <c r="B748" t="str">
        <f>'Unformatted Trip Summary'!J746</f>
        <v>2022/23</v>
      </c>
      <c r="C748" t="str">
        <f>'Unformatted Trip Summary'!I746</f>
        <v>Motorcyclist</v>
      </c>
      <c r="D748">
        <f>'Unformatted Trip Summary'!D746</f>
        <v>14</v>
      </c>
      <c r="E748">
        <f>'Unformatted Trip Summary'!E746</f>
        <v>52</v>
      </c>
      <c r="F748" s="1">
        <f>'Unformatted Trip Summary'!F746</f>
        <v>1.4347554176999999</v>
      </c>
      <c r="G748" s="1">
        <f>'Unformatted Trip Summary'!G746</f>
        <v>33.241356592000002</v>
      </c>
      <c r="H748" s="1">
        <f>'Unformatted Trip Summary'!H746</f>
        <v>0.58082024659999998</v>
      </c>
    </row>
    <row r="749" spans="1:8" x14ac:dyDescent="0.2">
      <c r="A749" t="str">
        <f>'Unformatted Trip Summary'!A747</f>
        <v>10 NELS-MARLB-TAS</v>
      </c>
      <c r="B749" t="str">
        <f>'Unformatted Trip Summary'!J747</f>
        <v>2027/28</v>
      </c>
      <c r="C749" t="str">
        <f>'Unformatted Trip Summary'!I747</f>
        <v>Motorcyclist</v>
      </c>
      <c r="D749">
        <f>'Unformatted Trip Summary'!D747</f>
        <v>14</v>
      </c>
      <c r="E749">
        <f>'Unformatted Trip Summary'!E747</f>
        <v>52</v>
      </c>
      <c r="F749" s="1">
        <f>'Unformatted Trip Summary'!F747</f>
        <v>1.3911351139000001</v>
      </c>
      <c r="G749" s="1">
        <f>'Unformatted Trip Summary'!G747</f>
        <v>31.864533204000001</v>
      </c>
      <c r="H749" s="1">
        <f>'Unformatted Trip Summary'!H747</f>
        <v>0.55455774609999997</v>
      </c>
    </row>
    <row r="750" spans="1:8" x14ac:dyDescent="0.2">
      <c r="A750" t="str">
        <f>'Unformatted Trip Summary'!A748</f>
        <v>10 NELS-MARLB-TAS</v>
      </c>
      <c r="B750" t="str">
        <f>'Unformatted Trip Summary'!J748</f>
        <v>2032/33</v>
      </c>
      <c r="C750" t="str">
        <f>'Unformatted Trip Summary'!I748</f>
        <v>Motorcyclist</v>
      </c>
      <c r="D750">
        <f>'Unformatted Trip Summary'!D748</f>
        <v>14</v>
      </c>
      <c r="E750">
        <f>'Unformatted Trip Summary'!E748</f>
        <v>52</v>
      </c>
      <c r="F750" s="1">
        <f>'Unformatted Trip Summary'!F748</f>
        <v>1.3238666671999999</v>
      </c>
      <c r="G750" s="1">
        <f>'Unformatted Trip Summary'!G748</f>
        <v>30.609254987</v>
      </c>
      <c r="H750" s="1">
        <f>'Unformatted Trip Summary'!H748</f>
        <v>0.53067045079999997</v>
      </c>
    </row>
    <row r="751" spans="1:8" x14ac:dyDescent="0.2">
      <c r="A751" t="str">
        <f>'Unformatted Trip Summary'!A749</f>
        <v>10 NELS-MARLB-TAS</v>
      </c>
      <c r="B751" t="str">
        <f>'Unformatted Trip Summary'!J749</f>
        <v>2037/38</v>
      </c>
      <c r="C751" t="str">
        <f>'Unformatted Trip Summary'!I749</f>
        <v>Motorcyclist</v>
      </c>
      <c r="D751">
        <f>'Unformatted Trip Summary'!D749</f>
        <v>14</v>
      </c>
      <c r="E751">
        <f>'Unformatted Trip Summary'!E749</f>
        <v>52</v>
      </c>
      <c r="F751" s="1">
        <f>'Unformatted Trip Summary'!F749</f>
        <v>1.2245108917</v>
      </c>
      <c r="G751" s="1">
        <f>'Unformatted Trip Summary'!G749</f>
        <v>28.986591275999999</v>
      </c>
      <c r="H751" s="1">
        <f>'Unformatted Trip Summary'!H749</f>
        <v>0.50136485119999996</v>
      </c>
    </row>
    <row r="752" spans="1:8" x14ac:dyDescent="0.2">
      <c r="A752" t="str">
        <f>'Unformatted Trip Summary'!A750</f>
        <v>10 NELS-MARLB-TAS</v>
      </c>
      <c r="B752" t="str">
        <f>'Unformatted Trip Summary'!J750</f>
        <v>2042/43</v>
      </c>
      <c r="C752" t="str">
        <f>'Unformatted Trip Summary'!I750</f>
        <v>Motorcyclist</v>
      </c>
      <c r="D752">
        <f>'Unformatted Trip Summary'!D750</f>
        <v>14</v>
      </c>
      <c r="E752">
        <f>'Unformatted Trip Summary'!E750</f>
        <v>52</v>
      </c>
      <c r="F752" s="1">
        <f>'Unformatted Trip Summary'!F750</f>
        <v>1.1265865559999999</v>
      </c>
      <c r="G752" s="1">
        <f>'Unformatted Trip Summary'!G750</f>
        <v>27.207559411999998</v>
      </c>
      <c r="H752" s="1">
        <f>'Unformatted Trip Summary'!H750</f>
        <v>0.46994513230000001</v>
      </c>
    </row>
    <row r="753" spans="1:8" x14ac:dyDescent="0.2">
      <c r="A753" t="str">
        <f>'Unformatted Trip Summary'!A751</f>
        <v>10 NELS-MARLB-TAS</v>
      </c>
      <c r="B753" t="str">
        <f>'Unformatted Trip Summary'!J751</f>
        <v>2012/13</v>
      </c>
      <c r="C753" t="str">
        <f>'Unformatted Trip Summary'!I751</f>
        <v>Local Train</v>
      </c>
      <c r="D753">
        <f>'Unformatted Trip Summary'!D751</f>
        <v>1</v>
      </c>
      <c r="E753">
        <f>'Unformatted Trip Summary'!E751</f>
        <v>4</v>
      </c>
      <c r="F753" s="1">
        <f>'Unformatted Trip Summary'!F751</f>
        <v>0.1284956481</v>
      </c>
      <c r="G753" s="1">
        <f>'Unformatted Trip Summary'!G751</f>
        <v>5.3733082988999996</v>
      </c>
      <c r="H753" s="1">
        <f>'Unformatted Trip Summary'!H751</f>
        <v>9.9048728700000005E-2</v>
      </c>
    </row>
    <row r="754" spans="1:8" x14ac:dyDescent="0.2">
      <c r="A754" t="str">
        <f>'Unformatted Trip Summary'!A752</f>
        <v>10 NELS-MARLB-TAS</v>
      </c>
      <c r="B754" t="str">
        <f>'Unformatted Trip Summary'!J752</f>
        <v>2017/18</v>
      </c>
      <c r="C754" t="str">
        <f>'Unformatted Trip Summary'!I752</f>
        <v>Local Train</v>
      </c>
      <c r="D754">
        <f>'Unformatted Trip Summary'!D752</f>
        <v>1</v>
      </c>
      <c r="E754">
        <f>'Unformatted Trip Summary'!E752</f>
        <v>4</v>
      </c>
      <c r="F754" s="1">
        <f>'Unformatted Trip Summary'!F752</f>
        <v>0.1023821186</v>
      </c>
      <c r="G754" s="1">
        <f>'Unformatted Trip Summary'!G752</f>
        <v>4.2898341945</v>
      </c>
      <c r="H754" s="1">
        <f>'Unformatted Trip Summary'!H752</f>
        <v>7.9077060699999993E-2</v>
      </c>
    </row>
    <row r="755" spans="1:8" x14ac:dyDescent="0.2">
      <c r="A755" t="str">
        <f>'Unformatted Trip Summary'!A753</f>
        <v>10 NELS-MARLB-TAS</v>
      </c>
      <c r="B755" t="str">
        <f>'Unformatted Trip Summary'!J753</f>
        <v>2022/23</v>
      </c>
      <c r="C755" t="str">
        <f>'Unformatted Trip Summary'!I753</f>
        <v>Local Train</v>
      </c>
      <c r="D755">
        <f>'Unformatted Trip Summary'!D753</f>
        <v>1</v>
      </c>
      <c r="E755">
        <f>'Unformatted Trip Summary'!E753</f>
        <v>4</v>
      </c>
      <c r="F755" s="1">
        <f>'Unformatted Trip Summary'!F753</f>
        <v>8.0518164899999994E-2</v>
      </c>
      <c r="G755" s="1">
        <f>'Unformatted Trip Summary'!G753</f>
        <v>3.3816391121999998</v>
      </c>
      <c r="H755" s="1">
        <f>'Unformatted Trip Summary'!H753</f>
        <v>6.23362451E-2</v>
      </c>
    </row>
    <row r="756" spans="1:8" x14ac:dyDescent="0.2">
      <c r="A756" t="str">
        <f>'Unformatted Trip Summary'!A754</f>
        <v>10 NELS-MARLB-TAS</v>
      </c>
      <c r="B756" t="str">
        <f>'Unformatted Trip Summary'!J754</f>
        <v>2027/28</v>
      </c>
      <c r="C756" t="str">
        <f>'Unformatted Trip Summary'!I754</f>
        <v>Local Train</v>
      </c>
      <c r="D756">
        <f>'Unformatted Trip Summary'!D754</f>
        <v>1</v>
      </c>
      <c r="E756">
        <f>'Unformatted Trip Summary'!E754</f>
        <v>4</v>
      </c>
      <c r="F756" s="1">
        <f>'Unformatted Trip Summary'!F754</f>
        <v>5.0888176200000003E-2</v>
      </c>
      <c r="G756" s="1">
        <f>'Unformatted Trip Summary'!G754</f>
        <v>2.1419365492</v>
      </c>
      <c r="H756" s="1">
        <f>'Unformatted Trip Summary'!H754</f>
        <v>3.9484181799999997E-2</v>
      </c>
    </row>
    <row r="757" spans="1:8" x14ac:dyDescent="0.2">
      <c r="A757" t="str">
        <f>'Unformatted Trip Summary'!A755</f>
        <v>10 NELS-MARLB-TAS</v>
      </c>
      <c r="B757" t="str">
        <f>'Unformatted Trip Summary'!J755</f>
        <v>2032/33</v>
      </c>
      <c r="C757" t="str">
        <f>'Unformatted Trip Summary'!I755</f>
        <v>Local Train</v>
      </c>
      <c r="D757">
        <f>'Unformatted Trip Summary'!D755</f>
        <v>1</v>
      </c>
      <c r="E757">
        <f>'Unformatted Trip Summary'!E755</f>
        <v>4</v>
      </c>
      <c r="F757" s="1">
        <f>'Unformatted Trip Summary'!F755</f>
        <v>3.3986224600000003E-2</v>
      </c>
      <c r="G757" s="1">
        <f>'Unformatted Trip Summary'!G755</f>
        <v>1.4338370993</v>
      </c>
      <c r="H757" s="1">
        <f>'Unformatted Trip Summary'!H755</f>
        <v>2.6431370100000001E-2</v>
      </c>
    </row>
    <row r="758" spans="1:8" x14ac:dyDescent="0.2">
      <c r="A758" t="str">
        <f>'Unformatted Trip Summary'!A756</f>
        <v>10 NELS-MARLB-TAS</v>
      </c>
      <c r="B758" t="str">
        <f>'Unformatted Trip Summary'!J756</f>
        <v>2037/38</v>
      </c>
      <c r="C758" t="str">
        <f>'Unformatted Trip Summary'!I756</f>
        <v>Local Train</v>
      </c>
      <c r="D758">
        <f>'Unformatted Trip Summary'!D756</f>
        <v>1</v>
      </c>
      <c r="E758">
        <f>'Unformatted Trip Summary'!E756</f>
        <v>4</v>
      </c>
      <c r="F758" s="1">
        <f>'Unformatted Trip Summary'!F756</f>
        <v>2.3697154000000002E-2</v>
      </c>
      <c r="G758" s="1">
        <f>'Unformatted Trip Summary'!G756</f>
        <v>1.0024765881</v>
      </c>
      <c r="H758" s="1">
        <f>'Unformatted Trip Summary'!H756</f>
        <v>1.84798306E-2</v>
      </c>
    </row>
    <row r="759" spans="1:8" x14ac:dyDescent="0.2">
      <c r="A759" t="str">
        <f>'Unformatted Trip Summary'!A757</f>
        <v>10 NELS-MARLB-TAS</v>
      </c>
      <c r="B759" t="str">
        <f>'Unformatted Trip Summary'!J757</f>
        <v>2042/43</v>
      </c>
      <c r="C759" t="str">
        <f>'Unformatted Trip Summary'!I757</f>
        <v>Local Train</v>
      </c>
      <c r="D759">
        <f>'Unformatted Trip Summary'!D757</f>
        <v>1</v>
      </c>
      <c r="E759">
        <f>'Unformatted Trip Summary'!E757</f>
        <v>4</v>
      </c>
      <c r="F759" s="1">
        <f>'Unformatted Trip Summary'!F757</f>
        <v>1.4741732E-2</v>
      </c>
      <c r="G759" s="1">
        <f>'Unformatted Trip Summary'!G757</f>
        <v>0.62524696800000001</v>
      </c>
      <c r="H759" s="1">
        <f>'Unformatted Trip Summary'!H757</f>
        <v>1.1526011100000001E-2</v>
      </c>
    </row>
    <row r="760" spans="1:8" x14ac:dyDescent="0.2">
      <c r="A760" t="str">
        <f>'Unformatted Trip Summary'!A758</f>
        <v>10 NELS-MARLB-TAS</v>
      </c>
      <c r="B760" t="str">
        <f>'Unformatted Trip Summary'!J758</f>
        <v>2012/13</v>
      </c>
      <c r="C760" t="str">
        <f>'Unformatted Trip Summary'!I758</f>
        <v>Local Bus</v>
      </c>
      <c r="D760">
        <f>'Unformatted Trip Summary'!D758</f>
        <v>38</v>
      </c>
      <c r="E760">
        <f>'Unformatted Trip Summary'!E758</f>
        <v>79</v>
      </c>
      <c r="F760" s="1">
        <f>'Unformatted Trip Summary'!F758</f>
        <v>2.0764681202999999</v>
      </c>
      <c r="G760" s="1">
        <f>'Unformatted Trip Summary'!G758</f>
        <v>19.807462209000001</v>
      </c>
      <c r="H760" s="1">
        <f>'Unformatted Trip Summary'!H758</f>
        <v>0.94491203199999996</v>
      </c>
    </row>
    <row r="761" spans="1:8" x14ac:dyDescent="0.2">
      <c r="A761" t="str">
        <f>'Unformatted Trip Summary'!A759</f>
        <v>10 NELS-MARLB-TAS</v>
      </c>
      <c r="B761" t="str">
        <f>'Unformatted Trip Summary'!J759</f>
        <v>2017/18</v>
      </c>
      <c r="C761" t="str">
        <f>'Unformatted Trip Summary'!I759</f>
        <v>Local Bus</v>
      </c>
      <c r="D761">
        <f>'Unformatted Trip Summary'!D759</f>
        <v>38</v>
      </c>
      <c r="E761">
        <f>'Unformatted Trip Summary'!E759</f>
        <v>79</v>
      </c>
      <c r="F761" s="1">
        <f>'Unformatted Trip Summary'!F759</f>
        <v>1.8124198828</v>
      </c>
      <c r="G761" s="1">
        <f>'Unformatted Trip Summary'!G759</f>
        <v>16.577105019000001</v>
      </c>
      <c r="H761" s="1">
        <f>'Unformatted Trip Summary'!H759</f>
        <v>0.7915301776</v>
      </c>
    </row>
    <row r="762" spans="1:8" x14ac:dyDescent="0.2">
      <c r="A762" t="str">
        <f>'Unformatted Trip Summary'!A760</f>
        <v>10 NELS-MARLB-TAS</v>
      </c>
      <c r="B762" t="str">
        <f>'Unformatted Trip Summary'!J760</f>
        <v>2022/23</v>
      </c>
      <c r="C762" t="str">
        <f>'Unformatted Trip Summary'!I760</f>
        <v>Local Bus</v>
      </c>
      <c r="D762">
        <f>'Unformatted Trip Summary'!D760</f>
        <v>38</v>
      </c>
      <c r="E762">
        <f>'Unformatted Trip Summary'!E760</f>
        <v>79</v>
      </c>
      <c r="F762" s="1">
        <f>'Unformatted Trip Summary'!F760</f>
        <v>1.7870786502</v>
      </c>
      <c r="G762" s="1">
        <f>'Unformatted Trip Summary'!G760</f>
        <v>15.5289862</v>
      </c>
      <c r="H762" s="1">
        <f>'Unformatted Trip Summary'!H760</f>
        <v>0.7435128782</v>
      </c>
    </row>
    <row r="763" spans="1:8" x14ac:dyDescent="0.2">
      <c r="A763" t="str">
        <f>'Unformatted Trip Summary'!A761</f>
        <v>10 NELS-MARLB-TAS</v>
      </c>
      <c r="B763" t="str">
        <f>'Unformatted Trip Summary'!J761</f>
        <v>2027/28</v>
      </c>
      <c r="C763" t="str">
        <f>'Unformatted Trip Summary'!I761</f>
        <v>Local Bus</v>
      </c>
      <c r="D763">
        <f>'Unformatted Trip Summary'!D761</f>
        <v>38</v>
      </c>
      <c r="E763">
        <f>'Unformatted Trip Summary'!E761</f>
        <v>79</v>
      </c>
      <c r="F763" s="1">
        <f>'Unformatted Trip Summary'!F761</f>
        <v>1.7873166658999999</v>
      </c>
      <c r="G763" s="1">
        <f>'Unformatted Trip Summary'!G761</f>
        <v>14.856912842</v>
      </c>
      <c r="H763" s="1">
        <f>'Unformatted Trip Summary'!H761</f>
        <v>0.7158157678</v>
      </c>
    </row>
    <row r="764" spans="1:8" x14ac:dyDescent="0.2">
      <c r="A764" t="str">
        <f>'Unformatted Trip Summary'!A762</f>
        <v>10 NELS-MARLB-TAS</v>
      </c>
      <c r="B764" t="str">
        <f>'Unformatted Trip Summary'!J762</f>
        <v>2032/33</v>
      </c>
      <c r="C764" t="str">
        <f>'Unformatted Trip Summary'!I762</f>
        <v>Local Bus</v>
      </c>
      <c r="D764">
        <f>'Unformatted Trip Summary'!D762</f>
        <v>38</v>
      </c>
      <c r="E764">
        <f>'Unformatted Trip Summary'!E762</f>
        <v>79</v>
      </c>
      <c r="F764" s="1">
        <f>'Unformatted Trip Summary'!F762</f>
        <v>1.7194626749999999</v>
      </c>
      <c r="G764" s="1">
        <f>'Unformatted Trip Summary'!G762</f>
        <v>13.906854659</v>
      </c>
      <c r="H764" s="1">
        <f>'Unformatted Trip Summary'!H762</f>
        <v>0.67445609090000003</v>
      </c>
    </row>
    <row r="765" spans="1:8" x14ac:dyDescent="0.2">
      <c r="A765" t="str">
        <f>'Unformatted Trip Summary'!A763</f>
        <v>10 NELS-MARLB-TAS</v>
      </c>
      <c r="B765" t="str">
        <f>'Unformatted Trip Summary'!J763</f>
        <v>2037/38</v>
      </c>
      <c r="C765" t="str">
        <f>'Unformatted Trip Summary'!I763</f>
        <v>Local Bus</v>
      </c>
      <c r="D765">
        <f>'Unformatted Trip Summary'!D763</f>
        <v>38</v>
      </c>
      <c r="E765">
        <f>'Unformatted Trip Summary'!E763</f>
        <v>79</v>
      </c>
      <c r="F765" s="1">
        <f>'Unformatted Trip Summary'!F763</f>
        <v>1.7755771412000001</v>
      </c>
      <c r="G765" s="1">
        <f>'Unformatted Trip Summary'!G763</f>
        <v>13.988798430999999</v>
      </c>
      <c r="H765" s="1">
        <f>'Unformatted Trip Summary'!H763</f>
        <v>0.67968248099999995</v>
      </c>
    </row>
    <row r="766" spans="1:8" x14ac:dyDescent="0.2">
      <c r="A766" t="str">
        <f>'Unformatted Trip Summary'!A764</f>
        <v>10 NELS-MARLB-TAS</v>
      </c>
      <c r="B766" t="str">
        <f>'Unformatted Trip Summary'!J764</f>
        <v>2042/43</v>
      </c>
      <c r="C766" t="str">
        <f>'Unformatted Trip Summary'!I764</f>
        <v>Local Bus</v>
      </c>
      <c r="D766">
        <f>'Unformatted Trip Summary'!D764</f>
        <v>38</v>
      </c>
      <c r="E766">
        <f>'Unformatted Trip Summary'!E764</f>
        <v>79</v>
      </c>
      <c r="F766" s="1">
        <f>'Unformatted Trip Summary'!F764</f>
        <v>1.8324453614</v>
      </c>
      <c r="G766" s="1">
        <f>'Unformatted Trip Summary'!G764</f>
        <v>14.156934825</v>
      </c>
      <c r="H766" s="1">
        <f>'Unformatted Trip Summary'!H764</f>
        <v>0.68899622540000005</v>
      </c>
    </row>
    <row r="767" spans="1:8" x14ac:dyDescent="0.2">
      <c r="A767" t="str">
        <f>'Unformatted Trip Summary'!A765</f>
        <v>10 NELS-MARLB-TAS</v>
      </c>
      <c r="B767" t="str">
        <f>'Unformatted Trip Summary'!J765</f>
        <v>2012/13</v>
      </c>
      <c r="C767" t="str">
        <f>'Unformatted Trip Summary'!I765</f>
        <v>Other Household Travel</v>
      </c>
      <c r="D767">
        <f>'Unformatted Trip Summary'!D765</f>
        <v>24</v>
      </c>
      <c r="E767">
        <f>'Unformatted Trip Summary'!E765</f>
        <v>56</v>
      </c>
      <c r="F767" s="1">
        <f>'Unformatted Trip Summary'!F765</f>
        <v>1.495105957</v>
      </c>
      <c r="G767" s="1">
        <f>'Unformatted Trip Summary'!G765</f>
        <v>0</v>
      </c>
      <c r="H767" s="1">
        <f>'Unformatted Trip Summary'!H765</f>
        <v>0.51346004550000002</v>
      </c>
    </row>
    <row r="768" spans="1:8" x14ac:dyDescent="0.2">
      <c r="A768" t="str">
        <f>'Unformatted Trip Summary'!A766</f>
        <v>10 NELS-MARLB-TAS</v>
      </c>
      <c r="B768" t="str">
        <f>'Unformatted Trip Summary'!J766</f>
        <v>2017/18</v>
      </c>
      <c r="C768" t="str">
        <f>'Unformatted Trip Summary'!I766</f>
        <v>Other Household Travel</v>
      </c>
      <c r="D768">
        <f>'Unformatted Trip Summary'!D766</f>
        <v>24</v>
      </c>
      <c r="E768">
        <f>'Unformatted Trip Summary'!E766</f>
        <v>56</v>
      </c>
      <c r="F768" s="1">
        <f>'Unformatted Trip Summary'!F766</f>
        <v>1.3950265872000001</v>
      </c>
      <c r="G768" s="1">
        <f>'Unformatted Trip Summary'!G766</f>
        <v>0</v>
      </c>
      <c r="H768" s="1">
        <f>'Unformatted Trip Summary'!H766</f>
        <v>0.475105318</v>
      </c>
    </row>
    <row r="769" spans="1:8" x14ac:dyDescent="0.2">
      <c r="A769" t="str">
        <f>'Unformatted Trip Summary'!A767</f>
        <v>10 NELS-MARLB-TAS</v>
      </c>
      <c r="B769" t="str">
        <f>'Unformatted Trip Summary'!J767</f>
        <v>2022/23</v>
      </c>
      <c r="C769" t="str">
        <f>'Unformatted Trip Summary'!I767</f>
        <v>Other Household Travel</v>
      </c>
      <c r="D769">
        <f>'Unformatted Trip Summary'!D767</f>
        <v>24</v>
      </c>
      <c r="E769">
        <f>'Unformatted Trip Summary'!E767</f>
        <v>56</v>
      </c>
      <c r="F769" s="1">
        <f>'Unformatted Trip Summary'!F767</f>
        <v>1.4307022274000001</v>
      </c>
      <c r="G769" s="1">
        <f>'Unformatted Trip Summary'!G767</f>
        <v>0</v>
      </c>
      <c r="H769" s="1">
        <f>'Unformatted Trip Summary'!H767</f>
        <v>0.4873547131</v>
      </c>
    </row>
    <row r="770" spans="1:8" x14ac:dyDescent="0.2">
      <c r="A770" t="str">
        <f>'Unformatted Trip Summary'!A768</f>
        <v>10 NELS-MARLB-TAS</v>
      </c>
      <c r="B770" t="str">
        <f>'Unformatted Trip Summary'!J768</f>
        <v>2027/28</v>
      </c>
      <c r="C770" t="str">
        <f>'Unformatted Trip Summary'!I768</f>
        <v>Other Household Travel</v>
      </c>
      <c r="D770">
        <f>'Unformatted Trip Summary'!D768</f>
        <v>24</v>
      </c>
      <c r="E770">
        <f>'Unformatted Trip Summary'!E768</f>
        <v>56</v>
      </c>
      <c r="F770" s="1">
        <f>'Unformatted Trip Summary'!F768</f>
        <v>1.4528997164999999</v>
      </c>
      <c r="G770" s="1">
        <f>'Unformatted Trip Summary'!G768</f>
        <v>0</v>
      </c>
      <c r="H770" s="1">
        <f>'Unformatted Trip Summary'!H768</f>
        <v>0.50049047140000003</v>
      </c>
    </row>
    <row r="771" spans="1:8" x14ac:dyDescent="0.2">
      <c r="A771" t="str">
        <f>'Unformatted Trip Summary'!A769</f>
        <v>10 NELS-MARLB-TAS</v>
      </c>
      <c r="B771" t="str">
        <f>'Unformatted Trip Summary'!J769</f>
        <v>2032/33</v>
      </c>
      <c r="C771" t="str">
        <f>'Unformatted Trip Summary'!I769</f>
        <v>Other Household Travel</v>
      </c>
      <c r="D771">
        <f>'Unformatted Trip Summary'!D769</f>
        <v>24</v>
      </c>
      <c r="E771">
        <f>'Unformatted Trip Summary'!E769</f>
        <v>56</v>
      </c>
      <c r="F771" s="1">
        <f>'Unformatted Trip Summary'!F769</f>
        <v>1.4507889064999999</v>
      </c>
      <c r="G771" s="1">
        <f>'Unformatted Trip Summary'!G769</f>
        <v>0</v>
      </c>
      <c r="H771" s="1">
        <f>'Unformatted Trip Summary'!H769</f>
        <v>0.50239144170000005</v>
      </c>
    </row>
    <row r="772" spans="1:8" x14ac:dyDescent="0.2">
      <c r="A772" t="str">
        <f>'Unformatted Trip Summary'!A770</f>
        <v>10 NELS-MARLB-TAS</v>
      </c>
      <c r="B772" t="str">
        <f>'Unformatted Trip Summary'!J770</f>
        <v>2037/38</v>
      </c>
      <c r="C772" t="str">
        <f>'Unformatted Trip Summary'!I770</f>
        <v>Other Household Travel</v>
      </c>
      <c r="D772">
        <f>'Unformatted Trip Summary'!D770</f>
        <v>24</v>
      </c>
      <c r="E772">
        <f>'Unformatted Trip Summary'!E770</f>
        <v>56</v>
      </c>
      <c r="F772" s="1">
        <f>'Unformatted Trip Summary'!F770</f>
        <v>1.4760550403999999</v>
      </c>
      <c r="G772" s="1">
        <f>'Unformatted Trip Summary'!G770</f>
        <v>0</v>
      </c>
      <c r="H772" s="1">
        <f>'Unformatted Trip Summary'!H770</f>
        <v>0.51558045269999997</v>
      </c>
    </row>
    <row r="773" spans="1:8" x14ac:dyDescent="0.2">
      <c r="A773" t="str">
        <f>'Unformatted Trip Summary'!A771</f>
        <v>10 NELS-MARLB-TAS</v>
      </c>
      <c r="B773" t="str">
        <f>'Unformatted Trip Summary'!J771</f>
        <v>2042/43</v>
      </c>
      <c r="C773" t="str">
        <f>'Unformatted Trip Summary'!I771</f>
        <v>Other Household Travel</v>
      </c>
      <c r="D773">
        <f>'Unformatted Trip Summary'!D771</f>
        <v>24</v>
      </c>
      <c r="E773">
        <f>'Unformatted Trip Summary'!E771</f>
        <v>56</v>
      </c>
      <c r="F773" s="1">
        <f>'Unformatted Trip Summary'!F771</f>
        <v>1.4904348486000001</v>
      </c>
      <c r="G773" s="1">
        <f>'Unformatted Trip Summary'!G771</f>
        <v>0</v>
      </c>
      <c r="H773" s="1">
        <f>'Unformatted Trip Summary'!H771</f>
        <v>0.52510807520000002</v>
      </c>
    </row>
    <row r="774" spans="1:8" x14ac:dyDescent="0.2">
      <c r="A774" t="str">
        <f>'Unformatted Trip Summary'!A772</f>
        <v>10 NELS-MARLB-TAS</v>
      </c>
      <c r="B774" t="str">
        <f>'Unformatted Trip Summary'!J772</f>
        <v>2012/13</v>
      </c>
      <c r="C774" t="str">
        <f>'Unformatted Trip Summary'!I772</f>
        <v>Air/Non-Local PT</v>
      </c>
      <c r="D774">
        <f>'Unformatted Trip Summary'!D772</f>
        <v>11</v>
      </c>
      <c r="E774">
        <f>'Unformatted Trip Summary'!E772</f>
        <v>13</v>
      </c>
      <c r="F774" s="1">
        <f>'Unformatted Trip Summary'!F772</f>
        <v>0.38277994659999998</v>
      </c>
      <c r="G774" s="1">
        <f>'Unformatted Trip Summary'!G772</f>
        <v>0</v>
      </c>
      <c r="H774" s="1">
        <f>'Unformatted Trip Summary'!H772</f>
        <v>0.45211944030000001</v>
      </c>
    </row>
    <row r="775" spans="1:8" x14ac:dyDescent="0.2">
      <c r="A775" t="str">
        <f>'Unformatted Trip Summary'!A773</f>
        <v>10 NELS-MARLB-TAS</v>
      </c>
      <c r="B775" t="str">
        <f>'Unformatted Trip Summary'!J773</f>
        <v>2017/18</v>
      </c>
      <c r="C775" t="str">
        <f>'Unformatted Trip Summary'!I773</f>
        <v>Air/Non-Local PT</v>
      </c>
      <c r="D775">
        <f>'Unformatted Trip Summary'!D773</f>
        <v>11</v>
      </c>
      <c r="E775">
        <f>'Unformatted Trip Summary'!E773</f>
        <v>13</v>
      </c>
      <c r="F775" s="1">
        <f>'Unformatted Trip Summary'!F773</f>
        <v>0.38268653460000002</v>
      </c>
      <c r="G775" s="1">
        <f>'Unformatted Trip Summary'!G773</f>
        <v>0</v>
      </c>
      <c r="H775" s="1">
        <f>'Unformatted Trip Summary'!H773</f>
        <v>0.43129033820000001</v>
      </c>
    </row>
    <row r="776" spans="1:8" x14ac:dyDescent="0.2">
      <c r="A776" t="str">
        <f>'Unformatted Trip Summary'!A774</f>
        <v>10 NELS-MARLB-TAS</v>
      </c>
      <c r="B776" t="str">
        <f>'Unformatted Trip Summary'!J774</f>
        <v>2022/23</v>
      </c>
      <c r="C776" t="str">
        <f>'Unformatted Trip Summary'!I774</f>
        <v>Air/Non-Local PT</v>
      </c>
      <c r="D776">
        <f>'Unformatted Trip Summary'!D774</f>
        <v>11</v>
      </c>
      <c r="E776">
        <f>'Unformatted Trip Summary'!E774</f>
        <v>13</v>
      </c>
      <c r="F776" s="1">
        <f>'Unformatted Trip Summary'!F774</f>
        <v>0.3982708338</v>
      </c>
      <c r="G776" s="1">
        <f>'Unformatted Trip Summary'!G774</f>
        <v>0</v>
      </c>
      <c r="H776" s="1">
        <f>'Unformatted Trip Summary'!H774</f>
        <v>0.43984337530000001</v>
      </c>
    </row>
    <row r="777" spans="1:8" x14ac:dyDescent="0.2">
      <c r="A777" t="str">
        <f>'Unformatted Trip Summary'!A775</f>
        <v>10 NELS-MARLB-TAS</v>
      </c>
      <c r="B777" t="str">
        <f>'Unformatted Trip Summary'!J775</f>
        <v>2027/28</v>
      </c>
      <c r="C777" t="str">
        <f>'Unformatted Trip Summary'!I775</f>
        <v>Air/Non-Local PT</v>
      </c>
      <c r="D777">
        <f>'Unformatted Trip Summary'!D775</f>
        <v>11</v>
      </c>
      <c r="E777">
        <f>'Unformatted Trip Summary'!E775</f>
        <v>13</v>
      </c>
      <c r="F777" s="1">
        <f>'Unformatted Trip Summary'!F775</f>
        <v>0.39793561109999998</v>
      </c>
      <c r="G777" s="1">
        <f>'Unformatted Trip Summary'!G775</f>
        <v>0</v>
      </c>
      <c r="H777" s="1">
        <f>'Unformatted Trip Summary'!H775</f>
        <v>0.41973899999999997</v>
      </c>
    </row>
    <row r="778" spans="1:8" x14ac:dyDescent="0.2">
      <c r="A778" t="str">
        <f>'Unformatted Trip Summary'!A776</f>
        <v>10 NELS-MARLB-TAS</v>
      </c>
      <c r="B778" t="str">
        <f>'Unformatted Trip Summary'!J776</f>
        <v>2032/33</v>
      </c>
      <c r="C778" t="str">
        <f>'Unformatted Trip Summary'!I776</f>
        <v>Air/Non-Local PT</v>
      </c>
      <c r="D778">
        <f>'Unformatted Trip Summary'!D776</f>
        <v>11</v>
      </c>
      <c r="E778">
        <f>'Unformatted Trip Summary'!E776</f>
        <v>13</v>
      </c>
      <c r="F778" s="1">
        <f>'Unformatted Trip Summary'!F776</f>
        <v>0.39587967769999999</v>
      </c>
      <c r="G778" s="1">
        <f>'Unformatted Trip Summary'!G776</f>
        <v>0</v>
      </c>
      <c r="H778" s="1">
        <f>'Unformatted Trip Summary'!H776</f>
        <v>0.38750980629999998</v>
      </c>
    </row>
    <row r="779" spans="1:8" x14ac:dyDescent="0.2">
      <c r="A779" t="str">
        <f>'Unformatted Trip Summary'!A777</f>
        <v>10 NELS-MARLB-TAS</v>
      </c>
      <c r="B779" t="str">
        <f>'Unformatted Trip Summary'!J777</f>
        <v>2037/38</v>
      </c>
      <c r="C779" t="str">
        <f>'Unformatted Trip Summary'!I777</f>
        <v>Air/Non-Local PT</v>
      </c>
      <c r="D779">
        <f>'Unformatted Trip Summary'!D777</f>
        <v>11</v>
      </c>
      <c r="E779">
        <f>'Unformatted Trip Summary'!E777</f>
        <v>13</v>
      </c>
      <c r="F779" s="1">
        <f>'Unformatted Trip Summary'!F777</f>
        <v>0.38820905979999998</v>
      </c>
      <c r="G779" s="1">
        <f>'Unformatted Trip Summary'!G777</f>
        <v>0</v>
      </c>
      <c r="H779" s="1">
        <f>'Unformatted Trip Summary'!H777</f>
        <v>0.34796765260000001</v>
      </c>
    </row>
    <row r="780" spans="1:8" x14ac:dyDescent="0.2">
      <c r="A780" t="str">
        <f>'Unformatted Trip Summary'!A778</f>
        <v>10 NELS-MARLB-TAS</v>
      </c>
      <c r="B780" t="str">
        <f>'Unformatted Trip Summary'!J778</f>
        <v>2042/43</v>
      </c>
      <c r="C780" t="str">
        <f>'Unformatted Trip Summary'!I778</f>
        <v>Air/Non-Local PT</v>
      </c>
      <c r="D780">
        <f>'Unformatted Trip Summary'!D778</f>
        <v>11</v>
      </c>
      <c r="E780">
        <f>'Unformatted Trip Summary'!E778</f>
        <v>13</v>
      </c>
      <c r="F780" s="1">
        <f>'Unformatted Trip Summary'!F778</f>
        <v>0.38260695350000001</v>
      </c>
      <c r="G780" s="1">
        <f>'Unformatted Trip Summary'!G778</f>
        <v>0</v>
      </c>
      <c r="H780" s="1">
        <f>'Unformatted Trip Summary'!H778</f>
        <v>0.31834658599999999</v>
      </c>
    </row>
    <row r="781" spans="1:8" x14ac:dyDescent="0.2">
      <c r="A781" t="str">
        <f>'Unformatted Trip Summary'!A779</f>
        <v>10 NELS-MARLB-TAS</v>
      </c>
      <c r="B781" t="str">
        <f>'Unformatted Trip Summary'!J779</f>
        <v>2012/13</v>
      </c>
      <c r="C781" t="str">
        <f>'Unformatted Trip Summary'!I779</f>
        <v>Non-Household Travel</v>
      </c>
      <c r="D781">
        <f>'Unformatted Trip Summary'!D779</f>
        <v>10</v>
      </c>
      <c r="E781">
        <f>'Unformatted Trip Summary'!E779</f>
        <v>59</v>
      </c>
      <c r="F781" s="1">
        <f>'Unformatted Trip Summary'!F779</f>
        <v>1.9294573958000001</v>
      </c>
      <c r="G781" s="1">
        <f>'Unformatted Trip Summary'!G779</f>
        <v>30.128221894999999</v>
      </c>
      <c r="H781" s="1">
        <f>'Unformatted Trip Summary'!H779</f>
        <v>0.79809006319999998</v>
      </c>
    </row>
    <row r="782" spans="1:8" x14ac:dyDescent="0.2">
      <c r="A782" t="str">
        <f>'Unformatted Trip Summary'!A780</f>
        <v>10 NELS-MARLB-TAS</v>
      </c>
      <c r="B782" t="str">
        <f>'Unformatted Trip Summary'!J780</f>
        <v>2017/18</v>
      </c>
      <c r="C782" t="str">
        <f>'Unformatted Trip Summary'!I780</f>
        <v>Non-Household Travel</v>
      </c>
      <c r="D782">
        <f>'Unformatted Trip Summary'!D780</f>
        <v>10</v>
      </c>
      <c r="E782">
        <f>'Unformatted Trip Summary'!E780</f>
        <v>59</v>
      </c>
      <c r="F782" s="1">
        <f>'Unformatted Trip Summary'!F780</f>
        <v>1.6505363044000001</v>
      </c>
      <c r="G782" s="1">
        <f>'Unformatted Trip Summary'!G780</f>
        <v>28.079940483000001</v>
      </c>
      <c r="H782" s="1">
        <f>'Unformatted Trip Summary'!H780</f>
        <v>0.73627297550000004</v>
      </c>
    </row>
    <row r="783" spans="1:8" x14ac:dyDescent="0.2">
      <c r="A783" t="str">
        <f>'Unformatted Trip Summary'!A781</f>
        <v>10 NELS-MARLB-TAS</v>
      </c>
      <c r="B783" t="str">
        <f>'Unformatted Trip Summary'!J781</f>
        <v>2022/23</v>
      </c>
      <c r="C783" t="str">
        <f>'Unformatted Trip Summary'!I781</f>
        <v>Non-Household Travel</v>
      </c>
      <c r="D783">
        <f>'Unformatted Trip Summary'!D781</f>
        <v>10</v>
      </c>
      <c r="E783">
        <f>'Unformatted Trip Summary'!E781</f>
        <v>59</v>
      </c>
      <c r="F783" s="1">
        <f>'Unformatted Trip Summary'!F781</f>
        <v>1.4908491895</v>
      </c>
      <c r="G783" s="1">
        <f>'Unformatted Trip Summary'!G781</f>
        <v>27.565964506</v>
      </c>
      <c r="H783" s="1">
        <f>'Unformatted Trip Summary'!H781</f>
        <v>0.70951396990000004</v>
      </c>
    </row>
    <row r="784" spans="1:8" x14ac:dyDescent="0.2">
      <c r="A784" t="str">
        <f>'Unformatted Trip Summary'!A782</f>
        <v>10 NELS-MARLB-TAS</v>
      </c>
      <c r="B784" t="str">
        <f>'Unformatted Trip Summary'!J782</f>
        <v>2027/28</v>
      </c>
      <c r="C784" t="str">
        <f>'Unformatted Trip Summary'!I782</f>
        <v>Non-Household Travel</v>
      </c>
      <c r="D784">
        <f>'Unformatted Trip Summary'!D782</f>
        <v>10</v>
      </c>
      <c r="E784">
        <f>'Unformatted Trip Summary'!E782</f>
        <v>59</v>
      </c>
      <c r="F784" s="1">
        <f>'Unformatted Trip Summary'!F782</f>
        <v>1.3255785148999999</v>
      </c>
      <c r="G784" s="1">
        <f>'Unformatted Trip Summary'!G782</f>
        <v>24.172931373000001</v>
      </c>
      <c r="H784" s="1">
        <f>'Unformatted Trip Summary'!H782</f>
        <v>0.61876923819999996</v>
      </c>
    </row>
    <row r="785" spans="1:8" x14ac:dyDescent="0.2">
      <c r="A785" t="str">
        <f>'Unformatted Trip Summary'!A783</f>
        <v>10 NELS-MARLB-TAS</v>
      </c>
      <c r="B785" t="str">
        <f>'Unformatted Trip Summary'!J783</f>
        <v>2032/33</v>
      </c>
      <c r="C785" t="str">
        <f>'Unformatted Trip Summary'!I783</f>
        <v>Non-Household Travel</v>
      </c>
      <c r="D785">
        <f>'Unformatted Trip Summary'!D783</f>
        <v>10</v>
      </c>
      <c r="E785">
        <f>'Unformatted Trip Summary'!E783</f>
        <v>59</v>
      </c>
      <c r="F785" s="1">
        <f>'Unformatted Trip Summary'!F783</f>
        <v>1.237700268</v>
      </c>
      <c r="G785" s="1">
        <f>'Unformatted Trip Summary'!G783</f>
        <v>20.638235582</v>
      </c>
      <c r="H785" s="1">
        <f>'Unformatted Trip Summary'!H783</f>
        <v>0.53339542380000005</v>
      </c>
    </row>
    <row r="786" spans="1:8" x14ac:dyDescent="0.2">
      <c r="A786" t="str">
        <f>'Unformatted Trip Summary'!A784</f>
        <v>10 NELS-MARLB-TAS</v>
      </c>
      <c r="B786" t="str">
        <f>'Unformatted Trip Summary'!J784</f>
        <v>2037/38</v>
      </c>
      <c r="C786" t="str">
        <f>'Unformatted Trip Summary'!I784</f>
        <v>Non-Household Travel</v>
      </c>
      <c r="D786">
        <f>'Unformatted Trip Summary'!D784</f>
        <v>10</v>
      </c>
      <c r="E786">
        <f>'Unformatted Trip Summary'!E784</f>
        <v>59</v>
      </c>
      <c r="F786" s="1">
        <f>'Unformatted Trip Summary'!F784</f>
        <v>1.2341556532</v>
      </c>
      <c r="G786" s="1">
        <f>'Unformatted Trip Summary'!G784</f>
        <v>17.564837547</v>
      </c>
      <c r="H786" s="1">
        <f>'Unformatted Trip Summary'!H784</f>
        <v>0.46532981899999998</v>
      </c>
    </row>
    <row r="787" spans="1:8" x14ac:dyDescent="0.2">
      <c r="A787" t="str">
        <f>'Unformatted Trip Summary'!A785</f>
        <v>10 NELS-MARLB-TAS</v>
      </c>
      <c r="B787" t="str">
        <f>'Unformatted Trip Summary'!J785</f>
        <v>2042/43</v>
      </c>
      <c r="C787" t="str">
        <f>'Unformatted Trip Summary'!I785</f>
        <v>Non-Household Travel</v>
      </c>
      <c r="D787">
        <f>'Unformatted Trip Summary'!D785</f>
        <v>10</v>
      </c>
      <c r="E787">
        <f>'Unformatted Trip Summary'!E785</f>
        <v>59</v>
      </c>
      <c r="F787" s="1">
        <f>'Unformatted Trip Summary'!F785</f>
        <v>1.2267171586000001</v>
      </c>
      <c r="G787" s="1">
        <f>'Unformatted Trip Summary'!G785</f>
        <v>14.998438902</v>
      </c>
      <c r="H787" s="1">
        <f>'Unformatted Trip Summary'!H785</f>
        <v>0.40721200670000002</v>
      </c>
    </row>
    <row r="788" spans="1:8" x14ac:dyDescent="0.2">
      <c r="A788" t="str">
        <f>'Unformatted Trip Summary'!A786</f>
        <v>12 WEST COAST</v>
      </c>
      <c r="B788" t="str">
        <f>'Unformatted Trip Summary'!J786</f>
        <v>2012/13</v>
      </c>
      <c r="C788" t="str">
        <f>'Unformatted Trip Summary'!I786</f>
        <v>Pedestrian</v>
      </c>
      <c r="D788">
        <f>'Unformatted Trip Summary'!D786</f>
        <v>145</v>
      </c>
      <c r="E788">
        <f>'Unformatted Trip Summary'!E786</f>
        <v>451</v>
      </c>
      <c r="F788" s="1">
        <f>'Unformatted Trip Summary'!F786</f>
        <v>5.2699511529</v>
      </c>
      <c r="G788" s="1">
        <f>'Unformatted Trip Summary'!G786</f>
        <v>4.6474841125999999</v>
      </c>
      <c r="H788" s="1">
        <f>'Unformatted Trip Summary'!H786</f>
        <v>1.1518220776999999</v>
      </c>
    </row>
    <row r="789" spans="1:8" x14ac:dyDescent="0.2">
      <c r="A789" t="str">
        <f>'Unformatted Trip Summary'!A787</f>
        <v>12 WEST COAST</v>
      </c>
      <c r="B789" t="str">
        <f>'Unformatted Trip Summary'!J787</f>
        <v>2017/18</v>
      </c>
      <c r="C789" t="str">
        <f>'Unformatted Trip Summary'!I787</f>
        <v>Pedestrian</v>
      </c>
      <c r="D789">
        <f>'Unformatted Trip Summary'!D787</f>
        <v>145</v>
      </c>
      <c r="E789">
        <f>'Unformatted Trip Summary'!E787</f>
        <v>451</v>
      </c>
      <c r="F789" s="1">
        <f>'Unformatted Trip Summary'!F787</f>
        <v>4.4539437897000003</v>
      </c>
      <c r="G789" s="1">
        <f>'Unformatted Trip Summary'!G787</f>
        <v>4.0149325678999999</v>
      </c>
      <c r="H789" s="1">
        <f>'Unformatted Trip Summary'!H787</f>
        <v>1.010258493</v>
      </c>
    </row>
    <row r="790" spans="1:8" x14ac:dyDescent="0.2">
      <c r="A790" t="str">
        <f>'Unformatted Trip Summary'!A788</f>
        <v>12 WEST COAST</v>
      </c>
      <c r="B790" t="str">
        <f>'Unformatted Trip Summary'!J788</f>
        <v>2022/23</v>
      </c>
      <c r="C790" t="str">
        <f>'Unformatted Trip Summary'!I788</f>
        <v>Pedestrian</v>
      </c>
      <c r="D790">
        <f>'Unformatted Trip Summary'!D788</f>
        <v>145</v>
      </c>
      <c r="E790">
        <f>'Unformatted Trip Summary'!E788</f>
        <v>451</v>
      </c>
      <c r="F790" s="1">
        <f>'Unformatted Trip Summary'!F788</f>
        <v>3.9772473815999998</v>
      </c>
      <c r="G790" s="1">
        <f>'Unformatted Trip Summary'!G788</f>
        <v>3.6549651945999999</v>
      </c>
      <c r="H790" s="1">
        <f>'Unformatted Trip Summary'!H788</f>
        <v>0.94150144449999995</v>
      </c>
    </row>
    <row r="791" spans="1:8" x14ac:dyDescent="0.2">
      <c r="A791" t="str">
        <f>'Unformatted Trip Summary'!A789</f>
        <v>12 WEST COAST</v>
      </c>
      <c r="B791" t="str">
        <f>'Unformatted Trip Summary'!J789</f>
        <v>2027/28</v>
      </c>
      <c r="C791" t="str">
        <f>'Unformatted Trip Summary'!I789</f>
        <v>Pedestrian</v>
      </c>
      <c r="D791">
        <f>'Unformatted Trip Summary'!D789</f>
        <v>145</v>
      </c>
      <c r="E791">
        <f>'Unformatted Trip Summary'!E789</f>
        <v>451</v>
      </c>
      <c r="F791" s="1">
        <f>'Unformatted Trip Summary'!F789</f>
        <v>3.4907341464999999</v>
      </c>
      <c r="G791" s="1">
        <f>'Unformatted Trip Summary'!G789</f>
        <v>3.3151889529999998</v>
      </c>
      <c r="H791" s="1">
        <f>'Unformatted Trip Summary'!H789</f>
        <v>0.86646035669999999</v>
      </c>
    </row>
    <row r="792" spans="1:8" x14ac:dyDescent="0.2">
      <c r="A792" t="str">
        <f>'Unformatted Trip Summary'!A790</f>
        <v>12 WEST COAST</v>
      </c>
      <c r="B792" t="str">
        <f>'Unformatted Trip Summary'!J790</f>
        <v>2032/33</v>
      </c>
      <c r="C792" t="str">
        <f>'Unformatted Trip Summary'!I790</f>
        <v>Pedestrian</v>
      </c>
      <c r="D792">
        <f>'Unformatted Trip Summary'!D790</f>
        <v>145</v>
      </c>
      <c r="E792">
        <f>'Unformatted Trip Summary'!E790</f>
        <v>451</v>
      </c>
      <c r="F792" s="1">
        <f>'Unformatted Trip Summary'!F790</f>
        <v>3.0950688073000001</v>
      </c>
      <c r="G792" s="1">
        <f>'Unformatted Trip Summary'!G790</f>
        <v>3.0389517774999999</v>
      </c>
      <c r="H792" s="1">
        <f>'Unformatted Trip Summary'!H790</f>
        <v>0.79904169420000004</v>
      </c>
    </row>
    <row r="793" spans="1:8" x14ac:dyDescent="0.2">
      <c r="A793" t="str">
        <f>'Unformatted Trip Summary'!A791</f>
        <v>12 WEST COAST</v>
      </c>
      <c r="B793" t="str">
        <f>'Unformatted Trip Summary'!J791</f>
        <v>2037/38</v>
      </c>
      <c r="C793" t="str">
        <f>'Unformatted Trip Summary'!I791</f>
        <v>Pedestrian</v>
      </c>
      <c r="D793">
        <f>'Unformatted Trip Summary'!D791</f>
        <v>145</v>
      </c>
      <c r="E793">
        <f>'Unformatted Trip Summary'!E791</f>
        <v>451</v>
      </c>
      <c r="F793" s="1">
        <f>'Unformatted Trip Summary'!F791</f>
        <v>2.7792742825999999</v>
      </c>
      <c r="G793" s="1">
        <f>'Unformatted Trip Summary'!G791</f>
        <v>2.8294160401999999</v>
      </c>
      <c r="H793" s="1">
        <f>'Unformatted Trip Summary'!H791</f>
        <v>0.74425630769999995</v>
      </c>
    </row>
    <row r="794" spans="1:8" x14ac:dyDescent="0.2">
      <c r="A794" t="str">
        <f>'Unformatted Trip Summary'!A792</f>
        <v>12 WEST COAST</v>
      </c>
      <c r="B794" t="str">
        <f>'Unformatted Trip Summary'!J792</f>
        <v>2042/43</v>
      </c>
      <c r="C794" t="str">
        <f>'Unformatted Trip Summary'!I792</f>
        <v>Pedestrian</v>
      </c>
      <c r="D794">
        <f>'Unformatted Trip Summary'!D792</f>
        <v>145</v>
      </c>
      <c r="E794">
        <f>'Unformatted Trip Summary'!E792</f>
        <v>451</v>
      </c>
      <c r="F794" s="1">
        <f>'Unformatted Trip Summary'!F792</f>
        <v>2.5520224347</v>
      </c>
      <c r="G794" s="1">
        <f>'Unformatted Trip Summary'!G792</f>
        <v>2.6887883109000001</v>
      </c>
      <c r="H794" s="1">
        <f>'Unformatted Trip Summary'!H792</f>
        <v>0.70358593709999995</v>
      </c>
    </row>
    <row r="795" spans="1:8" x14ac:dyDescent="0.2">
      <c r="A795" t="str">
        <f>'Unformatted Trip Summary'!A793</f>
        <v>12 WEST COAST</v>
      </c>
      <c r="B795" t="str">
        <f>'Unformatted Trip Summary'!J793</f>
        <v>2012/13</v>
      </c>
      <c r="C795" t="str">
        <f>'Unformatted Trip Summary'!I793</f>
        <v>Cyclist</v>
      </c>
      <c r="D795">
        <f>'Unformatted Trip Summary'!D793</f>
        <v>23</v>
      </c>
      <c r="E795">
        <f>'Unformatted Trip Summary'!E793</f>
        <v>75</v>
      </c>
      <c r="F795" s="1">
        <f>'Unformatted Trip Summary'!F793</f>
        <v>0.73381292249999996</v>
      </c>
      <c r="G795" s="1">
        <f>'Unformatted Trip Summary'!G793</f>
        <v>1.9571055828999999</v>
      </c>
      <c r="H795" s="1">
        <f>'Unformatted Trip Summary'!H793</f>
        <v>0.17528853950000001</v>
      </c>
    </row>
    <row r="796" spans="1:8" x14ac:dyDescent="0.2">
      <c r="A796" t="str">
        <f>'Unformatted Trip Summary'!A794</f>
        <v>12 WEST COAST</v>
      </c>
      <c r="B796" t="str">
        <f>'Unformatted Trip Summary'!J794</f>
        <v>2017/18</v>
      </c>
      <c r="C796" t="str">
        <f>'Unformatted Trip Summary'!I794</f>
        <v>Cyclist</v>
      </c>
      <c r="D796">
        <f>'Unformatted Trip Summary'!D794</f>
        <v>23</v>
      </c>
      <c r="E796">
        <f>'Unformatted Trip Summary'!E794</f>
        <v>75</v>
      </c>
      <c r="F796" s="1">
        <f>'Unformatted Trip Summary'!F794</f>
        <v>0.6496205665</v>
      </c>
      <c r="G796" s="1">
        <f>'Unformatted Trip Summary'!G794</f>
        <v>1.8228852137</v>
      </c>
      <c r="H796" s="1">
        <f>'Unformatted Trip Summary'!H794</f>
        <v>0.15610228670000001</v>
      </c>
    </row>
    <row r="797" spans="1:8" x14ac:dyDescent="0.2">
      <c r="A797" t="str">
        <f>'Unformatted Trip Summary'!A795</f>
        <v>12 WEST COAST</v>
      </c>
      <c r="B797" t="str">
        <f>'Unformatted Trip Summary'!J795</f>
        <v>2022/23</v>
      </c>
      <c r="C797" t="str">
        <f>'Unformatted Trip Summary'!I795</f>
        <v>Cyclist</v>
      </c>
      <c r="D797">
        <f>'Unformatted Trip Summary'!D795</f>
        <v>23</v>
      </c>
      <c r="E797">
        <f>'Unformatted Trip Summary'!E795</f>
        <v>75</v>
      </c>
      <c r="F797" s="1">
        <f>'Unformatted Trip Summary'!F795</f>
        <v>0.61162800500000003</v>
      </c>
      <c r="G797" s="1">
        <f>'Unformatted Trip Summary'!G795</f>
        <v>1.803283505</v>
      </c>
      <c r="H797" s="1">
        <f>'Unformatted Trip Summary'!H795</f>
        <v>0.1469060224</v>
      </c>
    </row>
    <row r="798" spans="1:8" x14ac:dyDescent="0.2">
      <c r="A798" t="str">
        <f>'Unformatted Trip Summary'!A796</f>
        <v>12 WEST COAST</v>
      </c>
      <c r="B798" t="str">
        <f>'Unformatted Trip Summary'!J796</f>
        <v>2027/28</v>
      </c>
      <c r="C798" t="str">
        <f>'Unformatted Trip Summary'!I796</f>
        <v>Cyclist</v>
      </c>
      <c r="D798">
        <f>'Unformatted Trip Summary'!D796</f>
        <v>23</v>
      </c>
      <c r="E798">
        <f>'Unformatted Trip Summary'!E796</f>
        <v>75</v>
      </c>
      <c r="F798" s="1">
        <f>'Unformatted Trip Summary'!F796</f>
        <v>0.56921507090000001</v>
      </c>
      <c r="G798" s="1">
        <f>'Unformatted Trip Summary'!G796</f>
        <v>1.6766130011</v>
      </c>
      <c r="H798" s="1">
        <f>'Unformatted Trip Summary'!H796</f>
        <v>0.13270942499999999</v>
      </c>
    </row>
    <row r="799" spans="1:8" x14ac:dyDescent="0.2">
      <c r="A799" t="str">
        <f>'Unformatted Trip Summary'!A797</f>
        <v>12 WEST COAST</v>
      </c>
      <c r="B799" t="str">
        <f>'Unformatted Trip Summary'!J797</f>
        <v>2032/33</v>
      </c>
      <c r="C799" t="str">
        <f>'Unformatted Trip Summary'!I797</f>
        <v>Cyclist</v>
      </c>
      <c r="D799">
        <f>'Unformatted Trip Summary'!D797</f>
        <v>23</v>
      </c>
      <c r="E799">
        <f>'Unformatted Trip Summary'!E797</f>
        <v>75</v>
      </c>
      <c r="F799" s="1">
        <f>'Unformatted Trip Summary'!F797</f>
        <v>0.51175195009999996</v>
      </c>
      <c r="G799" s="1">
        <f>'Unformatted Trip Summary'!G797</f>
        <v>1.5613640509</v>
      </c>
      <c r="H799" s="1">
        <f>'Unformatted Trip Summary'!H797</f>
        <v>0.11794603250000001</v>
      </c>
    </row>
    <row r="800" spans="1:8" x14ac:dyDescent="0.2">
      <c r="A800" t="str">
        <f>'Unformatted Trip Summary'!A798</f>
        <v>12 WEST COAST</v>
      </c>
      <c r="B800" t="str">
        <f>'Unformatted Trip Summary'!J798</f>
        <v>2037/38</v>
      </c>
      <c r="C800" t="str">
        <f>'Unformatted Trip Summary'!I798</f>
        <v>Cyclist</v>
      </c>
      <c r="D800">
        <f>'Unformatted Trip Summary'!D798</f>
        <v>23</v>
      </c>
      <c r="E800">
        <f>'Unformatted Trip Summary'!E798</f>
        <v>75</v>
      </c>
      <c r="F800" s="1">
        <f>'Unformatted Trip Summary'!F798</f>
        <v>0.46584258490000002</v>
      </c>
      <c r="G800" s="1">
        <f>'Unformatted Trip Summary'!G798</f>
        <v>1.5381831469</v>
      </c>
      <c r="H800" s="1">
        <f>'Unformatted Trip Summary'!H798</f>
        <v>0.10757323570000001</v>
      </c>
    </row>
    <row r="801" spans="1:8" x14ac:dyDescent="0.2">
      <c r="A801" t="str">
        <f>'Unformatted Trip Summary'!A799</f>
        <v>12 WEST COAST</v>
      </c>
      <c r="B801" t="str">
        <f>'Unformatted Trip Summary'!J799</f>
        <v>2042/43</v>
      </c>
      <c r="C801" t="str">
        <f>'Unformatted Trip Summary'!I799</f>
        <v>Cyclist</v>
      </c>
      <c r="D801">
        <f>'Unformatted Trip Summary'!D799</f>
        <v>23</v>
      </c>
      <c r="E801">
        <f>'Unformatted Trip Summary'!E799</f>
        <v>75</v>
      </c>
      <c r="F801" s="1">
        <f>'Unformatted Trip Summary'!F799</f>
        <v>0.4228663735</v>
      </c>
      <c r="G801" s="1">
        <f>'Unformatted Trip Summary'!G799</f>
        <v>1.5031197542000001</v>
      </c>
      <c r="H801" s="1">
        <f>'Unformatted Trip Summary'!H799</f>
        <v>9.7932925500000004E-2</v>
      </c>
    </row>
    <row r="802" spans="1:8" x14ac:dyDescent="0.2">
      <c r="A802" t="str">
        <f>'Unformatted Trip Summary'!A800</f>
        <v>12 WEST COAST</v>
      </c>
      <c r="B802" t="str">
        <f>'Unformatted Trip Summary'!J800</f>
        <v>2012/13</v>
      </c>
      <c r="C802" t="str">
        <f>'Unformatted Trip Summary'!I800</f>
        <v>Light Vehicle Driver</v>
      </c>
      <c r="D802">
        <f>'Unformatted Trip Summary'!D800</f>
        <v>269</v>
      </c>
      <c r="E802">
        <f>'Unformatted Trip Summary'!E800</f>
        <v>1828</v>
      </c>
      <c r="F802" s="1">
        <f>'Unformatted Trip Summary'!F800</f>
        <v>21.329902885999999</v>
      </c>
      <c r="G802" s="1">
        <f>'Unformatted Trip Summary'!G800</f>
        <v>226.22434741999999</v>
      </c>
      <c r="H802" s="1">
        <f>'Unformatted Trip Summary'!H800</f>
        <v>5.0852916584000001</v>
      </c>
    </row>
    <row r="803" spans="1:8" x14ac:dyDescent="0.2">
      <c r="A803" t="str">
        <f>'Unformatted Trip Summary'!A801</f>
        <v>12 WEST COAST</v>
      </c>
      <c r="B803" t="str">
        <f>'Unformatted Trip Summary'!J801</f>
        <v>2017/18</v>
      </c>
      <c r="C803" t="str">
        <f>'Unformatted Trip Summary'!I801</f>
        <v>Light Vehicle Driver</v>
      </c>
      <c r="D803">
        <f>'Unformatted Trip Summary'!D801</f>
        <v>269</v>
      </c>
      <c r="E803">
        <f>'Unformatted Trip Summary'!E801</f>
        <v>1828</v>
      </c>
      <c r="F803" s="1">
        <f>'Unformatted Trip Summary'!F801</f>
        <v>19.239156645000001</v>
      </c>
      <c r="G803" s="1">
        <f>'Unformatted Trip Summary'!G801</f>
        <v>209.51051222999999</v>
      </c>
      <c r="H803" s="1">
        <f>'Unformatted Trip Summary'!H801</f>
        <v>4.6618041889999997</v>
      </c>
    </row>
    <row r="804" spans="1:8" x14ac:dyDescent="0.2">
      <c r="A804" t="str">
        <f>'Unformatted Trip Summary'!A802</f>
        <v>12 WEST COAST</v>
      </c>
      <c r="B804" t="str">
        <f>'Unformatted Trip Summary'!J802</f>
        <v>2022/23</v>
      </c>
      <c r="C804" t="str">
        <f>'Unformatted Trip Summary'!I802</f>
        <v>Light Vehicle Driver</v>
      </c>
      <c r="D804">
        <f>'Unformatted Trip Summary'!D802</f>
        <v>269</v>
      </c>
      <c r="E804">
        <f>'Unformatted Trip Summary'!E802</f>
        <v>1828</v>
      </c>
      <c r="F804" s="1">
        <f>'Unformatted Trip Summary'!F802</f>
        <v>18.054143529000001</v>
      </c>
      <c r="G804" s="1">
        <f>'Unformatted Trip Summary'!G802</f>
        <v>203.90634713</v>
      </c>
      <c r="H804" s="1">
        <f>'Unformatted Trip Summary'!H802</f>
        <v>4.4690901327999999</v>
      </c>
    </row>
    <row r="805" spans="1:8" x14ac:dyDescent="0.2">
      <c r="A805" t="str">
        <f>'Unformatted Trip Summary'!A803</f>
        <v>12 WEST COAST</v>
      </c>
      <c r="B805" t="str">
        <f>'Unformatted Trip Summary'!J803</f>
        <v>2027/28</v>
      </c>
      <c r="C805" t="str">
        <f>'Unformatted Trip Summary'!I803</f>
        <v>Light Vehicle Driver</v>
      </c>
      <c r="D805">
        <f>'Unformatted Trip Summary'!D803</f>
        <v>269</v>
      </c>
      <c r="E805">
        <f>'Unformatted Trip Summary'!E803</f>
        <v>1828</v>
      </c>
      <c r="F805" s="1">
        <f>'Unformatted Trip Summary'!F803</f>
        <v>16.810062990999999</v>
      </c>
      <c r="G805" s="1">
        <f>'Unformatted Trip Summary'!G803</f>
        <v>194.45426176000001</v>
      </c>
      <c r="H805" s="1">
        <f>'Unformatted Trip Summary'!H803</f>
        <v>4.2228281684000004</v>
      </c>
    </row>
    <row r="806" spans="1:8" x14ac:dyDescent="0.2">
      <c r="A806" t="str">
        <f>'Unformatted Trip Summary'!A804</f>
        <v>12 WEST COAST</v>
      </c>
      <c r="B806" t="str">
        <f>'Unformatted Trip Summary'!J804</f>
        <v>2032/33</v>
      </c>
      <c r="C806" t="str">
        <f>'Unformatted Trip Summary'!I804</f>
        <v>Light Vehicle Driver</v>
      </c>
      <c r="D806">
        <f>'Unformatted Trip Summary'!D804</f>
        <v>269</v>
      </c>
      <c r="E806">
        <f>'Unformatted Trip Summary'!E804</f>
        <v>1828</v>
      </c>
      <c r="F806" s="1">
        <f>'Unformatted Trip Summary'!F804</f>
        <v>15.441342178999999</v>
      </c>
      <c r="G806" s="1">
        <f>'Unformatted Trip Summary'!G804</f>
        <v>182.53431534000001</v>
      </c>
      <c r="H806" s="1">
        <f>'Unformatted Trip Summary'!H804</f>
        <v>3.9289435298000002</v>
      </c>
    </row>
    <row r="807" spans="1:8" x14ac:dyDescent="0.2">
      <c r="A807" t="str">
        <f>'Unformatted Trip Summary'!A805</f>
        <v>12 WEST COAST</v>
      </c>
      <c r="B807" t="str">
        <f>'Unformatted Trip Summary'!J805</f>
        <v>2037/38</v>
      </c>
      <c r="C807" t="str">
        <f>'Unformatted Trip Summary'!I805</f>
        <v>Light Vehicle Driver</v>
      </c>
      <c r="D807">
        <f>'Unformatted Trip Summary'!D805</f>
        <v>269</v>
      </c>
      <c r="E807">
        <f>'Unformatted Trip Summary'!E805</f>
        <v>1828</v>
      </c>
      <c r="F807" s="1">
        <f>'Unformatted Trip Summary'!F805</f>
        <v>14.485827521999999</v>
      </c>
      <c r="G807" s="1">
        <f>'Unformatted Trip Summary'!G805</f>
        <v>175.9263808</v>
      </c>
      <c r="H807" s="1">
        <f>'Unformatted Trip Summary'!H805</f>
        <v>3.7410029504</v>
      </c>
    </row>
    <row r="808" spans="1:8" x14ac:dyDescent="0.2">
      <c r="A808" t="str">
        <f>'Unformatted Trip Summary'!A806</f>
        <v>12 WEST COAST</v>
      </c>
      <c r="B808" t="str">
        <f>'Unformatted Trip Summary'!J806</f>
        <v>2042/43</v>
      </c>
      <c r="C808" t="str">
        <f>'Unformatted Trip Summary'!I806</f>
        <v>Light Vehicle Driver</v>
      </c>
      <c r="D808">
        <f>'Unformatted Trip Summary'!D806</f>
        <v>269</v>
      </c>
      <c r="E808">
        <f>'Unformatted Trip Summary'!E806</f>
        <v>1828</v>
      </c>
      <c r="F808" s="1">
        <f>'Unformatted Trip Summary'!F806</f>
        <v>13.618298472999999</v>
      </c>
      <c r="G808" s="1">
        <f>'Unformatted Trip Summary'!G806</f>
        <v>170.19698427</v>
      </c>
      <c r="H808" s="1">
        <f>'Unformatted Trip Summary'!H806</f>
        <v>3.5716228928999998</v>
      </c>
    </row>
    <row r="809" spans="1:8" x14ac:dyDescent="0.2">
      <c r="A809" t="str">
        <f>'Unformatted Trip Summary'!A807</f>
        <v>12 WEST COAST</v>
      </c>
      <c r="B809" t="str">
        <f>'Unformatted Trip Summary'!J807</f>
        <v>2012/13</v>
      </c>
      <c r="C809" t="str">
        <f>'Unformatted Trip Summary'!I807</f>
        <v>Light Vehicle Passenger</v>
      </c>
      <c r="D809">
        <f>'Unformatted Trip Summary'!D807</f>
        <v>210</v>
      </c>
      <c r="E809">
        <f>'Unformatted Trip Summary'!E807</f>
        <v>1017</v>
      </c>
      <c r="F809" s="1">
        <f>'Unformatted Trip Summary'!F807</f>
        <v>11.090105214999999</v>
      </c>
      <c r="G809" s="1">
        <f>'Unformatted Trip Summary'!G807</f>
        <v>160.37072223999999</v>
      </c>
      <c r="H809" s="1">
        <f>'Unformatted Trip Summary'!H807</f>
        <v>3.4140139011000001</v>
      </c>
    </row>
    <row r="810" spans="1:8" x14ac:dyDescent="0.2">
      <c r="A810" t="str">
        <f>'Unformatted Trip Summary'!A808</f>
        <v>12 WEST COAST</v>
      </c>
      <c r="B810" t="str">
        <f>'Unformatted Trip Summary'!J808</f>
        <v>2017/18</v>
      </c>
      <c r="C810" t="str">
        <f>'Unformatted Trip Summary'!I808</f>
        <v>Light Vehicle Passenger</v>
      </c>
      <c r="D810">
        <f>'Unformatted Trip Summary'!D808</f>
        <v>210</v>
      </c>
      <c r="E810">
        <f>'Unformatted Trip Summary'!E808</f>
        <v>1017</v>
      </c>
      <c r="F810" s="1">
        <f>'Unformatted Trip Summary'!F808</f>
        <v>9.4384707665000001</v>
      </c>
      <c r="G810" s="1">
        <f>'Unformatted Trip Summary'!G808</f>
        <v>146.01621342999999</v>
      </c>
      <c r="H810" s="1">
        <f>'Unformatted Trip Summary'!H808</f>
        <v>3.0998713610999999</v>
      </c>
    </row>
    <row r="811" spans="1:8" x14ac:dyDescent="0.2">
      <c r="A811" t="str">
        <f>'Unformatted Trip Summary'!A809</f>
        <v>12 WEST COAST</v>
      </c>
      <c r="B811" t="str">
        <f>'Unformatted Trip Summary'!J809</f>
        <v>2022/23</v>
      </c>
      <c r="C811" t="str">
        <f>'Unformatted Trip Summary'!I809</f>
        <v>Light Vehicle Passenger</v>
      </c>
      <c r="D811">
        <f>'Unformatted Trip Summary'!D809</f>
        <v>210</v>
      </c>
      <c r="E811">
        <f>'Unformatted Trip Summary'!E809</f>
        <v>1017</v>
      </c>
      <c r="F811" s="1">
        <f>'Unformatted Trip Summary'!F809</f>
        <v>8.6746145019000007</v>
      </c>
      <c r="G811" s="1">
        <f>'Unformatted Trip Summary'!G809</f>
        <v>141.67665869999999</v>
      </c>
      <c r="H811" s="1">
        <f>'Unformatted Trip Summary'!H809</f>
        <v>3.0155308184999998</v>
      </c>
    </row>
    <row r="812" spans="1:8" x14ac:dyDescent="0.2">
      <c r="A812" t="str">
        <f>'Unformatted Trip Summary'!A810</f>
        <v>12 WEST COAST</v>
      </c>
      <c r="B812" t="str">
        <f>'Unformatted Trip Summary'!J810</f>
        <v>2027/28</v>
      </c>
      <c r="C812" t="str">
        <f>'Unformatted Trip Summary'!I810</f>
        <v>Light Vehicle Passenger</v>
      </c>
      <c r="D812">
        <f>'Unformatted Trip Summary'!D810</f>
        <v>210</v>
      </c>
      <c r="E812">
        <f>'Unformatted Trip Summary'!E810</f>
        <v>1017</v>
      </c>
      <c r="F812" s="1">
        <f>'Unformatted Trip Summary'!F810</f>
        <v>8.0035270527000009</v>
      </c>
      <c r="G812" s="1">
        <f>'Unformatted Trip Summary'!G810</f>
        <v>136.87583522</v>
      </c>
      <c r="H812" s="1">
        <f>'Unformatted Trip Summary'!H810</f>
        <v>2.9222337990999998</v>
      </c>
    </row>
    <row r="813" spans="1:8" x14ac:dyDescent="0.2">
      <c r="A813" t="str">
        <f>'Unformatted Trip Summary'!A811</f>
        <v>12 WEST COAST</v>
      </c>
      <c r="B813" t="str">
        <f>'Unformatted Trip Summary'!J811</f>
        <v>2032/33</v>
      </c>
      <c r="C813" t="str">
        <f>'Unformatted Trip Summary'!I811</f>
        <v>Light Vehicle Passenger</v>
      </c>
      <c r="D813">
        <f>'Unformatted Trip Summary'!D811</f>
        <v>210</v>
      </c>
      <c r="E813">
        <f>'Unformatted Trip Summary'!E811</f>
        <v>1017</v>
      </c>
      <c r="F813" s="1">
        <f>'Unformatted Trip Summary'!F811</f>
        <v>7.2595228923999997</v>
      </c>
      <c r="G813" s="1">
        <f>'Unformatted Trip Summary'!G811</f>
        <v>127.14983904</v>
      </c>
      <c r="H813" s="1">
        <f>'Unformatted Trip Summary'!H811</f>
        <v>2.7394488368999999</v>
      </c>
    </row>
    <row r="814" spans="1:8" x14ac:dyDescent="0.2">
      <c r="A814" t="str">
        <f>'Unformatted Trip Summary'!A812</f>
        <v>12 WEST COAST</v>
      </c>
      <c r="B814" t="str">
        <f>'Unformatted Trip Summary'!J812</f>
        <v>2037/38</v>
      </c>
      <c r="C814" t="str">
        <f>'Unformatted Trip Summary'!I812</f>
        <v>Light Vehicle Passenger</v>
      </c>
      <c r="D814">
        <f>'Unformatted Trip Summary'!D812</f>
        <v>210</v>
      </c>
      <c r="E814">
        <f>'Unformatted Trip Summary'!E812</f>
        <v>1017</v>
      </c>
      <c r="F814" s="1">
        <f>'Unformatted Trip Summary'!F812</f>
        <v>6.5447979752999998</v>
      </c>
      <c r="G814" s="1">
        <f>'Unformatted Trip Summary'!G812</f>
        <v>118.99072477</v>
      </c>
      <c r="H814" s="1">
        <f>'Unformatted Trip Summary'!H812</f>
        <v>2.5488300141</v>
      </c>
    </row>
    <row r="815" spans="1:8" x14ac:dyDescent="0.2">
      <c r="A815" t="str">
        <f>'Unformatted Trip Summary'!A813</f>
        <v>12 WEST COAST</v>
      </c>
      <c r="B815" t="str">
        <f>'Unformatted Trip Summary'!J813</f>
        <v>2042/43</v>
      </c>
      <c r="C815" t="str">
        <f>'Unformatted Trip Summary'!I813</f>
        <v>Light Vehicle Passenger</v>
      </c>
      <c r="D815">
        <f>'Unformatted Trip Summary'!D813</f>
        <v>210</v>
      </c>
      <c r="E815">
        <f>'Unformatted Trip Summary'!E813</f>
        <v>1017</v>
      </c>
      <c r="F815" s="1">
        <f>'Unformatted Trip Summary'!F813</f>
        <v>5.9129659112999997</v>
      </c>
      <c r="G815" s="1">
        <f>'Unformatted Trip Summary'!G813</f>
        <v>111.90600069</v>
      </c>
      <c r="H815" s="1">
        <f>'Unformatted Trip Summary'!H813</f>
        <v>2.3730853270000001</v>
      </c>
    </row>
    <row r="816" spans="1:8" x14ac:dyDescent="0.2">
      <c r="A816" t="str">
        <f>'Unformatted Trip Summary'!A814</f>
        <v>12 WEST COAST</v>
      </c>
      <c r="B816" t="str">
        <f>'Unformatted Trip Summary'!J814</f>
        <v>2012/13</v>
      </c>
      <c r="C816" t="str">
        <f>'Unformatted Trip Summary'!I814</f>
        <v>Taxi/Vehicle Share</v>
      </c>
      <c r="D816">
        <f>'Unformatted Trip Summary'!D814</f>
        <v>12</v>
      </c>
      <c r="E816">
        <f>'Unformatted Trip Summary'!E814</f>
        <v>23</v>
      </c>
      <c r="F816" s="1">
        <f>'Unformatted Trip Summary'!F814</f>
        <v>0.29973375209999997</v>
      </c>
      <c r="G816" s="1">
        <f>'Unformatted Trip Summary'!G814</f>
        <v>1.6916956777000001</v>
      </c>
      <c r="H816" s="1">
        <f>'Unformatted Trip Summary'!H814</f>
        <v>6.5507808299999998E-2</v>
      </c>
    </row>
    <row r="817" spans="1:8" x14ac:dyDescent="0.2">
      <c r="A817" t="str">
        <f>'Unformatted Trip Summary'!A815</f>
        <v>12 WEST COAST</v>
      </c>
      <c r="B817" t="str">
        <f>'Unformatted Trip Summary'!J815</f>
        <v>2017/18</v>
      </c>
      <c r="C817" t="str">
        <f>'Unformatted Trip Summary'!I815</f>
        <v>Taxi/Vehicle Share</v>
      </c>
      <c r="D817">
        <f>'Unformatted Trip Summary'!D815</f>
        <v>12</v>
      </c>
      <c r="E817">
        <f>'Unformatted Trip Summary'!E815</f>
        <v>23</v>
      </c>
      <c r="F817" s="1">
        <f>'Unformatted Trip Summary'!F815</f>
        <v>0.32214121179999999</v>
      </c>
      <c r="G817" s="1">
        <f>'Unformatted Trip Summary'!G815</f>
        <v>1.8375639989000001</v>
      </c>
      <c r="H817" s="1">
        <f>'Unformatted Trip Summary'!H815</f>
        <v>7.1300211299999999E-2</v>
      </c>
    </row>
    <row r="818" spans="1:8" x14ac:dyDescent="0.2">
      <c r="A818" t="str">
        <f>'Unformatted Trip Summary'!A816</f>
        <v>12 WEST COAST</v>
      </c>
      <c r="B818" t="str">
        <f>'Unformatted Trip Summary'!J816</f>
        <v>2022/23</v>
      </c>
      <c r="C818" t="str">
        <f>'Unformatted Trip Summary'!I816</f>
        <v>Taxi/Vehicle Share</v>
      </c>
      <c r="D818">
        <f>'Unformatted Trip Summary'!D816</f>
        <v>12</v>
      </c>
      <c r="E818">
        <f>'Unformatted Trip Summary'!E816</f>
        <v>23</v>
      </c>
      <c r="F818" s="1">
        <f>'Unformatted Trip Summary'!F816</f>
        <v>0.3590997742</v>
      </c>
      <c r="G818" s="1">
        <f>'Unformatted Trip Summary'!G816</f>
        <v>2.0523080788999999</v>
      </c>
      <c r="H818" s="1">
        <f>'Unformatted Trip Summary'!H816</f>
        <v>8.04136872E-2</v>
      </c>
    </row>
    <row r="819" spans="1:8" x14ac:dyDescent="0.2">
      <c r="A819" t="str">
        <f>'Unformatted Trip Summary'!A817</f>
        <v>12 WEST COAST</v>
      </c>
      <c r="B819" t="str">
        <f>'Unformatted Trip Summary'!J817</f>
        <v>2027/28</v>
      </c>
      <c r="C819" t="str">
        <f>'Unformatted Trip Summary'!I817</f>
        <v>Taxi/Vehicle Share</v>
      </c>
      <c r="D819">
        <f>'Unformatted Trip Summary'!D817</f>
        <v>12</v>
      </c>
      <c r="E819">
        <f>'Unformatted Trip Summary'!E817</f>
        <v>23</v>
      </c>
      <c r="F819" s="1">
        <f>'Unformatted Trip Summary'!F817</f>
        <v>0.34218862729999999</v>
      </c>
      <c r="G819" s="1">
        <f>'Unformatted Trip Summary'!G817</f>
        <v>2.1615845995999998</v>
      </c>
      <c r="H819" s="1">
        <f>'Unformatted Trip Summary'!H817</f>
        <v>7.9303467099999997E-2</v>
      </c>
    </row>
    <row r="820" spans="1:8" x14ac:dyDescent="0.2">
      <c r="A820" t="str">
        <f>'Unformatted Trip Summary'!A818</f>
        <v>12 WEST COAST</v>
      </c>
      <c r="B820" t="str">
        <f>'Unformatted Trip Summary'!J818</f>
        <v>2032/33</v>
      </c>
      <c r="C820" t="str">
        <f>'Unformatted Trip Summary'!I818</f>
        <v>Taxi/Vehicle Share</v>
      </c>
      <c r="D820">
        <f>'Unformatted Trip Summary'!D818</f>
        <v>12</v>
      </c>
      <c r="E820">
        <f>'Unformatted Trip Summary'!E818</f>
        <v>23</v>
      </c>
      <c r="F820" s="1">
        <f>'Unformatted Trip Summary'!F818</f>
        <v>0.31229135479999998</v>
      </c>
      <c r="G820" s="1">
        <f>'Unformatted Trip Summary'!G818</f>
        <v>2.0841076073</v>
      </c>
      <c r="H820" s="1">
        <f>'Unformatted Trip Summary'!H818</f>
        <v>7.3634606300000002E-2</v>
      </c>
    </row>
    <row r="821" spans="1:8" x14ac:dyDescent="0.2">
      <c r="A821" t="str">
        <f>'Unformatted Trip Summary'!A819</f>
        <v>12 WEST COAST</v>
      </c>
      <c r="B821" t="str">
        <f>'Unformatted Trip Summary'!J819</f>
        <v>2037/38</v>
      </c>
      <c r="C821" t="str">
        <f>'Unformatted Trip Summary'!I819</f>
        <v>Taxi/Vehicle Share</v>
      </c>
      <c r="D821">
        <f>'Unformatted Trip Summary'!D819</f>
        <v>12</v>
      </c>
      <c r="E821">
        <f>'Unformatted Trip Summary'!E819</f>
        <v>23</v>
      </c>
      <c r="F821" s="1">
        <f>'Unformatted Trip Summary'!F819</f>
        <v>0.2901873525</v>
      </c>
      <c r="G821" s="1">
        <f>'Unformatted Trip Summary'!G819</f>
        <v>2.0546308450000001</v>
      </c>
      <c r="H821" s="1">
        <f>'Unformatted Trip Summary'!H819</f>
        <v>6.9644723300000003E-2</v>
      </c>
    </row>
    <row r="822" spans="1:8" x14ac:dyDescent="0.2">
      <c r="A822" t="str">
        <f>'Unformatted Trip Summary'!A820</f>
        <v>12 WEST COAST</v>
      </c>
      <c r="B822" t="str">
        <f>'Unformatted Trip Summary'!J820</f>
        <v>2042/43</v>
      </c>
      <c r="C822" t="str">
        <f>'Unformatted Trip Summary'!I820</f>
        <v>Taxi/Vehicle Share</v>
      </c>
      <c r="D822">
        <f>'Unformatted Trip Summary'!D820</f>
        <v>12</v>
      </c>
      <c r="E822">
        <f>'Unformatted Trip Summary'!E820</f>
        <v>23</v>
      </c>
      <c r="F822" s="1">
        <f>'Unformatted Trip Summary'!F820</f>
        <v>0.2677556385</v>
      </c>
      <c r="G822" s="1">
        <f>'Unformatted Trip Summary'!G820</f>
        <v>1.9799005412999999</v>
      </c>
      <c r="H822" s="1">
        <f>'Unformatted Trip Summary'!H820</f>
        <v>6.5098349099999994E-2</v>
      </c>
    </row>
    <row r="823" spans="1:8" x14ac:dyDescent="0.2">
      <c r="A823" t="str">
        <f>'Unformatted Trip Summary'!A821</f>
        <v>12 WEST COAST</v>
      </c>
      <c r="B823" t="str">
        <f>'Unformatted Trip Summary'!J821</f>
        <v>2012/13</v>
      </c>
      <c r="C823" t="str">
        <f>'Unformatted Trip Summary'!I821</f>
        <v>Motorcyclist</v>
      </c>
      <c r="D823">
        <f>'Unformatted Trip Summary'!D821</f>
        <v>2</v>
      </c>
      <c r="E823">
        <f>'Unformatted Trip Summary'!E821</f>
        <v>5</v>
      </c>
      <c r="F823" s="1">
        <f>'Unformatted Trip Summary'!F821</f>
        <v>6.1723256599999998E-2</v>
      </c>
      <c r="G823" s="1">
        <f>'Unformatted Trip Summary'!G821</f>
        <v>0.29466348679999999</v>
      </c>
      <c r="H823" s="1">
        <f>'Unformatted Trip Summary'!H821</f>
        <v>9.7989774000000005E-3</v>
      </c>
    </row>
    <row r="824" spans="1:8" x14ac:dyDescent="0.2">
      <c r="A824" t="str">
        <f>'Unformatted Trip Summary'!A822</f>
        <v>12 WEST COAST</v>
      </c>
      <c r="B824" t="str">
        <f>'Unformatted Trip Summary'!J822</f>
        <v>2017/18</v>
      </c>
      <c r="C824" t="str">
        <f>'Unformatted Trip Summary'!I822</f>
        <v>Motorcyclist</v>
      </c>
      <c r="D824">
        <f>'Unformatted Trip Summary'!D822</f>
        <v>2</v>
      </c>
      <c r="E824">
        <f>'Unformatted Trip Summary'!E822</f>
        <v>5</v>
      </c>
      <c r="F824" s="1">
        <f>'Unformatted Trip Summary'!F822</f>
        <v>6.5401977200000003E-2</v>
      </c>
      <c r="G824" s="1">
        <f>'Unformatted Trip Summary'!G822</f>
        <v>0.32418034159999998</v>
      </c>
      <c r="H824" s="1">
        <f>'Unformatted Trip Summary'!H822</f>
        <v>1.0686040500000001E-2</v>
      </c>
    </row>
    <row r="825" spans="1:8" x14ac:dyDescent="0.2">
      <c r="A825" t="str">
        <f>'Unformatted Trip Summary'!A823</f>
        <v>12 WEST COAST</v>
      </c>
      <c r="B825" t="str">
        <f>'Unformatted Trip Summary'!J823</f>
        <v>2022/23</v>
      </c>
      <c r="C825" t="str">
        <f>'Unformatted Trip Summary'!I823</f>
        <v>Motorcyclist</v>
      </c>
      <c r="D825">
        <f>'Unformatted Trip Summary'!D823</f>
        <v>2</v>
      </c>
      <c r="E825">
        <f>'Unformatted Trip Summary'!E823</f>
        <v>5</v>
      </c>
      <c r="F825" s="1">
        <f>'Unformatted Trip Summary'!F823</f>
        <v>7.0883292000000001E-2</v>
      </c>
      <c r="G825" s="1">
        <f>'Unformatted Trip Summary'!G823</f>
        <v>0.34368688479999998</v>
      </c>
      <c r="H825" s="1">
        <f>'Unformatted Trip Summary'!H823</f>
        <v>1.13873879E-2</v>
      </c>
    </row>
    <row r="826" spans="1:8" x14ac:dyDescent="0.2">
      <c r="A826" t="str">
        <f>'Unformatted Trip Summary'!A824</f>
        <v>12 WEST COAST</v>
      </c>
      <c r="B826" t="str">
        <f>'Unformatted Trip Summary'!J824</f>
        <v>2027/28</v>
      </c>
      <c r="C826" t="str">
        <f>'Unformatted Trip Summary'!I824</f>
        <v>Motorcyclist</v>
      </c>
      <c r="D826">
        <f>'Unformatted Trip Summary'!D824</f>
        <v>2</v>
      </c>
      <c r="E826">
        <f>'Unformatted Trip Summary'!E824</f>
        <v>5</v>
      </c>
      <c r="F826" s="1">
        <f>'Unformatted Trip Summary'!F824</f>
        <v>7.4151093599999995E-2</v>
      </c>
      <c r="G826" s="1">
        <f>'Unformatted Trip Summary'!G824</f>
        <v>0.35691425030000001</v>
      </c>
      <c r="H826" s="1">
        <f>'Unformatted Trip Summary'!H824</f>
        <v>1.1846021700000001E-2</v>
      </c>
    </row>
    <row r="827" spans="1:8" x14ac:dyDescent="0.2">
      <c r="A827" t="str">
        <f>'Unformatted Trip Summary'!A825</f>
        <v>12 WEST COAST</v>
      </c>
      <c r="B827" t="str">
        <f>'Unformatted Trip Summary'!J825</f>
        <v>2032/33</v>
      </c>
      <c r="C827" t="str">
        <f>'Unformatted Trip Summary'!I825</f>
        <v>Motorcyclist</v>
      </c>
      <c r="D827">
        <f>'Unformatted Trip Summary'!D825</f>
        <v>2</v>
      </c>
      <c r="E827">
        <f>'Unformatted Trip Summary'!E825</f>
        <v>5</v>
      </c>
      <c r="F827" s="1">
        <f>'Unformatted Trip Summary'!F825</f>
        <v>7.68775815E-2</v>
      </c>
      <c r="G827" s="1">
        <f>'Unformatted Trip Summary'!G825</f>
        <v>0.37989372160000001</v>
      </c>
      <c r="H827" s="1">
        <f>'Unformatted Trip Summary'!H825</f>
        <v>1.25314299E-2</v>
      </c>
    </row>
    <row r="828" spans="1:8" x14ac:dyDescent="0.2">
      <c r="A828" t="str">
        <f>'Unformatted Trip Summary'!A826</f>
        <v>12 WEST COAST</v>
      </c>
      <c r="B828" t="str">
        <f>'Unformatted Trip Summary'!J826</f>
        <v>2037/38</v>
      </c>
      <c r="C828" t="str">
        <f>'Unformatted Trip Summary'!I826</f>
        <v>Motorcyclist</v>
      </c>
      <c r="D828">
        <f>'Unformatted Trip Summary'!D826</f>
        <v>2</v>
      </c>
      <c r="E828">
        <f>'Unformatted Trip Summary'!E826</f>
        <v>5</v>
      </c>
      <c r="F828" s="1">
        <f>'Unformatted Trip Summary'!F826</f>
        <v>8.0799788400000003E-2</v>
      </c>
      <c r="G828" s="1">
        <f>'Unformatted Trip Summary'!G826</f>
        <v>0.40618520139999997</v>
      </c>
      <c r="H828" s="1">
        <f>'Unformatted Trip Summary'!H826</f>
        <v>1.33459232E-2</v>
      </c>
    </row>
    <row r="829" spans="1:8" x14ac:dyDescent="0.2">
      <c r="A829" t="str">
        <f>'Unformatted Trip Summary'!A827</f>
        <v>12 WEST COAST</v>
      </c>
      <c r="B829" t="str">
        <f>'Unformatted Trip Summary'!J827</f>
        <v>2042/43</v>
      </c>
      <c r="C829" t="str">
        <f>'Unformatted Trip Summary'!I827</f>
        <v>Motorcyclist</v>
      </c>
      <c r="D829">
        <f>'Unformatted Trip Summary'!D827</f>
        <v>2</v>
      </c>
      <c r="E829">
        <f>'Unformatted Trip Summary'!E827</f>
        <v>5</v>
      </c>
      <c r="F829" s="1">
        <f>'Unformatted Trip Summary'!F827</f>
        <v>8.1170841699999996E-2</v>
      </c>
      <c r="G829" s="1">
        <f>'Unformatted Trip Summary'!G827</f>
        <v>0.41535099730000002</v>
      </c>
      <c r="H829" s="1">
        <f>'Unformatted Trip Summary'!H827</f>
        <v>1.3592270300000001E-2</v>
      </c>
    </row>
    <row r="830" spans="1:8" x14ac:dyDescent="0.2">
      <c r="A830" t="str">
        <f>'Unformatted Trip Summary'!A828</f>
        <v>12 WEST COAST</v>
      </c>
      <c r="B830" t="str">
        <f>'Unformatted Trip Summary'!J828</f>
        <v>2012/13</v>
      </c>
      <c r="C830" t="str">
        <f>'Unformatted Trip Summary'!I828</f>
        <v>Local Bus</v>
      </c>
      <c r="D830">
        <f>'Unformatted Trip Summary'!D828</f>
        <v>15</v>
      </c>
      <c r="E830">
        <f>'Unformatted Trip Summary'!E828</f>
        <v>42</v>
      </c>
      <c r="F830" s="1">
        <f>'Unformatted Trip Summary'!F828</f>
        <v>0.50805546800000001</v>
      </c>
      <c r="G830" s="1">
        <f>'Unformatted Trip Summary'!G828</f>
        <v>6.0600083682000001</v>
      </c>
      <c r="H830" s="1">
        <f>'Unformatted Trip Summary'!H828</f>
        <v>0.18249519829999999</v>
      </c>
    </row>
    <row r="831" spans="1:8" x14ac:dyDescent="0.2">
      <c r="A831" t="str">
        <f>'Unformatted Trip Summary'!A829</f>
        <v>12 WEST COAST</v>
      </c>
      <c r="B831" t="str">
        <f>'Unformatted Trip Summary'!J829</f>
        <v>2017/18</v>
      </c>
      <c r="C831" t="str">
        <f>'Unformatted Trip Summary'!I829</f>
        <v>Local Bus</v>
      </c>
      <c r="D831">
        <f>'Unformatted Trip Summary'!D829</f>
        <v>15</v>
      </c>
      <c r="E831">
        <f>'Unformatted Trip Summary'!E829</f>
        <v>42</v>
      </c>
      <c r="F831" s="1">
        <f>'Unformatted Trip Summary'!F829</f>
        <v>0.43164286330000001</v>
      </c>
      <c r="G831" s="1">
        <f>'Unformatted Trip Summary'!G829</f>
        <v>5.2081869600999999</v>
      </c>
      <c r="H831" s="1">
        <f>'Unformatted Trip Summary'!H829</f>
        <v>0.15531685789999999</v>
      </c>
    </row>
    <row r="832" spans="1:8" x14ac:dyDescent="0.2">
      <c r="A832" t="str">
        <f>'Unformatted Trip Summary'!A830</f>
        <v>12 WEST COAST</v>
      </c>
      <c r="B832" t="str">
        <f>'Unformatted Trip Summary'!J830</f>
        <v>2022/23</v>
      </c>
      <c r="C832" t="str">
        <f>'Unformatted Trip Summary'!I830</f>
        <v>Local Bus</v>
      </c>
      <c r="D832">
        <f>'Unformatted Trip Summary'!D830</f>
        <v>15</v>
      </c>
      <c r="E832">
        <f>'Unformatted Trip Summary'!E830</f>
        <v>42</v>
      </c>
      <c r="F832" s="1">
        <f>'Unformatted Trip Summary'!F830</f>
        <v>0.38467216900000001</v>
      </c>
      <c r="G832" s="1">
        <f>'Unformatted Trip Summary'!G830</f>
        <v>4.7798439893999998</v>
      </c>
      <c r="H832" s="1">
        <f>'Unformatted Trip Summary'!H830</f>
        <v>0.13992436890000001</v>
      </c>
    </row>
    <row r="833" spans="1:8" x14ac:dyDescent="0.2">
      <c r="A833" t="str">
        <f>'Unformatted Trip Summary'!A831</f>
        <v>12 WEST COAST</v>
      </c>
      <c r="B833" t="str">
        <f>'Unformatted Trip Summary'!J831</f>
        <v>2027/28</v>
      </c>
      <c r="C833" t="str">
        <f>'Unformatted Trip Summary'!I831</f>
        <v>Local Bus</v>
      </c>
      <c r="D833">
        <f>'Unformatted Trip Summary'!D831</f>
        <v>15</v>
      </c>
      <c r="E833">
        <f>'Unformatted Trip Summary'!E831</f>
        <v>42</v>
      </c>
      <c r="F833" s="1">
        <f>'Unformatted Trip Summary'!F831</f>
        <v>0.34927639059999999</v>
      </c>
      <c r="G833" s="1">
        <f>'Unformatted Trip Summary'!G831</f>
        <v>4.3231623033000002</v>
      </c>
      <c r="H833" s="1">
        <f>'Unformatted Trip Summary'!H831</f>
        <v>0.1271319242</v>
      </c>
    </row>
    <row r="834" spans="1:8" x14ac:dyDescent="0.2">
      <c r="A834" t="str">
        <f>'Unformatted Trip Summary'!A832</f>
        <v>12 WEST COAST</v>
      </c>
      <c r="B834" t="str">
        <f>'Unformatted Trip Summary'!J832</f>
        <v>2032/33</v>
      </c>
      <c r="C834" t="str">
        <f>'Unformatted Trip Summary'!I832</f>
        <v>Local Bus</v>
      </c>
      <c r="D834">
        <f>'Unformatted Trip Summary'!D832</f>
        <v>15</v>
      </c>
      <c r="E834">
        <f>'Unformatted Trip Summary'!E832</f>
        <v>42</v>
      </c>
      <c r="F834" s="1">
        <f>'Unformatted Trip Summary'!F832</f>
        <v>0.31038678120000002</v>
      </c>
      <c r="G834" s="1">
        <f>'Unformatted Trip Summary'!G832</f>
        <v>3.9418109720999999</v>
      </c>
      <c r="H834" s="1">
        <f>'Unformatted Trip Summary'!H832</f>
        <v>0.1145712757</v>
      </c>
    </row>
    <row r="835" spans="1:8" x14ac:dyDescent="0.2">
      <c r="A835" t="str">
        <f>'Unformatted Trip Summary'!A833</f>
        <v>12 WEST COAST</v>
      </c>
      <c r="B835" t="str">
        <f>'Unformatted Trip Summary'!J833</f>
        <v>2037/38</v>
      </c>
      <c r="C835" t="str">
        <f>'Unformatted Trip Summary'!I833</f>
        <v>Local Bus</v>
      </c>
      <c r="D835">
        <f>'Unformatted Trip Summary'!D833</f>
        <v>15</v>
      </c>
      <c r="E835">
        <f>'Unformatted Trip Summary'!E833</f>
        <v>42</v>
      </c>
      <c r="F835" s="1">
        <f>'Unformatted Trip Summary'!F833</f>
        <v>0.27032787409999998</v>
      </c>
      <c r="G835" s="1">
        <f>'Unformatted Trip Summary'!G833</f>
        <v>3.6296800523999999</v>
      </c>
      <c r="H835" s="1">
        <f>'Unformatted Trip Summary'!H833</f>
        <v>0.102495658</v>
      </c>
    </row>
    <row r="836" spans="1:8" x14ac:dyDescent="0.2">
      <c r="A836" t="str">
        <f>'Unformatted Trip Summary'!A834</f>
        <v>12 WEST COAST</v>
      </c>
      <c r="B836" t="str">
        <f>'Unformatted Trip Summary'!J834</f>
        <v>2042/43</v>
      </c>
      <c r="C836" t="str">
        <f>'Unformatted Trip Summary'!I834</f>
        <v>Local Bus</v>
      </c>
      <c r="D836">
        <f>'Unformatted Trip Summary'!D834</f>
        <v>15</v>
      </c>
      <c r="E836">
        <f>'Unformatted Trip Summary'!E834</f>
        <v>42</v>
      </c>
      <c r="F836" s="1">
        <f>'Unformatted Trip Summary'!F834</f>
        <v>0.23596655350000001</v>
      </c>
      <c r="G836" s="1">
        <f>'Unformatted Trip Summary'!G834</f>
        <v>3.4017483957999999</v>
      </c>
      <c r="H836" s="1">
        <f>'Unformatted Trip Summary'!H834</f>
        <v>9.2688732999999995E-2</v>
      </c>
    </row>
    <row r="837" spans="1:8" x14ac:dyDescent="0.2">
      <c r="A837" t="str">
        <f>'Unformatted Trip Summary'!A835</f>
        <v>12 WEST COAST</v>
      </c>
      <c r="B837" t="str">
        <f>'Unformatted Trip Summary'!J835</f>
        <v>2012/13</v>
      </c>
      <c r="C837" t="str">
        <f>'Unformatted Trip Summary'!I835</f>
        <v>Other Household Travel</v>
      </c>
      <c r="D837">
        <f>'Unformatted Trip Summary'!D835</f>
        <v>3</v>
      </c>
      <c r="E837">
        <f>'Unformatted Trip Summary'!E835</f>
        <v>3</v>
      </c>
      <c r="F837" s="1">
        <f>'Unformatted Trip Summary'!F835</f>
        <v>2.77012627E-2</v>
      </c>
      <c r="G837" s="1">
        <f>'Unformatted Trip Summary'!G835</f>
        <v>0</v>
      </c>
      <c r="H837" s="1">
        <f>'Unformatted Trip Summary'!H835</f>
        <v>3.6766106000000001E-3</v>
      </c>
    </row>
    <row r="838" spans="1:8" x14ac:dyDescent="0.2">
      <c r="A838" t="str">
        <f>'Unformatted Trip Summary'!A836</f>
        <v>12 WEST COAST</v>
      </c>
      <c r="B838" t="str">
        <f>'Unformatted Trip Summary'!J836</f>
        <v>2017/18</v>
      </c>
      <c r="C838" t="str">
        <f>'Unformatted Trip Summary'!I836</f>
        <v>Other Household Travel</v>
      </c>
      <c r="D838">
        <f>'Unformatted Trip Summary'!D836</f>
        <v>3</v>
      </c>
      <c r="E838">
        <f>'Unformatted Trip Summary'!E836</f>
        <v>3</v>
      </c>
      <c r="F838" s="1">
        <f>'Unformatted Trip Summary'!F836</f>
        <v>2.40422977E-2</v>
      </c>
      <c r="G838" s="1">
        <f>'Unformatted Trip Summary'!G836</f>
        <v>0</v>
      </c>
      <c r="H838" s="1">
        <f>'Unformatted Trip Summary'!H836</f>
        <v>3.1276155E-3</v>
      </c>
    </row>
    <row r="839" spans="1:8" x14ac:dyDescent="0.2">
      <c r="A839" t="str">
        <f>'Unformatted Trip Summary'!A837</f>
        <v>12 WEST COAST</v>
      </c>
      <c r="B839" t="str">
        <f>'Unformatted Trip Summary'!J837</f>
        <v>2022/23</v>
      </c>
      <c r="C839" t="str">
        <f>'Unformatted Trip Summary'!I837</f>
        <v>Other Household Travel</v>
      </c>
      <c r="D839">
        <f>'Unformatted Trip Summary'!D837</f>
        <v>3</v>
      </c>
      <c r="E839">
        <f>'Unformatted Trip Summary'!E837</f>
        <v>3</v>
      </c>
      <c r="F839" s="1">
        <f>'Unformatted Trip Summary'!F837</f>
        <v>2.2316217999999999E-2</v>
      </c>
      <c r="G839" s="1">
        <f>'Unformatted Trip Summary'!G837</f>
        <v>0</v>
      </c>
      <c r="H839" s="1">
        <f>'Unformatted Trip Summary'!H837</f>
        <v>2.8600858999999999E-3</v>
      </c>
    </row>
    <row r="840" spans="1:8" x14ac:dyDescent="0.2">
      <c r="A840" t="str">
        <f>'Unformatted Trip Summary'!A838</f>
        <v>12 WEST COAST</v>
      </c>
      <c r="B840" t="str">
        <f>'Unformatted Trip Summary'!J838</f>
        <v>2027/28</v>
      </c>
      <c r="C840" t="str">
        <f>'Unformatted Trip Summary'!I838</f>
        <v>Other Household Travel</v>
      </c>
      <c r="D840">
        <f>'Unformatted Trip Summary'!D838</f>
        <v>3</v>
      </c>
      <c r="E840">
        <f>'Unformatted Trip Summary'!E838</f>
        <v>3</v>
      </c>
      <c r="F840" s="1">
        <f>'Unformatted Trip Summary'!F838</f>
        <v>1.83684447E-2</v>
      </c>
      <c r="G840" s="1">
        <f>'Unformatted Trip Summary'!G838</f>
        <v>0</v>
      </c>
      <c r="H840" s="1">
        <f>'Unformatted Trip Summary'!H838</f>
        <v>2.3069789999999998E-3</v>
      </c>
    </row>
    <row r="841" spans="1:8" x14ac:dyDescent="0.2">
      <c r="A841" t="str">
        <f>'Unformatted Trip Summary'!A839</f>
        <v>12 WEST COAST</v>
      </c>
      <c r="B841" t="str">
        <f>'Unformatted Trip Summary'!J839</f>
        <v>2032/33</v>
      </c>
      <c r="C841" t="str">
        <f>'Unformatted Trip Summary'!I839</f>
        <v>Other Household Travel</v>
      </c>
      <c r="D841">
        <f>'Unformatted Trip Summary'!D839</f>
        <v>3</v>
      </c>
      <c r="E841">
        <f>'Unformatted Trip Summary'!E839</f>
        <v>3</v>
      </c>
      <c r="F841" s="1">
        <f>'Unformatted Trip Summary'!F839</f>
        <v>1.5582880299999999E-2</v>
      </c>
      <c r="G841" s="1">
        <f>'Unformatted Trip Summary'!G839</f>
        <v>0</v>
      </c>
      <c r="H841" s="1">
        <f>'Unformatted Trip Summary'!H839</f>
        <v>1.9677732E-3</v>
      </c>
    </row>
    <row r="842" spans="1:8" x14ac:dyDescent="0.2">
      <c r="A842" t="str">
        <f>'Unformatted Trip Summary'!A840</f>
        <v>12 WEST COAST</v>
      </c>
      <c r="B842" t="str">
        <f>'Unformatted Trip Summary'!J840</f>
        <v>2037/38</v>
      </c>
      <c r="C842" t="str">
        <f>'Unformatted Trip Summary'!I840</f>
        <v>Other Household Travel</v>
      </c>
      <c r="D842">
        <f>'Unformatted Trip Summary'!D840</f>
        <v>3</v>
      </c>
      <c r="E842">
        <f>'Unformatted Trip Summary'!E840</f>
        <v>3</v>
      </c>
      <c r="F842" s="1">
        <f>'Unformatted Trip Summary'!F840</f>
        <v>1.43053039E-2</v>
      </c>
      <c r="G842" s="1">
        <f>'Unformatted Trip Summary'!G840</f>
        <v>0</v>
      </c>
      <c r="H842" s="1">
        <f>'Unformatted Trip Summary'!H840</f>
        <v>1.8462362000000001E-3</v>
      </c>
    </row>
    <row r="843" spans="1:8" x14ac:dyDescent="0.2">
      <c r="A843" t="str">
        <f>'Unformatted Trip Summary'!A841</f>
        <v>12 WEST COAST</v>
      </c>
      <c r="B843" t="str">
        <f>'Unformatted Trip Summary'!J841</f>
        <v>2042/43</v>
      </c>
      <c r="C843" t="str">
        <f>'Unformatted Trip Summary'!I841</f>
        <v>Other Household Travel</v>
      </c>
      <c r="D843">
        <f>'Unformatted Trip Summary'!D841</f>
        <v>3</v>
      </c>
      <c r="E843">
        <f>'Unformatted Trip Summary'!E841</f>
        <v>3</v>
      </c>
      <c r="F843" s="1">
        <f>'Unformatted Trip Summary'!F841</f>
        <v>1.2843917099999999E-2</v>
      </c>
      <c r="G843" s="1">
        <f>'Unformatted Trip Summary'!G841</f>
        <v>0</v>
      </c>
      <c r="H843" s="1">
        <f>'Unformatted Trip Summary'!H841</f>
        <v>1.6911064000000001E-3</v>
      </c>
    </row>
    <row r="844" spans="1:8" x14ac:dyDescent="0.2">
      <c r="A844" t="str">
        <f>'Unformatted Trip Summary'!A842</f>
        <v>12 WEST COAST</v>
      </c>
      <c r="B844" t="str">
        <f>'Unformatted Trip Summary'!J842</f>
        <v>2012/13</v>
      </c>
      <c r="C844" t="str">
        <f>'Unformatted Trip Summary'!I842</f>
        <v>Air/Non-Local PT</v>
      </c>
      <c r="D844">
        <f>'Unformatted Trip Summary'!D842</f>
        <v>4</v>
      </c>
      <c r="E844">
        <f>'Unformatted Trip Summary'!E842</f>
        <v>8</v>
      </c>
      <c r="F844" s="1">
        <f>'Unformatted Trip Summary'!F842</f>
        <v>0.10084271459999999</v>
      </c>
      <c r="G844" s="1">
        <f>'Unformatted Trip Summary'!G842</f>
        <v>10.387194593</v>
      </c>
      <c r="H844" s="1">
        <f>'Unformatted Trip Summary'!H842</f>
        <v>0.1870167032</v>
      </c>
    </row>
    <row r="845" spans="1:8" x14ac:dyDescent="0.2">
      <c r="A845" t="str">
        <f>'Unformatted Trip Summary'!A843</f>
        <v>12 WEST COAST</v>
      </c>
      <c r="B845" t="str">
        <f>'Unformatted Trip Summary'!J843</f>
        <v>2017/18</v>
      </c>
      <c r="C845" t="str">
        <f>'Unformatted Trip Summary'!I843</f>
        <v>Air/Non-Local PT</v>
      </c>
      <c r="D845">
        <f>'Unformatted Trip Summary'!D843</f>
        <v>4</v>
      </c>
      <c r="E845">
        <f>'Unformatted Trip Summary'!E843</f>
        <v>8</v>
      </c>
      <c r="F845" s="1">
        <f>'Unformatted Trip Summary'!F843</f>
        <v>9.7054913399999998E-2</v>
      </c>
      <c r="G845" s="1">
        <f>'Unformatted Trip Summary'!G843</f>
        <v>9.8851845837999992</v>
      </c>
      <c r="H845" s="1">
        <f>'Unformatted Trip Summary'!H843</f>
        <v>0.18060230529999999</v>
      </c>
    </row>
    <row r="846" spans="1:8" x14ac:dyDescent="0.2">
      <c r="A846" t="str">
        <f>'Unformatted Trip Summary'!A844</f>
        <v>12 WEST COAST</v>
      </c>
      <c r="B846" t="str">
        <f>'Unformatted Trip Summary'!J844</f>
        <v>2022/23</v>
      </c>
      <c r="C846" t="str">
        <f>'Unformatted Trip Summary'!I844</f>
        <v>Air/Non-Local PT</v>
      </c>
      <c r="D846">
        <f>'Unformatted Trip Summary'!D844</f>
        <v>4</v>
      </c>
      <c r="E846">
        <f>'Unformatted Trip Summary'!E844</f>
        <v>8</v>
      </c>
      <c r="F846" s="1">
        <f>'Unformatted Trip Summary'!F844</f>
        <v>9.6789048700000005E-2</v>
      </c>
      <c r="G846" s="1">
        <f>'Unformatted Trip Summary'!G844</f>
        <v>9.7229512347</v>
      </c>
      <c r="H846" s="1">
        <f>'Unformatted Trip Summary'!H844</f>
        <v>0.18084509679999999</v>
      </c>
    </row>
    <row r="847" spans="1:8" x14ac:dyDescent="0.2">
      <c r="A847" t="str">
        <f>'Unformatted Trip Summary'!A845</f>
        <v>12 WEST COAST</v>
      </c>
      <c r="B847" t="str">
        <f>'Unformatted Trip Summary'!J845</f>
        <v>2027/28</v>
      </c>
      <c r="C847" t="str">
        <f>'Unformatted Trip Summary'!I845</f>
        <v>Air/Non-Local PT</v>
      </c>
      <c r="D847">
        <f>'Unformatted Trip Summary'!D845</f>
        <v>4</v>
      </c>
      <c r="E847">
        <f>'Unformatted Trip Summary'!E845</f>
        <v>8</v>
      </c>
      <c r="F847" s="1">
        <f>'Unformatted Trip Summary'!F845</f>
        <v>8.7269772499999995E-2</v>
      </c>
      <c r="G847" s="1">
        <f>'Unformatted Trip Summary'!G845</f>
        <v>8.5168406159999996</v>
      </c>
      <c r="H847" s="1">
        <f>'Unformatted Trip Summary'!H845</f>
        <v>0.16442235090000001</v>
      </c>
    </row>
    <row r="848" spans="1:8" x14ac:dyDescent="0.2">
      <c r="A848" t="str">
        <f>'Unformatted Trip Summary'!A846</f>
        <v>12 WEST COAST</v>
      </c>
      <c r="B848" t="str">
        <f>'Unformatted Trip Summary'!J846</f>
        <v>2032/33</v>
      </c>
      <c r="C848" t="str">
        <f>'Unformatted Trip Summary'!I846</f>
        <v>Air/Non-Local PT</v>
      </c>
      <c r="D848">
        <f>'Unformatted Trip Summary'!D846</f>
        <v>4</v>
      </c>
      <c r="E848">
        <f>'Unformatted Trip Summary'!E846</f>
        <v>8</v>
      </c>
      <c r="F848" s="1">
        <f>'Unformatted Trip Summary'!F846</f>
        <v>7.5861924499999997E-2</v>
      </c>
      <c r="G848" s="1">
        <f>'Unformatted Trip Summary'!G846</f>
        <v>7.2421173614000001</v>
      </c>
      <c r="H848" s="1">
        <f>'Unformatted Trip Summary'!H846</f>
        <v>0.14381002279999999</v>
      </c>
    </row>
    <row r="849" spans="1:8" x14ac:dyDescent="0.2">
      <c r="A849" t="str">
        <f>'Unformatted Trip Summary'!A847</f>
        <v>12 WEST COAST</v>
      </c>
      <c r="B849" t="str">
        <f>'Unformatted Trip Summary'!J847</f>
        <v>2037/38</v>
      </c>
      <c r="C849" t="str">
        <f>'Unformatted Trip Summary'!I847</f>
        <v>Air/Non-Local PT</v>
      </c>
      <c r="D849">
        <f>'Unformatted Trip Summary'!D847</f>
        <v>4</v>
      </c>
      <c r="E849">
        <f>'Unformatted Trip Summary'!E847</f>
        <v>8</v>
      </c>
      <c r="F849" s="1">
        <f>'Unformatted Trip Summary'!F847</f>
        <v>6.8374181300000003E-2</v>
      </c>
      <c r="G849" s="1">
        <f>'Unformatted Trip Summary'!G847</f>
        <v>6.4546662953</v>
      </c>
      <c r="H849" s="1">
        <f>'Unformatted Trip Summary'!H847</f>
        <v>0.13001205390000001</v>
      </c>
    </row>
    <row r="850" spans="1:8" x14ac:dyDescent="0.2">
      <c r="A850" t="str">
        <f>'Unformatted Trip Summary'!A848</f>
        <v>12 WEST COAST</v>
      </c>
      <c r="B850" t="str">
        <f>'Unformatted Trip Summary'!J848</f>
        <v>2042/43</v>
      </c>
      <c r="C850" t="str">
        <f>'Unformatted Trip Summary'!I848</f>
        <v>Air/Non-Local PT</v>
      </c>
      <c r="D850">
        <f>'Unformatted Trip Summary'!D848</f>
        <v>4</v>
      </c>
      <c r="E850">
        <f>'Unformatted Trip Summary'!E848</f>
        <v>8</v>
      </c>
      <c r="F850" s="1">
        <f>'Unformatted Trip Summary'!F848</f>
        <v>6.0272184399999998E-2</v>
      </c>
      <c r="G850" s="1">
        <f>'Unformatted Trip Summary'!G848</f>
        <v>5.6154764765999996</v>
      </c>
      <c r="H850" s="1">
        <f>'Unformatted Trip Summary'!H848</f>
        <v>0.1150120033</v>
      </c>
    </row>
    <row r="851" spans="1:8" x14ac:dyDescent="0.2">
      <c r="A851" t="str">
        <f>'Unformatted Trip Summary'!A849</f>
        <v>12 WEST COAST</v>
      </c>
      <c r="B851" t="str">
        <f>'Unformatted Trip Summary'!J849</f>
        <v>2012/13</v>
      </c>
      <c r="C851" t="str">
        <f>'Unformatted Trip Summary'!I849</f>
        <v>Non-Household Travel</v>
      </c>
      <c r="D851">
        <f>'Unformatted Trip Summary'!D849</f>
        <v>9</v>
      </c>
      <c r="E851">
        <f>'Unformatted Trip Summary'!E849</f>
        <v>44</v>
      </c>
      <c r="F851" s="1">
        <f>'Unformatted Trip Summary'!F849</f>
        <v>0.57649160089999996</v>
      </c>
      <c r="G851" s="1">
        <f>'Unformatted Trip Summary'!G849</f>
        <v>20.958164275000001</v>
      </c>
      <c r="H851" s="1">
        <f>'Unformatted Trip Summary'!H849</f>
        <v>0.34686230169999999</v>
      </c>
    </row>
    <row r="852" spans="1:8" x14ac:dyDescent="0.2">
      <c r="A852" t="str">
        <f>'Unformatted Trip Summary'!A850</f>
        <v>12 WEST COAST</v>
      </c>
      <c r="B852" t="str">
        <f>'Unformatted Trip Summary'!J850</f>
        <v>2017/18</v>
      </c>
      <c r="C852" t="str">
        <f>'Unformatted Trip Summary'!I850</f>
        <v>Non-Household Travel</v>
      </c>
      <c r="D852">
        <f>'Unformatted Trip Summary'!D850</f>
        <v>9</v>
      </c>
      <c r="E852">
        <f>'Unformatted Trip Summary'!E850</f>
        <v>44</v>
      </c>
      <c r="F852" s="1">
        <f>'Unformatted Trip Summary'!F850</f>
        <v>0.56963531509999998</v>
      </c>
      <c r="G852" s="1">
        <f>'Unformatted Trip Summary'!G850</f>
        <v>19.840337714</v>
      </c>
      <c r="H852" s="1">
        <f>'Unformatted Trip Summary'!H850</f>
        <v>0.33040184830000002</v>
      </c>
    </row>
    <row r="853" spans="1:8" x14ac:dyDescent="0.2">
      <c r="A853" t="str">
        <f>'Unformatted Trip Summary'!A851</f>
        <v>12 WEST COAST</v>
      </c>
      <c r="B853" t="str">
        <f>'Unformatted Trip Summary'!J851</f>
        <v>2022/23</v>
      </c>
      <c r="C853" t="str">
        <f>'Unformatted Trip Summary'!I851</f>
        <v>Non-Household Travel</v>
      </c>
      <c r="D853">
        <f>'Unformatted Trip Summary'!D851</f>
        <v>9</v>
      </c>
      <c r="E853">
        <f>'Unformatted Trip Summary'!E851</f>
        <v>44</v>
      </c>
      <c r="F853" s="1">
        <f>'Unformatted Trip Summary'!F851</f>
        <v>0.56009095220000005</v>
      </c>
      <c r="G853" s="1">
        <f>'Unformatted Trip Summary'!G851</f>
        <v>19.403701046999998</v>
      </c>
      <c r="H853" s="1">
        <f>'Unformatted Trip Summary'!H851</f>
        <v>0.32432978019999997</v>
      </c>
    </row>
    <row r="854" spans="1:8" x14ac:dyDescent="0.2">
      <c r="A854" t="str">
        <f>'Unformatted Trip Summary'!A852</f>
        <v>12 WEST COAST</v>
      </c>
      <c r="B854" t="str">
        <f>'Unformatted Trip Summary'!J852</f>
        <v>2027/28</v>
      </c>
      <c r="C854" t="str">
        <f>'Unformatted Trip Summary'!I852</f>
        <v>Non-Household Travel</v>
      </c>
      <c r="D854">
        <f>'Unformatted Trip Summary'!D852</f>
        <v>9</v>
      </c>
      <c r="E854">
        <f>'Unformatted Trip Summary'!E852</f>
        <v>44</v>
      </c>
      <c r="F854" s="1">
        <f>'Unformatted Trip Summary'!F852</f>
        <v>0.54759867750000002</v>
      </c>
      <c r="G854" s="1">
        <f>'Unformatted Trip Summary'!G852</f>
        <v>18.078053071999999</v>
      </c>
      <c r="H854" s="1">
        <f>'Unformatted Trip Summary'!H852</f>
        <v>0.30397163739999999</v>
      </c>
    </row>
    <row r="855" spans="1:8" x14ac:dyDescent="0.2">
      <c r="A855" t="str">
        <f>'Unformatted Trip Summary'!A853</f>
        <v>12 WEST COAST</v>
      </c>
      <c r="B855" t="str">
        <f>'Unformatted Trip Summary'!J853</f>
        <v>2032/33</v>
      </c>
      <c r="C855" t="str">
        <f>'Unformatted Trip Summary'!I853</f>
        <v>Non-Household Travel</v>
      </c>
      <c r="D855">
        <f>'Unformatted Trip Summary'!D853</f>
        <v>9</v>
      </c>
      <c r="E855">
        <f>'Unformatted Trip Summary'!E853</f>
        <v>44</v>
      </c>
      <c r="F855" s="1">
        <f>'Unformatted Trip Summary'!F853</f>
        <v>0.51481980380000003</v>
      </c>
      <c r="G855" s="1">
        <f>'Unformatted Trip Summary'!G853</f>
        <v>16.270901327000001</v>
      </c>
      <c r="H855" s="1">
        <f>'Unformatted Trip Summary'!H853</f>
        <v>0.27541816320000001</v>
      </c>
    </row>
    <row r="856" spans="1:8" x14ac:dyDescent="0.2">
      <c r="A856" t="str">
        <f>'Unformatted Trip Summary'!A854</f>
        <v>12 WEST COAST</v>
      </c>
      <c r="B856" t="str">
        <f>'Unformatted Trip Summary'!J854</f>
        <v>2037/38</v>
      </c>
      <c r="C856" t="str">
        <f>'Unformatted Trip Summary'!I854</f>
        <v>Non-Household Travel</v>
      </c>
      <c r="D856">
        <f>'Unformatted Trip Summary'!D854</f>
        <v>9</v>
      </c>
      <c r="E856">
        <f>'Unformatted Trip Summary'!E854</f>
        <v>44</v>
      </c>
      <c r="F856" s="1">
        <f>'Unformatted Trip Summary'!F854</f>
        <v>0.47973443589999998</v>
      </c>
      <c r="G856" s="1">
        <f>'Unformatted Trip Summary'!G854</f>
        <v>14.642656835</v>
      </c>
      <c r="H856" s="1">
        <f>'Unformatted Trip Summary'!H854</f>
        <v>0.24959618610000001</v>
      </c>
    </row>
    <row r="857" spans="1:8" x14ac:dyDescent="0.2">
      <c r="A857" t="str">
        <f>'Unformatted Trip Summary'!A855</f>
        <v>12 WEST COAST</v>
      </c>
      <c r="B857" t="str">
        <f>'Unformatted Trip Summary'!J855</f>
        <v>2042/43</v>
      </c>
      <c r="C857" t="str">
        <f>'Unformatted Trip Summary'!I855</f>
        <v>Non-Household Travel</v>
      </c>
      <c r="D857">
        <f>'Unformatted Trip Summary'!D855</f>
        <v>9</v>
      </c>
      <c r="E857">
        <f>'Unformatted Trip Summary'!E855</f>
        <v>44</v>
      </c>
      <c r="F857" s="1">
        <f>'Unformatted Trip Summary'!F855</f>
        <v>0.4399299626</v>
      </c>
      <c r="G857" s="1">
        <f>'Unformatted Trip Summary'!G855</f>
        <v>12.999663735</v>
      </c>
      <c r="H857" s="1">
        <f>'Unformatted Trip Summary'!H855</f>
        <v>0.22341850369999999</v>
      </c>
    </row>
    <row r="858" spans="1:8" x14ac:dyDescent="0.2">
      <c r="A858" t="str">
        <f>'Unformatted Trip Summary'!A856</f>
        <v>13 CANTERBURY</v>
      </c>
      <c r="B858" t="str">
        <f>'Unformatted Trip Summary'!J856</f>
        <v>2012/13</v>
      </c>
      <c r="C858" t="str">
        <f>'Unformatted Trip Summary'!I856</f>
        <v>Pedestrian</v>
      </c>
      <c r="D858">
        <f>'Unformatted Trip Summary'!D856</f>
        <v>2073</v>
      </c>
      <c r="E858">
        <f>'Unformatted Trip Summary'!E856</f>
        <v>7645</v>
      </c>
      <c r="F858" s="1">
        <f>'Unformatted Trip Summary'!F856</f>
        <v>131.04676542000001</v>
      </c>
      <c r="G858" s="1">
        <f>'Unformatted Trip Summary'!G856</f>
        <v>113.37513976</v>
      </c>
      <c r="H858" s="1">
        <f>'Unformatted Trip Summary'!H856</f>
        <v>27.07651954</v>
      </c>
    </row>
    <row r="859" spans="1:8" x14ac:dyDescent="0.2">
      <c r="A859" t="str">
        <f>'Unformatted Trip Summary'!A857</f>
        <v>13 CANTERBURY</v>
      </c>
      <c r="B859" t="str">
        <f>'Unformatted Trip Summary'!J857</f>
        <v>2017/18</v>
      </c>
      <c r="C859" t="str">
        <f>'Unformatted Trip Summary'!I857</f>
        <v>Pedestrian</v>
      </c>
      <c r="D859">
        <f>'Unformatted Trip Summary'!D857</f>
        <v>2073</v>
      </c>
      <c r="E859">
        <f>'Unformatted Trip Summary'!E857</f>
        <v>7645</v>
      </c>
      <c r="F859" s="1">
        <f>'Unformatted Trip Summary'!F857</f>
        <v>127.2899896</v>
      </c>
      <c r="G859" s="1">
        <f>'Unformatted Trip Summary'!G857</f>
        <v>110.05648687</v>
      </c>
      <c r="H859" s="1">
        <f>'Unformatted Trip Summary'!H857</f>
        <v>26.056358703000001</v>
      </c>
    </row>
    <row r="860" spans="1:8" x14ac:dyDescent="0.2">
      <c r="A860" t="str">
        <f>'Unformatted Trip Summary'!A858</f>
        <v>13 CANTERBURY</v>
      </c>
      <c r="B860" t="str">
        <f>'Unformatted Trip Summary'!J858</f>
        <v>2022/23</v>
      </c>
      <c r="C860" t="str">
        <f>'Unformatted Trip Summary'!I858</f>
        <v>Pedestrian</v>
      </c>
      <c r="D860">
        <f>'Unformatted Trip Summary'!D858</f>
        <v>2073</v>
      </c>
      <c r="E860">
        <f>'Unformatted Trip Summary'!E858</f>
        <v>7645</v>
      </c>
      <c r="F860" s="1">
        <f>'Unformatted Trip Summary'!F858</f>
        <v>131.65501852</v>
      </c>
      <c r="G860" s="1">
        <f>'Unformatted Trip Summary'!G858</f>
        <v>113.08323128000001</v>
      </c>
      <c r="H860" s="1">
        <f>'Unformatted Trip Summary'!H858</f>
        <v>26.603350751000001</v>
      </c>
    </row>
    <row r="861" spans="1:8" x14ac:dyDescent="0.2">
      <c r="A861" t="str">
        <f>'Unformatted Trip Summary'!A859</f>
        <v>13 CANTERBURY</v>
      </c>
      <c r="B861" t="str">
        <f>'Unformatted Trip Summary'!J859</f>
        <v>2027/28</v>
      </c>
      <c r="C861" t="str">
        <f>'Unformatted Trip Summary'!I859</f>
        <v>Pedestrian</v>
      </c>
      <c r="D861">
        <f>'Unformatted Trip Summary'!D859</f>
        <v>2073</v>
      </c>
      <c r="E861">
        <f>'Unformatted Trip Summary'!E859</f>
        <v>7645</v>
      </c>
      <c r="F861" s="1">
        <f>'Unformatted Trip Summary'!F859</f>
        <v>129.05447681999999</v>
      </c>
      <c r="G861" s="1">
        <f>'Unformatted Trip Summary'!G859</f>
        <v>110.17217775</v>
      </c>
      <c r="H861" s="1">
        <f>'Unformatted Trip Summary'!H859</f>
        <v>25.718800929</v>
      </c>
    </row>
    <row r="862" spans="1:8" x14ac:dyDescent="0.2">
      <c r="A862" t="str">
        <f>'Unformatted Trip Summary'!A860</f>
        <v>13 CANTERBURY</v>
      </c>
      <c r="B862" t="str">
        <f>'Unformatted Trip Summary'!J860</f>
        <v>2032/33</v>
      </c>
      <c r="C862" t="str">
        <f>'Unformatted Trip Summary'!I860</f>
        <v>Pedestrian</v>
      </c>
      <c r="D862">
        <f>'Unformatted Trip Summary'!D860</f>
        <v>2073</v>
      </c>
      <c r="E862">
        <f>'Unformatted Trip Summary'!E860</f>
        <v>7645</v>
      </c>
      <c r="F862" s="1">
        <f>'Unformatted Trip Summary'!F860</f>
        <v>125.79500289000001</v>
      </c>
      <c r="G862" s="1">
        <f>'Unformatted Trip Summary'!G860</f>
        <v>106.82388709999999</v>
      </c>
      <c r="H862" s="1">
        <f>'Unformatted Trip Summary'!H860</f>
        <v>24.804930638999998</v>
      </c>
    </row>
    <row r="863" spans="1:8" x14ac:dyDescent="0.2">
      <c r="A863" t="str">
        <f>'Unformatted Trip Summary'!A861</f>
        <v>13 CANTERBURY</v>
      </c>
      <c r="B863" t="str">
        <f>'Unformatted Trip Summary'!J861</f>
        <v>2037/38</v>
      </c>
      <c r="C863" t="str">
        <f>'Unformatted Trip Summary'!I861</f>
        <v>Pedestrian</v>
      </c>
      <c r="D863">
        <f>'Unformatted Trip Summary'!D861</f>
        <v>2073</v>
      </c>
      <c r="E863">
        <f>'Unformatted Trip Summary'!E861</f>
        <v>7645</v>
      </c>
      <c r="F863" s="1">
        <f>'Unformatted Trip Summary'!F861</f>
        <v>122.41910043</v>
      </c>
      <c r="G863" s="1">
        <f>'Unformatted Trip Summary'!G861</f>
        <v>103.59219019</v>
      </c>
      <c r="H863" s="1">
        <f>'Unformatted Trip Summary'!H861</f>
        <v>23.900766939</v>
      </c>
    </row>
    <row r="864" spans="1:8" x14ac:dyDescent="0.2">
      <c r="A864" t="str">
        <f>'Unformatted Trip Summary'!A862</f>
        <v>13 CANTERBURY</v>
      </c>
      <c r="B864" t="str">
        <f>'Unformatted Trip Summary'!J862</f>
        <v>2042/43</v>
      </c>
      <c r="C864" t="str">
        <f>'Unformatted Trip Summary'!I862</f>
        <v>Pedestrian</v>
      </c>
      <c r="D864">
        <f>'Unformatted Trip Summary'!D862</f>
        <v>2073</v>
      </c>
      <c r="E864">
        <f>'Unformatted Trip Summary'!E862</f>
        <v>7645</v>
      </c>
      <c r="F864" s="1">
        <f>'Unformatted Trip Summary'!F862</f>
        <v>119.35507585000001</v>
      </c>
      <c r="G864" s="1">
        <f>'Unformatted Trip Summary'!G862</f>
        <v>100.64863819</v>
      </c>
      <c r="H864" s="1">
        <f>'Unformatted Trip Summary'!H862</f>
        <v>23.100767208000001</v>
      </c>
    </row>
    <row r="865" spans="1:8" x14ac:dyDescent="0.2">
      <c r="A865" t="str">
        <f>'Unformatted Trip Summary'!A863</f>
        <v>13 CANTERBURY</v>
      </c>
      <c r="B865" t="str">
        <f>'Unformatted Trip Summary'!J863</f>
        <v>2012/13</v>
      </c>
      <c r="C865" t="str">
        <f>'Unformatted Trip Summary'!I863</f>
        <v>Cyclist</v>
      </c>
      <c r="D865">
        <f>'Unformatted Trip Summary'!D863</f>
        <v>335</v>
      </c>
      <c r="E865">
        <f>'Unformatted Trip Summary'!E863</f>
        <v>1282</v>
      </c>
      <c r="F865" s="1">
        <f>'Unformatted Trip Summary'!F863</f>
        <v>23.740018446000001</v>
      </c>
      <c r="G865" s="1">
        <f>'Unformatted Trip Summary'!G863</f>
        <v>97.023488555</v>
      </c>
      <c r="H865" s="1">
        <f>'Unformatted Trip Summary'!H863</f>
        <v>7.2445897615000003</v>
      </c>
    </row>
    <row r="866" spans="1:8" x14ac:dyDescent="0.2">
      <c r="A866" t="str">
        <f>'Unformatted Trip Summary'!A864</f>
        <v>13 CANTERBURY</v>
      </c>
      <c r="B866" t="str">
        <f>'Unformatted Trip Summary'!J864</f>
        <v>2017/18</v>
      </c>
      <c r="C866" t="str">
        <f>'Unformatted Trip Summary'!I864</f>
        <v>Cyclist</v>
      </c>
      <c r="D866">
        <f>'Unformatted Trip Summary'!D864</f>
        <v>335</v>
      </c>
      <c r="E866">
        <f>'Unformatted Trip Summary'!E864</f>
        <v>1282</v>
      </c>
      <c r="F866" s="1">
        <f>'Unformatted Trip Summary'!F864</f>
        <v>23.592666787999999</v>
      </c>
      <c r="G866" s="1">
        <f>'Unformatted Trip Summary'!G864</f>
        <v>99.408176800000007</v>
      </c>
      <c r="H866" s="1">
        <f>'Unformatted Trip Summary'!H864</f>
        <v>7.2833591557000004</v>
      </c>
    </row>
    <row r="867" spans="1:8" x14ac:dyDescent="0.2">
      <c r="A867" t="str">
        <f>'Unformatted Trip Summary'!A865</f>
        <v>13 CANTERBURY</v>
      </c>
      <c r="B867" t="str">
        <f>'Unformatted Trip Summary'!J865</f>
        <v>2022/23</v>
      </c>
      <c r="C867" t="str">
        <f>'Unformatted Trip Summary'!I865</f>
        <v>Cyclist</v>
      </c>
      <c r="D867">
        <f>'Unformatted Trip Summary'!D865</f>
        <v>335</v>
      </c>
      <c r="E867">
        <f>'Unformatted Trip Summary'!E865</f>
        <v>1282</v>
      </c>
      <c r="F867" s="1">
        <f>'Unformatted Trip Summary'!F865</f>
        <v>24.178052476000001</v>
      </c>
      <c r="G867" s="1">
        <f>'Unformatted Trip Summary'!G865</f>
        <v>105.2709521</v>
      </c>
      <c r="H867" s="1">
        <f>'Unformatted Trip Summary'!H865</f>
        <v>7.5770471836000004</v>
      </c>
    </row>
    <row r="868" spans="1:8" x14ac:dyDescent="0.2">
      <c r="A868" t="str">
        <f>'Unformatted Trip Summary'!A866</f>
        <v>13 CANTERBURY</v>
      </c>
      <c r="B868" t="str">
        <f>'Unformatted Trip Summary'!J866</f>
        <v>2027/28</v>
      </c>
      <c r="C868" t="str">
        <f>'Unformatted Trip Summary'!I866</f>
        <v>Cyclist</v>
      </c>
      <c r="D868">
        <f>'Unformatted Trip Summary'!D866</f>
        <v>335</v>
      </c>
      <c r="E868">
        <f>'Unformatted Trip Summary'!E866</f>
        <v>1282</v>
      </c>
      <c r="F868" s="1">
        <f>'Unformatted Trip Summary'!F866</f>
        <v>23.301780278999999</v>
      </c>
      <c r="G868" s="1">
        <f>'Unformatted Trip Summary'!G866</f>
        <v>103.93124584</v>
      </c>
      <c r="H868" s="1">
        <f>'Unformatted Trip Summary'!H866</f>
        <v>7.3762046872000004</v>
      </c>
    </row>
    <row r="869" spans="1:8" x14ac:dyDescent="0.2">
      <c r="A869" t="str">
        <f>'Unformatted Trip Summary'!A867</f>
        <v>13 CANTERBURY</v>
      </c>
      <c r="B869" t="str">
        <f>'Unformatted Trip Summary'!J867</f>
        <v>2032/33</v>
      </c>
      <c r="C869" t="str">
        <f>'Unformatted Trip Summary'!I867</f>
        <v>Cyclist</v>
      </c>
      <c r="D869">
        <f>'Unformatted Trip Summary'!D867</f>
        <v>335</v>
      </c>
      <c r="E869">
        <f>'Unformatted Trip Summary'!E867</f>
        <v>1282</v>
      </c>
      <c r="F869" s="1">
        <f>'Unformatted Trip Summary'!F867</f>
        <v>22.721390919000001</v>
      </c>
      <c r="G869" s="1">
        <f>'Unformatted Trip Summary'!G867</f>
        <v>104.47151967000001</v>
      </c>
      <c r="H869" s="1">
        <f>'Unformatted Trip Summary'!H867</f>
        <v>7.2974324459000002</v>
      </c>
    </row>
    <row r="870" spans="1:8" x14ac:dyDescent="0.2">
      <c r="A870" t="str">
        <f>'Unformatted Trip Summary'!A868</f>
        <v>13 CANTERBURY</v>
      </c>
      <c r="B870" t="str">
        <f>'Unformatted Trip Summary'!J868</f>
        <v>2037/38</v>
      </c>
      <c r="C870" t="str">
        <f>'Unformatted Trip Summary'!I868</f>
        <v>Cyclist</v>
      </c>
      <c r="D870">
        <f>'Unformatted Trip Summary'!D868</f>
        <v>335</v>
      </c>
      <c r="E870">
        <f>'Unformatted Trip Summary'!E868</f>
        <v>1282</v>
      </c>
      <c r="F870" s="1">
        <f>'Unformatted Trip Summary'!F868</f>
        <v>22.162200831</v>
      </c>
      <c r="G870" s="1">
        <f>'Unformatted Trip Summary'!G868</f>
        <v>106.38724944000001</v>
      </c>
      <c r="H870" s="1">
        <f>'Unformatted Trip Summary'!H868</f>
        <v>7.2946660628000002</v>
      </c>
    </row>
    <row r="871" spans="1:8" x14ac:dyDescent="0.2">
      <c r="A871" t="str">
        <f>'Unformatted Trip Summary'!A869</f>
        <v>13 CANTERBURY</v>
      </c>
      <c r="B871" t="str">
        <f>'Unformatted Trip Summary'!J869</f>
        <v>2042/43</v>
      </c>
      <c r="C871" t="str">
        <f>'Unformatted Trip Summary'!I869</f>
        <v>Cyclist</v>
      </c>
      <c r="D871">
        <f>'Unformatted Trip Summary'!D869</f>
        <v>335</v>
      </c>
      <c r="E871">
        <f>'Unformatted Trip Summary'!E869</f>
        <v>1282</v>
      </c>
      <c r="F871" s="1">
        <f>'Unformatted Trip Summary'!F869</f>
        <v>21.741257057999999</v>
      </c>
      <c r="G871" s="1">
        <f>'Unformatted Trip Summary'!G869</f>
        <v>108.54372474</v>
      </c>
      <c r="H871" s="1">
        <f>'Unformatted Trip Summary'!H869</f>
        <v>7.3229312127000004</v>
      </c>
    </row>
    <row r="872" spans="1:8" x14ac:dyDescent="0.2">
      <c r="A872" t="str">
        <f>'Unformatted Trip Summary'!A870</f>
        <v>13 CANTERBURY</v>
      </c>
      <c r="B872" t="str">
        <f>'Unformatted Trip Summary'!J870</f>
        <v>2012/13</v>
      </c>
      <c r="C872" t="str">
        <f>'Unformatted Trip Summary'!I870</f>
        <v>Light Vehicle Driver</v>
      </c>
      <c r="D872">
        <f>'Unformatted Trip Summary'!D870</f>
        <v>3326</v>
      </c>
      <c r="E872">
        <f>'Unformatted Trip Summary'!E870</f>
        <v>23816</v>
      </c>
      <c r="F872" s="1">
        <f>'Unformatted Trip Summary'!F870</f>
        <v>417.41567177000002</v>
      </c>
      <c r="G872" s="1">
        <f>'Unformatted Trip Summary'!G870</f>
        <v>3777.041205</v>
      </c>
      <c r="H872" s="1">
        <f>'Unformatted Trip Summary'!H870</f>
        <v>111.06814274</v>
      </c>
    </row>
    <row r="873" spans="1:8" x14ac:dyDescent="0.2">
      <c r="A873" t="str">
        <f>'Unformatted Trip Summary'!A871</f>
        <v>13 CANTERBURY</v>
      </c>
      <c r="B873" t="str">
        <f>'Unformatted Trip Summary'!J871</f>
        <v>2017/18</v>
      </c>
      <c r="C873" t="str">
        <f>'Unformatted Trip Summary'!I871</f>
        <v>Light Vehicle Driver</v>
      </c>
      <c r="D873">
        <f>'Unformatted Trip Summary'!D871</f>
        <v>3326</v>
      </c>
      <c r="E873">
        <f>'Unformatted Trip Summary'!E871</f>
        <v>23816</v>
      </c>
      <c r="F873" s="1">
        <f>'Unformatted Trip Summary'!F871</f>
        <v>424.91188045000001</v>
      </c>
      <c r="G873" s="1">
        <f>'Unformatted Trip Summary'!G871</f>
        <v>3905.0524329</v>
      </c>
      <c r="H873" s="1">
        <f>'Unformatted Trip Summary'!H871</f>
        <v>114.41472723</v>
      </c>
    </row>
    <row r="874" spans="1:8" x14ac:dyDescent="0.2">
      <c r="A874" t="str">
        <f>'Unformatted Trip Summary'!A872</f>
        <v>13 CANTERBURY</v>
      </c>
      <c r="B874" t="str">
        <f>'Unformatted Trip Summary'!J872</f>
        <v>2022/23</v>
      </c>
      <c r="C874" t="str">
        <f>'Unformatted Trip Summary'!I872</f>
        <v>Light Vehicle Driver</v>
      </c>
      <c r="D874">
        <f>'Unformatted Trip Summary'!D872</f>
        <v>3326</v>
      </c>
      <c r="E874">
        <f>'Unformatted Trip Summary'!E872</f>
        <v>23816</v>
      </c>
      <c r="F874" s="1">
        <f>'Unformatted Trip Summary'!F872</f>
        <v>455.02604502000003</v>
      </c>
      <c r="G874" s="1">
        <f>'Unformatted Trip Summary'!G872</f>
        <v>4221.1438320999996</v>
      </c>
      <c r="H874" s="1">
        <f>'Unformatted Trip Summary'!H872</f>
        <v>123.38365906</v>
      </c>
    </row>
    <row r="875" spans="1:8" x14ac:dyDescent="0.2">
      <c r="A875" t="str">
        <f>'Unformatted Trip Summary'!A873</f>
        <v>13 CANTERBURY</v>
      </c>
      <c r="B875" t="str">
        <f>'Unformatted Trip Summary'!J873</f>
        <v>2027/28</v>
      </c>
      <c r="C875" t="str">
        <f>'Unformatted Trip Summary'!I873</f>
        <v>Light Vehicle Driver</v>
      </c>
      <c r="D875">
        <f>'Unformatted Trip Summary'!D873</f>
        <v>3326</v>
      </c>
      <c r="E875">
        <f>'Unformatted Trip Summary'!E873</f>
        <v>23816</v>
      </c>
      <c r="F875" s="1">
        <f>'Unformatted Trip Summary'!F873</f>
        <v>466.98607525</v>
      </c>
      <c r="G875" s="1">
        <f>'Unformatted Trip Summary'!G873</f>
        <v>4353.0056600999997</v>
      </c>
      <c r="H875" s="1">
        <f>'Unformatted Trip Summary'!H873</f>
        <v>126.94677208</v>
      </c>
    </row>
    <row r="876" spans="1:8" x14ac:dyDescent="0.2">
      <c r="A876" t="str">
        <f>'Unformatted Trip Summary'!A874</f>
        <v>13 CANTERBURY</v>
      </c>
      <c r="B876" t="str">
        <f>'Unformatted Trip Summary'!J874</f>
        <v>2032/33</v>
      </c>
      <c r="C876" t="str">
        <f>'Unformatted Trip Summary'!I874</f>
        <v>Light Vehicle Driver</v>
      </c>
      <c r="D876">
        <f>'Unformatted Trip Summary'!D874</f>
        <v>3326</v>
      </c>
      <c r="E876">
        <f>'Unformatted Trip Summary'!E874</f>
        <v>23816</v>
      </c>
      <c r="F876" s="1">
        <f>'Unformatted Trip Summary'!F874</f>
        <v>476.26364869999998</v>
      </c>
      <c r="G876" s="1">
        <f>'Unformatted Trip Summary'!G874</f>
        <v>4461.4679281999997</v>
      </c>
      <c r="H876" s="1">
        <f>'Unformatted Trip Summary'!H874</f>
        <v>129.88105711</v>
      </c>
    </row>
    <row r="877" spans="1:8" x14ac:dyDescent="0.2">
      <c r="A877" t="str">
        <f>'Unformatted Trip Summary'!A875</f>
        <v>13 CANTERBURY</v>
      </c>
      <c r="B877" t="str">
        <f>'Unformatted Trip Summary'!J875</f>
        <v>2037/38</v>
      </c>
      <c r="C877" t="str">
        <f>'Unformatted Trip Summary'!I875</f>
        <v>Light Vehicle Driver</v>
      </c>
      <c r="D877">
        <f>'Unformatted Trip Summary'!D875</f>
        <v>3326</v>
      </c>
      <c r="E877">
        <f>'Unformatted Trip Summary'!E875</f>
        <v>23816</v>
      </c>
      <c r="F877" s="1">
        <f>'Unformatted Trip Summary'!F875</f>
        <v>478.04695705</v>
      </c>
      <c r="G877" s="1">
        <f>'Unformatted Trip Summary'!G875</f>
        <v>4503.0493705999997</v>
      </c>
      <c r="H877" s="1">
        <f>'Unformatted Trip Summary'!H875</f>
        <v>130.88052646</v>
      </c>
    </row>
    <row r="878" spans="1:8" x14ac:dyDescent="0.2">
      <c r="A878" t="str">
        <f>'Unformatted Trip Summary'!A876</f>
        <v>13 CANTERBURY</v>
      </c>
      <c r="B878" t="str">
        <f>'Unformatted Trip Summary'!J876</f>
        <v>2042/43</v>
      </c>
      <c r="C878" t="str">
        <f>'Unformatted Trip Summary'!I876</f>
        <v>Light Vehicle Driver</v>
      </c>
      <c r="D878">
        <f>'Unformatted Trip Summary'!D876</f>
        <v>3326</v>
      </c>
      <c r="E878">
        <f>'Unformatted Trip Summary'!E876</f>
        <v>23816</v>
      </c>
      <c r="F878" s="1">
        <f>'Unformatted Trip Summary'!F876</f>
        <v>478.14651831999998</v>
      </c>
      <c r="G878" s="1">
        <f>'Unformatted Trip Summary'!G876</f>
        <v>4526.2140484000001</v>
      </c>
      <c r="H878" s="1">
        <f>'Unformatted Trip Summary'!H876</f>
        <v>131.38892963000001</v>
      </c>
    </row>
    <row r="879" spans="1:8" x14ac:dyDescent="0.2">
      <c r="A879" t="str">
        <f>'Unformatted Trip Summary'!A877</f>
        <v>13 CANTERBURY</v>
      </c>
      <c r="B879" t="str">
        <f>'Unformatted Trip Summary'!J877</f>
        <v>2012/13</v>
      </c>
      <c r="C879" t="str">
        <f>'Unformatted Trip Summary'!I877</f>
        <v>Light Vehicle Passenger</v>
      </c>
      <c r="D879">
        <f>'Unformatted Trip Summary'!D877</f>
        <v>2416</v>
      </c>
      <c r="E879">
        <f>'Unformatted Trip Summary'!E877</f>
        <v>11025</v>
      </c>
      <c r="F879" s="1">
        <f>'Unformatted Trip Summary'!F877</f>
        <v>189.77500577999999</v>
      </c>
      <c r="G879" s="1">
        <f>'Unformatted Trip Summary'!G877</f>
        <v>2033.7115475000001</v>
      </c>
      <c r="H879" s="1">
        <f>'Unformatted Trip Summary'!H877</f>
        <v>53.544276449999998</v>
      </c>
    </row>
    <row r="880" spans="1:8" x14ac:dyDescent="0.2">
      <c r="A880" t="str">
        <f>'Unformatted Trip Summary'!A878</f>
        <v>13 CANTERBURY</v>
      </c>
      <c r="B880" t="str">
        <f>'Unformatted Trip Summary'!J878</f>
        <v>2017/18</v>
      </c>
      <c r="C880" t="str">
        <f>'Unformatted Trip Summary'!I878</f>
        <v>Light Vehicle Passenger</v>
      </c>
      <c r="D880">
        <f>'Unformatted Trip Summary'!D878</f>
        <v>2416</v>
      </c>
      <c r="E880">
        <f>'Unformatted Trip Summary'!E878</f>
        <v>11025</v>
      </c>
      <c r="F880" s="1">
        <f>'Unformatted Trip Summary'!F878</f>
        <v>182.69528686000001</v>
      </c>
      <c r="G880" s="1">
        <f>'Unformatted Trip Summary'!G878</f>
        <v>1993.6807713000001</v>
      </c>
      <c r="H880" s="1">
        <f>'Unformatted Trip Summary'!H878</f>
        <v>52.086145055000003</v>
      </c>
    </row>
    <row r="881" spans="1:8" x14ac:dyDescent="0.2">
      <c r="A881" t="str">
        <f>'Unformatted Trip Summary'!A879</f>
        <v>13 CANTERBURY</v>
      </c>
      <c r="B881" t="str">
        <f>'Unformatted Trip Summary'!J879</f>
        <v>2022/23</v>
      </c>
      <c r="C881" t="str">
        <f>'Unformatted Trip Summary'!I879</f>
        <v>Light Vehicle Passenger</v>
      </c>
      <c r="D881">
        <f>'Unformatted Trip Summary'!D879</f>
        <v>2416</v>
      </c>
      <c r="E881">
        <f>'Unformatted Trip Summary'!E879</f>
        <v>11025</v>
      </c>
      <c r="F881" s="1">
        <f>'Unformatted Trip Summary'!F879</f>
        <v>189.62871976</v>
      </c>
      <c r="G881" s="1">
        <f>'Unformatted Trip Summary'!G879</f>
        <v>2099.7971361</v>
      </c>
      <c r="H881" s="1">
        <f>'Unformatted Trip Summary'!H879</f>
        <v>54.454959332999998</v>
      </c>
    </row>
    <row r="882" spans="1:8" x14ac:dyDescent="0.2">
      <c r="A882" t="str">
        <f>'Unformatted Trip Summary'!A880</f>
        <v>13 CANTERBURY</v>
      </c>
      <c r="B882" t="str">
        <f>'Unformatted Trip Summary'!J880</f>
        <v>2027/28</v>
      </c>
      <c r="C882" t="str">
        <f>'Unformatted Trip Summary'!I880</f>
        <v>Light Vehicle Passenger</v>
      </c>
      <c r="D882">
        <f>'Unformatted Trip Summary'!D880</f>
        <v>2416</v>
      </c>
      <c r="E882">
        <f>'Unformatted Trip Summary'!E880</f>
        <v>11025</v>
      </c>
      <c r="F882" s="1">
        <f>'Unformatted Trip Summary'!F880</f>
        <v>190.12078695</v>
      </c>
      <c r="G882" s="1">
        <f>'Unformatted Trip Summary'!G880</f>
        <v>2137.2546604999998</v>
      </c>
      <c r="H882" s="1">
        <f>'Unformatted Trip Summary'!H880</f>
        <v>54.90663911</v>
      </c>
    </row>
    <row r="883" spans="1:8" x14ac:dyDescent="0.2">
      <c r="A883" t="str">
        <f>'Unformatted Trip Summary'!A881</f>
        <v>13 CANTERBURY</v>
      </c>
      <c r="B883" t="str">
        <f>'Unformatted Trip Summary'!J881</f>
        <v>2032/33</v>
      </c>
      <c r="C883" t="str">
        <f>'Unformatted Trip Summary'!I881</f>
        <v>Light Vehicle Passenger</v>
      </c>
      <c r="D883">
        <f>'Unformatted Trip Summary'!D881</f>
        <v>2416</v>
      </c>
      <c r="E883">
        <f>'Unformatted Trip Summary'!E881</f>
        <v>11025</v>
      </c>
      <c r="F883" s="1">
        <f>'Unformatted Trip Summary'!F881</f>
        <v>190.17923761</v>
      </c>
      <c r="G883" s="1">
        <f>'Unformatted Trip Summary'!G881</f>
        <v>2166.5518299999999</v>
      </c>
      <c r="H883" s="1">
        <f>'Unformatted Trip Summary'!H881</f>
        <v>55.242772422999998</v>
      </c>
    </row>
    <row r="884" spans="1:8" x14ac:dyDescent="0.2">
      <c r="A884" t="str">
        <f>'Unformatted Trip Summary'!A882</f>
        <v>13 CANTERBURY</v>
      </c>
      <c r="B884" t="str">
        <f>'Unformatted Trip Summary'!J882</f>
        <v>2037/38</v>
      </c>
      <c r="C884" t="str">
        <f>'Unformatted Trip Summary'!I882</f>
        <v>Light Vehicle Passenger</v>
      </c>
      <c r="D884">
        <f>'Unformatted Trip Summary'!D882</f>
        <v>2416</v>
      </c>
      <c r="E884">
        <f>'Unformatted Trip Summary'!E882</f>
        <v>11025</v>
      </c>
      <c r="F884" s="1">
        <f>'Unformatted Trip Summary'!F882</f>
        <v>189.50835878999999</v>
      </c>
      <c r="G884" s="1">
        <f>'Unformatted Trip Summary'!G882</f>
        <v>2184.4785963999998</v>
      </c>
      <c r="H884" s="1">
        <f>'Unformatted Trip Summary'!H882</f>
        <v>55.397316351999997</v>
      </c>
    </row>
    <row r="885" spans="1:8" x14ac:dyDescent="0.2">
      <c r="A885" t="str">
        <f>'Unformatted Trip Summary'!A883</f>
        <v>13 CANTERBURY</v>
      </c>
      <c r="B885" t="str">
        <f>'Unformatted Trip Summary'!J883</f>
        <v>2042/43</v>
      </c>
      <c r="C885" t="str">
        <f>'Unformatted Trip Summary'!I883</f>
        <v>Light Vehicle Passenger</v>
      </c>
      <c r="D885">
        <f>'Unformatted Trip Summary'!D883</f>
        <v>2416</v>
      </c>
      <c r="E885">
        <f>'Unformatted Trip Summary'!E883</f>
        <v>11025</v>
      </c>
      <c r="F885" s="1">
        <f>'Unformatted Trip Summary'!F883</f>
        <v>188.64573161000001</v>
      </c>
      <c r="G885" s="1">
        <f>'Unformatted Trip Summary'!G883</f>
        <v>2197.0892620999998</v>
      </c>
      <c r="H885" s="1">
        <f>'Unformatted Trip Summary'!H883</f>
        <v>55.463885894999997</v>
      </c>
    </row>
    <row r="886" spans="1:8" x14ac:dyDescent="0.2">
      <c r="A886" t="str">
        <f>'Unformatted Trip Summary'!A884</f>
        <v>13 CANTERBURY</v>
      </c>
      <c r="B886" t="str">
        <f>'Unformatted Trip Summary'!J884</f>
        <v>2012/13</v>
      </c>
      <c r="C886" t="str">
        <f>'Unformatted Trip Summary'!I884</f>
        <v>Taxi/Vehicle Share</v>
      </c>
      <c r="D886">
        <f>'Unformatted Trip Summary'!D884</f>
        <v>68</v>
      </c>
      <c r="E886">
        <f>'Unformatted Trip Summary'!E884</f>
        <v>116</v>
      </c>
      <c r="F886" s="1">
        <f>'Unformatted Trip Summary'!F884</f>
        <v>2.2446435044999999</v>
      </c>
      <c r="G886" s="1">
        <f>'Unformatted Trip Summary'!G884</f>
        <v>16.530142167000001</v>
      </c>
      <c r="H886" s="1">
        <f>'Unformatted Trip Summary'!H884</f>
        <v>0.86554787379999998</v>
      </c>
    </row>
    <row r="887" spans="1:8" x14ac:dyDescent="0.2">
      <c r="A887" t="str">
        <f>'Unformatted Trip Summary'!A885</f>
        <v>13 CANTERBURY</v>
      </c>
      <c r="B887" t="str">
        <f>'Unformatted Trip Summary'!J885</f>
        <v>2017/18</v>
      </c>
      <c r="C887" t="str">
        <f>'Unformatted Trip Summary'!I885</f>
        <v>Taxi/Vehicle Share</v>
      </c>
      <c r="D887">
        <f>'Unformatted Trip Summary'!D885</f>
        <v>68</v>
      </c>
      <c r="E887">
        <f>'Unformatted Trip Summary'!E885</f>
        <v>116</v>
      </c>
      <c r="F887" s="1">
        <f>'Unformatted Trip Summary'!F885</f>
        <v>2.3009829149000001</v>
      </c>
      <c r="G887" s="1">
        <f>'Unformatted Trip Summary'!G885</f>
        <v>17.686717584</v>
      </c>
      <c r="H887" s="1">
        <f>'Unformatted Trip Summary'!H885</f>
        <v>0.89401521880000001</v>
      </c>
    </row>
    <row r="888" spans="1:8" x14ac:dyDescent="0.2">
      <c r="A888" t="str">
        <f>'Unformatted Trip Summary'!A886</f>
        <v>13 CANTERBURY</v>
      </c>
      <c r="B888" t="str">
        <f>'Unformatted Trip Summary'!J886</f>
        <v>2022/23</v>
      </c>
      <c r="C888" t="str">
        <f>'Unformatted Trip Summary'!I886</f>
        <v>Taxi/Vehicle Share</v>
      </c>
      <c r="D888">
        <f>'Unformatted Trip Summary'!D886</f>
        <v>68</v>
      </c>
      <c r="E888">
        <f>'Unformatted Trip Summary'!E886</f>
        <v>116</v>
      </c>
      <c r="F888" s="1">
        <f>'Unformatted Trip Summary'!F886</f>
        <v>2.4624834484</v>
      </c>
      <c r="G888" s="1">
        <f>'Unformatted Trip Summary'!G886</f>
        <v>19.562265774</v>
      </c>
      <c r="H888" s="1">
        <f>'Unformatted Trip Summary'!H886</f>
        <v>0.96134291930000004</v>
      </c>
    </row>
    <row r="889" spans="1:8" x14ac:dyDescent="0.2">
      <c r="A889" t="str">
        <f>'Unformatted Trip Summary'!A887</f>
        <v>13 CANTERBURY</v>
      </c>
      <c r="B889" t="str">
        <f>'Unformatted Trip Summary'!J887</f>
        <v>2027/28</v>
      </c>
      <c r="C889" t="str">
        <f>'Unformatted Trip Summary'!I887</f>
        <v>Taxi/Vehicle Share</v>
      </c>
      <c r="D889">
        <f>'Unformatted Trip Summary'!D887</f>
        <v>68</v>
      </c>
      <c r="E889">
        <f>'Unformatted Trip Summary'!E887</f>
        <v>116</v>
      </c>
      <c r="F889" s="1">
        <f>'Unformatted Trip Summary'!F887</f>
        <v>2.4726366943000002</v>
      </c>
      <c r="G889" s="1">
        <f>'Unformatted Trip Summary'!G887</f>
        <v>20.028635220999998</v>
      </c>
      <c r="H889" s="1">
        <f>'Unformatted Trip Summary'!H887</f>
        <v>0.97067354459999999</v>
      </c>
    </row>
    <row r="890" spans="1:8" x14ac:dyDescent="0.2">
      <c r="A890" t="str">
        <f>'Unformatted Trip Summary'!A888</f>
        <v>13 CANTERBURY</v>
      </c>
      <c r="B890" t="str">
        <f>'Unformatted Trip Summary'!J888</f>
        <v>2032/33</v>
      </c>
      <c r="C890" t="str">
        <f>'Unformatted Trip Summary'!I888</f>
        <v>Taxi/Vehicle Share</v>
      </c>
      <c r="D890">
        <f>'Unformatted Trip Summary'!D888</f>
        <v>68</v>
      </c>
      <c r="E890">
        <f>'Unformatted Trip Summary'!E888</f>
        <v>116</v>
      </c>
      <c r="F890" s="1">
        <f>'Unformatted Trip Summary'!F888</f>
        <v>2.4845542909999998</v>
      </c>
      <c r="G890" s="1">
        <f>'Unformatted Trip Summary'!G888</f>
        <v>20.549621682000001</v>
      </c>
      <c r="H890" s="1">
        <f>'Unformatted Trip Summary'!H888</f>
        <v>0.98412699400000003</v>
      </c>
    </row>
    <row r="891" spans="1:8" x14ac:dyDescent="0.2">
      <c r="A891" t="str">
        <f>'Unformatted Trip Summary'!A889</f>
        <v>13 CANTERBURY</v>
      </c>
      <c r="B891" t="str">
        <f>'Unformatted Trip Summary'!J889</f>
        <v>2037/38</v>
      </c>
      <c r="C891" t="str">
        <f>'Unformatted Trip Summary'!I889</f>
        <v>Taxi/Vehicle Share</v>
      </c>
      <c r="D891">
        <f>'Unformatted Trip Summary'!D889</f>
        <v>68</v>
      </c>
      <c r="E891">
        <f>'Unformatted Trip Summary'!E889</f>
        <v>116</v>
      </c>
      <c r="F891" s="1">
        <f>'Unformatted Trip Summary'!F889</f>
        <v>2.4453992224999999</v>
      </c>
      <c r="G891" s="1">
        <f>'Unformatted Trip Summary'!G889</f>
        <v>20.720961896999999</v>
      </c>
      <c r="H891" s="1">
        <f>'Unformatted Trip Summary'!H889</f>
        <v>0.97279874909999997</v>
      </c>
    </row>
    <row r="892" spans="1:8" x14ac:dyDescent="0.2">
      <c r="A892" t="str">
        <f>'Unformatted Trip Summary'!A890</f>
        <v>13 CANTERBURY</v>
      </c>
      <c r="B892" t="str">
        <f>'Unformatted Trip Summary'!J890</f>
        <v>2042/43</v>
      </c>
      <c r="C892" t="str">
        <f>'Unformatted Trip Summary'!I890</f>
        <v>Taxi/Vehicle Share</v>
      </c>
      <c r="D892">
        <f>'Unformatted Trip Summary'!D890</f>
        <v>68</v>
      </c>
      <c r="E892">
        <f>'Unformatted Trip Summary'!E890</f>
        <v>116</v>
      </c>
      <c r="F892" s="1">
        <f>'Unformatted Trip Summary'!F890</f>
        <v>2.3995003456999999</v>
      </c>
      <c r="G892" s="1">
        <f>'Unformatted Trip Summary'!G890</f>
        <v>20.820177726000001</v>
      </c>
      <c r="H892" s="1">
        <f>'Unformatted Trip Summary'!H890</f>
        <v>0.95652053199999998</v>
      </c>
    </row>
    <row r="893" spans="1:8" x14ac:dyDescent="0.2">
      <c r="A893" t="str">
        <f>'Unformatted Trip Summary'!A891</f>
        <v>13 CANTERBURY</v>
      </c>
      <c r="B893" t="str">
        <f>'Unformatted Trip Summary'!J891</f>
        <v>2012/13</v>
      </c>
      <c r="C893" t="str">
        <f>'Unformatted Trip Summary'!I891</f>
        <v>Motorcyclist</v>
      </c>
      <c r="D893">
        <f>'Unformatted Trip Summary'!D891</f>
        <v>29</v>
      </c>
      <c r="E893">
        <f>'Unformatted Trip Summary'!E891</f>
        <v>91</v>
      </c>
      <c r="F893" s="1">
        <f>'Unformatted Trip Summary'!F891</f>
        <v>1.4451657518000001</v>
      </c>
      <c r="G893" s="1">
        <f>'Unformatted Trip Summary'!G891</f>
        <v>12.048552727000001</v>
      </c>
      <c r="H893" s="1">
        <f>'Unformatted Trip Summary'!H891</f>
        <v>0.39288238580000001</v>
      </c>
    </row>
    <row r="894" spans="1:8" x14ac:dyDescent="0.2">
      <c r="A894" t="str">
        <f>'Unformatted Trip Summary'!A892</f>
        <v>13 CANTERBURY</v>
      </c>
      <c r="B894" t="str">
        <f>'Unformatted Trip Summary'!J892</f>
        <v>2017/18</v>
      </c>
      <c r="C894" t="str">
        <f>'Unformatted Trip Summary'!I892</f>
        <v>Motorcyclist</v>
      </c>
      <c r="D894">
        <f>'Unformatted Trip Summary'!D892</f>
        <v>29</v>
      </c>
      <c r="E894">
        <f>'Unformatted Trip Summary'!E892</f>
        <v>91</v>
      </c>
      <c r="F894" s="1">
        <f>'Unformatted Trip Summary'!F892</f>
        <v>1.465069363</v>
      </c>
      <c r="G894" s="1">
        <f>'Unformatted Trip Summary'!G892</f>
        <v>11.788353618</v>
      </c>
      <c r="H894" s="1">
        <f>'Unformatted Trip Summary'!H892</f>
        <v>0.39394096499999998</v>
      </c>
    </row>
    <row r="895" spans="1:8" x14ac:dyDescent="0.2">
      <c r="A895" t="str">
        <f>'Unformatted Trip Summary'!A893</f>
        <v>13 CANTERBURY</v>
      </c>
      <c r="B895" t="str">
        <f>'Unformatted Trip Summary'!J893</f>
        <v>2022/23</v>
      </c>
      <c r="C895" t="str">
        <f>'Unformatted Trip Summary'!I893</f>
        <v>Motorcyclist</v>
      </c>
      <c r="D895">
        <f>'Unformatted Trip Summary'!D893</f>
        <v>29</v>
      </c>
      <c r="E895">
        <f>'Unformatted Trip Summary'!E893</f>
        <v>91</v>
      </c>
      <c r="F895" s="1">
        <f>'Unformatted Trip Summary'!F893</f>
        <v>1.5076881365999999</v>
      </c>
      <c r="G895" s="1">
        <f>'Unformatted Trip Summary'!G893</f>
        <v>12.124451517000001</v>
      </c>
      <c r="H895" s="1">
        <f>'Unformatted Trip Summary'!H893</f>
        <v>0.41237097169999998</v>
      </c>
    </row>
    <row r="896" spans="1:8" x14ac:dyDescent="0.2">
      <c r="A896" t="str">
        <f>'Unformatted Trip Summary'!A894</f>
        <v>13 CANTERBURY</v>
      </c>
      <c r="B896" t="str">
        <f>'Unformatted Trip Summary'!J894</f>
        <v>2027/28</v>
      </c>
      <c r="C896" t="str">
        <f>'Unformatted Trip Summary'!I894</f>
        <v>Motorcyclist</v>
      </c>
      <c r="D896">
        <f>'Unformatted Trip Summary'!D894</f>
        <v>29</v>
      </c>
      <c r="E896">
        <f>'Unformatted Trip Summary'!E894</f>
        <v>91</v>
      </c>
      <c r="F896" s="1">
        <f>'Unformatted Trip Summary'!F894</f>
        <v>1.4803109759999999</v>
      </c>
      <c r="G896" s="1">
        <f>'Unformatted Trip Summary'!G894</f>
        <v>11.861540332000001</v>
      </c>
      <c r="H896" s="1">
        <f>'Unformatted Trip Summary'!H894</f>
        <v>0.41158972539999999</v>
      </c>
    </row>
    <row r="897" spans="1:8" x14ac:dyDescent="0.2">
      <c r="A897" t="str">
        <f>'Unformatted Trip Summary'!A895</f>
        <v>13 CANTERBURY</v>
      </c>
      <c r="B897" t="str">
        <f>'Unformatted Trip Summary'!J895</f>
        <v>2032/33</v>
      </c>
      <c r="C897" t="str">
        <f>'Unformatted Trip Summary'!I895</f>
        <v>Motorcyclist</v>
      </c>
      <c r="D897">
        <f>'Unformatted Trip Summary'!D895</f>
        <v>29</v>
      </c>
      <c r="E897">
        <f>'Unformatted Trip Summary'!E895</f>
        <v>91</v>
      </c>
      <c r="F897" s="1">
        <f>'Unformatted Trip Summary'!F895</f>
        <v>1.4595520885</v>
      </c>
      <c r="G897" s="1">
        <f>'Unformatted Trip Summary'!G895</f>
        <v>11.879171394</v>
      </c>
      <c r="H897" s="1">
        <f>'Unformatted Trip Summary'!H895</f>
        <v>0.41637757860000002</v>
      </c>
    </row>
    <row r="898" spans="1:8" x14ac:dyDescent="0.2">
      <c r="A898" t="str">
        <f>'Unformatted Trip Summary'!A896</f>
        <v>13 CANTERBURY</v>
      </c>
      <c r="B898" t="str">
        <f>'Unformatted Trip Summary'!J896</f>
        <v>2037/38</v>
      </c>
      <c r="C898" t="str">
        <f>'Unformatted Trip Summary'!I896</f>
        <v>Motorcyclist</v>
      </c>
      <c r="D898">
        <f>'Unformatted Trip Summary'!D896</f>
        <v>29</v>
      </c>
      <c r="E898">
        <f>'Unformatted Trip Summary'!E896</f>
        <v>91</v>
      </c>
      <c r="F898" s="1">
        <f>'Unformatted Trip Summary'!F896</f>
        <v>1.4692609398000001</v>
      </c>
      <c r="G898" s="1">
        <f>'Unformatted Trip Summary'!G896</f>
        <v>12.117450781000001</v>
      </c>
      <c r="H898" s="1">
        <f>'Unformatted Trip Summary'!H896</f>
        <v>0.43006679079999999</v>
      </c>
    </row>
    <row r="899" spans="1:8" x14ac:dyDescent="0.2">
      <c r="A899" t="str">
        <f>'Unformatted Trip Summary'!A897</f>
        <v>13 CANTERBURY</v>
      </c>
      <c r="B899" t="str">
        <f>'Unformatted Trip Summary'!J897</f>
        <v>2042/43</v>
      </c>
      <c r="C899" t="str">
        <f>'Unformatted Trip Summary'!I897</f>
        <v>Motorcyclist</v>
      </c>
      <c r="D899">
        <f>'Unformatted Trip Summary'!D897</f>
        <v>29</v>
      </c>
      <c r="E899">
        <f>'Unformatted Trip Summary'!E897</f>
        <v>91</v>
      </c>
      <c r="F899" s="1">
        <f>'Unformatted Trip Summary'!F897</f>
        <v>1.4685398071</v>
      </c>
      <c r="G899" s="1">
        <f>'Unformatted Trip Summary'!G897</f>
        <v>12.231241571</v>
      </c>
      <c r="H899" s="1">
        <f>'Unformatted Trip Summary'!H897</f>
        <v>0.4400229007</v>
      </c>
    </row>
    <row r="900" spans="1:8" x14ac:dyDescent="0.2">
      <c r="A900" t="str">
        <f>'Unformatted Trip Summary'!A898</f>
        <v>13 CANTERBURY</v>
      </c>
      <c r="B900" t="str">
        <f>'Unformatted Trip Summary'!J898</f>
        <v>2012/13</v>
      </c>
      <c r="C900" t="str">
        <f>'Unformatted Trip Summary'!I898</f>
        <v>Local Train</v>
      </c>
      <c r="D900">
        <f>'Unformatted Trip Summary'!D898</f>
        <v>1</v>
      </c>
      <c r="E900">
        <f>'Unformatted Trip Summary'!E898</f>
        <v>1</v>
      </c>
      <c r="F900" s="1">
        <f>'Unformatted Trip Summary'!F898</f>
        <v>2.1901243099999999E-2</v>
      </c>
      <c r="G900" s="1">
        <f>'Unformatted Trip Summary'!G898</f>
        <v>0</v>
      </c>
      <c r="H900" s="1">
        <f>'Unformatted Trip Summary'!H898</f>
        <v>7.3004144E-3</v>
      </c>
    </row>
    <row r="901" spans="1:8" x14ac:dyDescent="0.2">
      <c r="A901" t="str">
        <f>'Unformatted Trip Summary'!A899</f>
        <v>13 CANTERBURY</v>
      </c>
      <c r="B901" t="str">
        <f>'Unformatted Trip Summary'!J899</f>
        <v>2017/18</v>
      </c>
      <c r="C901" t="str">
        <f>'Unformatted Trip Summary'!I899</f>
        <v>Local Train</v>
      </c>
      <c r="D901">
        <f>'Unformatted Trip Summary'!D899</f>
        <v>1</v>
      </c>
      <c r="E901">
        <f>'Unformatted Trip Summary'!E899</f>
        <v>1</v>
      </c>
      <c r="F901" s="1">
        <f>'Unformatted Trip Summary'!F899</f>
        <v>1.99248107E-2</v>
      </c>
      <c r="G901" s="1">
        <f>'Unformatted Trip Summary'!G899</f>
        <v>0</v>
      </c>
      <c r="H901" s="1">
        <f>'Unformatted Trip Summary'!H899</f>
        <v>6.6416035999999996E-3</v>
      </c>
    </row>
    <row r="902" spans="1:8" x14ac:dyDescent="0.2">
      <c r="A902" t="str">
        <f>'Unformatted Trip Summary'!A900</f>
        <v>13 CANTERBURY</v>
      </c>
      <c r="B902" t="str">
        <f>'Unformatted Trip Summary'!J900</f>
        <v>2022/23</v>
      </c>
      <c r="C902" t="str">
        <f>'Unformatted Trip Summary'!I900</f>
        <v>Local Train</v>
      </c>
      <c r="D902">
        <f>'Unformatted Trip Summary'!D900</f>
        <v>1</v>
      </c>
      <c r="E902">
        <f>'Unformatted Trip Summary'!E900</f>
        <v>1</v>
      </c>
      <c r="F902" s="1">
        <f>'Unformatted Trip Summary'!F900</f>
        <v>1.6459804799999998E-2</v>
      </c>
      <c r="G902" s="1">
        <f>'Unformatted Trip Summary'!G900</f>
        <v>0</v>
      </c>
      <c r="H902" s="1">
        <f>'Unformatted Trip Summary'!H900</f>
        <v>5.4866016E-3</v>
      </c>
    </row>
    <row r="903" spans="1:8" x14ac:dyDescent="0.2">
      <c r="A903" t="str">
        <f>'Unformatted Trip Summary'!A901</f>
        <v>13 CANTERBURY</v>
      </c>
      <c r="B903" t="str">
        <f>'Unformatted Trip Summary'!J901</f>
        <v>2027/28</v>
      </c>
      <c r="C903" t="str">
        <f>'Unformatted Trip Summary'!I901</f>
        <v>Local Train</v>
      </c>
      <c r="D903">
        <f>'Unformatted Trip Summary'!D901</f>
        <v>1</v>
      </c>
      <c r="E903">
        <f>'Unformatted Trip Summary'!E901</f>
        <v>1</v>
      </c>
      <c r="F903" s="1">
        <f>'Unformatted Trip Summary'!F901</f>
        <v>1.4009838300000001E-2</v>
      </c>
      <c r="G903" s="1">
        <f>'Unformatted Trip Summary'!G901</f>
        <v>0</v>
      </c>
      <c r="H903" s="1">
        <f>'Unformatted Trip Summary'!H901</f>
        <v>4.6699460999999999E-3</v>
      </c>
    </row>
    <row r="904" spans="1:8" x14ac:dyDescent="0.2">
      <c r="A904" t="str">
        <f>'Unformatted Trip Summary'!A902</f>
        <v>13 CANTERBURY</v>
      </c>
      <c r="B904" t="str">
        <f>'Unformatted Trip Summary'!J902</f>
        <v>2032/33</v>
      </c>
      <c r="C904" t="str">
        <f>'Unformatted Trip Summary'!I902</f>
        <v>Local Train</v>
      </c>
      <c r="D904">
        <f>'Unformatted Trip Summary'!D902</f>
        <v>1</v>
      </c>
      <c r="E904">
        <f>'Unformatted Trip Summary'!E902</f>
        <v>1</v>
      </c>
      <c r="F904" s="1">
        <f>'Unformatted Trip Summary'!F902</f>
        <v>1.22507378E-2</v>
      </c>
      <c r="G904" s="1">
        <f>'Unformatted Trip Summary'!G902</f>
        <v>0</v>
      </c>
      <c r="H904" s="1">
        <f>'Unformatted Trip Summary'!H902</f>
        <v>4.0835793E-3</v>
      </c>
    </row>
    <row r="905" spans="1:8" x14ac:dyDescent="0.2">
      <c r="A905" t="str">
        <f>'Unformatted Trip Summary'!A903</f>
        <v>13 CANTERBURY</v>
      </c>
      <c r="B905" t="str">
        <f>'Unformatted Trip Summary'!J903</f>
        <v>2037/38</v>
      </c>
      <c r="C905" t="str">
        <f>'Unformatted Trip Summary'!I903</f>
        <v>Local Train</v>
      </c>
      <c r="D905">
        <f>'Unformatted Trip Summary'!D903</f>
        <v>1</v>
      </c>
      <c r="E905">
        <f>'Unformatted Trip Summary'!E903</f>
        <v>1</v>
      </c>
      <c r="F905" s="1">
        <f>'Unformatted Trip Summary'!F903</f>
        <v>9.6489904999999994E-3</v>
      </c>
      <c r="G905" s="1">
        <f>'Unformatted Trip Summary'!G903</f>
        <v>0</v>
      </c>
      <c r="H905" s="1">
        <f>'Unformatted Trip Summary'!H903</f>
        <v>3.2163302E-3</v>
      </c>
    </row>
    <row r="906" spans="1:8" x14ac:dyDescent="0.2">
      <c r="A906" t="str">
        <f>'Unformatted Trip Summary'!A904</f>
        <v>13 CANTERBURY</v>
      </c>
      <c r="B906" t="str">
        <f>'Unformatted Trip Summary'!J904</f>
        <v>2042/43</v>
      </c>
      <c r="C906" t="str">
        <f>'Unformatted Trip Summary'!I904</f>
        <v>Local Train</v>
      </c>
      <c r="D906">
        <f>'Unformatted Trip Summary'!D904</f>
        <v>1</v>
      </c>
      <c r="E906">
        <f>'Unformatted Trip Summary'!E904</f>
        <v>1</v>
      </c>
      <c r="F906" s="1">
        <f>'Unformatted Trip Summary'!F904</f>
        <v>7.4421276E-3</v>
      </c>
      <c r="G906" s="1">
        <f>'Unformatted Trip Summary'!G904</f>
        <v>0</v>
      </c>
      <c r="H906" s="1">
        <f>'Unformatted Trip Summary'!H904</f>
        <v>2.4807091999999998E-3</v>
      </c>
    </row>
    <row r="907" spans="1:8" x14ac:dyDescent="0.2">
      <c r="A907" t="str">
        <f>'Unformatted Trip Summary'!A905</f>
        <v>13 CANTERBURY</v>
      </c>
      <c r="B907" t="str">
        <f>'Unformatted Trip Summary'!J905</f>
        <v>2012/13</v>
      </c>
      <c r="C907" t="str">
        <f>'Unformatted Trip Summary'!I905</f>
        <v>Local Bus</v>
      </c>
      <c r="D907">
        <f>'Unformatted Trip Summary'!D905</f>
        <v>384</v>
      </c>
      <c r="E907">
        <f>'Unformatted Trip Summary'!E905</f>
        <v>1120</v>
      </c>
      <c r="F907" s="1">
        <f>'Unformatted Trip Summary'!F905</f>
        <v>20.502079716000001</v>
      </c>
      <c r="G907" s="1">
        <f>'Unformatted Trip Summary'!G905</f>
        <v>174.53993166999999</v>
      </c>
      <c r="H907" s="1">
        <f>'Unformatted Trip Summary'!H905</f>
        <v>7.9805750329</v>
      </c>
    </row>
    <row r="908" spans="1:8" x14ac:dyDescent="0.2">
      <c r="A908" t="str">
        <f>'Unformatted Trip Summary'!A906</f>
        <v>13 CANTERBURY</v>
      </c>
      <c r="B908" t="str">
        <f>'Unformatted Trip Summary'!J906</f>
        <v>2017/18</v>
      </c>
      <c r="C908" t="str">
        <f>'Unformatted Trip Summary'!I906</f>
        <v>Local Bus</v>
      </c>
      <c r="D908">
        <f>'Unformatted Trip Summary'!D906</f>
        <v>384</v>
      </c>
      <c r="E908">
        <f>'Unformatted Trip Summary'!E906</f>
        <v>1120</v>
      </c>
      <c r="F908" s="1">
        <f>'Unformatted Trip Summary'!F906</f>
        <v>18.950914411999999</v>
      </c>
      <c r="G908" s="1">
        <f>'Unformatted Trip Summary'!G906</f>
        <v>161.08250000999999</v>
      </c>
      <c r="H908" s="1">
        <f>'Unformatted Trip Summary'!H906</f>
        <v>7.3627264895</v>
      </c>
    </row>
    <row r="909" spans="1:8" x14ac:dyDescent="0.2">
      <c r="A909" t="str">
        <f>'Unformatted Trip Summary'!A907</f>
        <v>13 CANTERBURY</v>
      </c>
      <c r="B909" t="str">
        <f>'Unformatted Trip Summary'!J907</f>
        <v>2022/23</v>
      </c>
      <c r="C909" t="str">
        <f>'Unformatted Trip Summary'!I907</f>
        <v>Local Bus</v>
      </c>
      <c r="D909">
        <f>'Unformatted Trip Summary'!D907</f>
        <v>384</v>
      </c>
      <c r="E909">
        <f>'Unformatted Trip Summary'!E907</f>
        <v>1120</v>
      </c>
      <c r="F909" s="1">
        <f>'Unformatted Trip Summary'!F907</f>
        <v>18.604709035999999</v>
      </c>
      <c r="G909" s="1">
        <f>'Unformatted Trip Summary'!G907</f>
        <v>157.95421587999999</v>
      </c>
      <c r="H909" s="1">
        <f>'Unformatted Trip Summary'!H907</f>
        <v>7.2313939413000003</v>
      </c>
    </row>
    <row r="910" spans="1:8" x14ac:dyDescent="0.2">
      <c r="A910" t="str">
        <f>'Unformatted Trip Summary'!A908</f>
        <v>13 CANTERBURY</v>
      </c>
      <c r="B910" t="str">
        <f>'Unformatted Trip Summary'!J908</f>
        <v>2027/28</v>
      </c>
      <c r="C910" t="str">
        <f>'Unformatted Trip Summary'!I908</f>
        <v>Local Bus</v>
      </c>
      <c r="D910">
        <f>'Unformatted Trip Summary'!D908</f>
        <v>384</v>
      </c>
      <c r="E910">
        <f>'Unformatted Trip Summary'!E908</f>
        <v>1120</v>
      </c>
      <c r="F910" s="1">
        <f>'Unformatted Trip Summary'!F908</f>
        <v>17.364226896000002</v>
      </c>
      <c r="G910" s="1">
        <f>'Unformatted Trip Summary'!G908</f>
        <v>149.70069903999999</v>
      </c>
      <c r="H910" s="1">
        <f>'Unformatted Trip Summary'!H908</f>
        <v>6.7886232322</v>
      </c>
    </row>
    <row r="911" spans="1:8" x14ac:dyDescent="0.2">
      <c r="A911" t="str">
        <f>'Unformatted Trip Summary'!A909</f>
        <v>13 CANTERBURY</v>
      </c>
      <c r="B911" t="str">
        <f>'Unformatted Trip Summary'!J909</f>
        <v>2032/33</v>
      </c>
      <c r="C911" t="str">
        <f>'Unformatted Trip Summary'!I909</f>
        <v>Local Bus</v>
      </c>
      <c r="D911">
        <f>'Unformatted Trip Summary'!D909</f>
        <v>384</v>
      </c>
      <c r="E911">
        <f>'Unformatted Trip Summary'!E909</f>
        <v>1120</v>
      </c>
      <c r="F911" s="1">
        <f>'Unformatted Trip Summary'!F909</f>
        <v>16.073011381000001</v>
      </c>
      <c r="G911" s="1">
        <f>'Unformatted Trip Summary'!G909</f>
        <v>140.45897252</v>
      </c>
      <c r="H911" s="1">
        <f>'Unformatted Trip Summary'!H909</f>
        <v>6.3254628748000004</v>
      </c>
    </row>
    <row r="912" spans="1:8" x14ac:dyDescent="0.2">
      <c r="A912" t="str">
        <f>'Unformatted Trip Summary'!A910</f>
        <v>13 CANTERBURY</v>
      </c>
      <c r="B912" t="str">
        <f>'Unformatted Trip Summary'!J910</f>
        <v>2037/38</v>
      </c>
      <c r="C912" t="str">
        <f>'Unformatted Trip Summary'!I910</f>
        <v>Local Bus</v>
      </c>
      <c r="D912">
        <f>'Unformatted Trip Summary'!D910</f>
        <v>384</v>
      </c>
      <c r="E912">
        <f>'Unformatted Trip Summary'!E910</f>
        <v>1120</v>
      </c>
      <c r="F912" s="1">
        <f>'Unformatted Trip Summary'!F910</f>
        <v>15.092949816999999</v>
      </c>
      <c r="G912" s="1">
        <f>'Unformatted Trip Summary'!G910</f>
        <v>133.06017739000001</v>
      </c>
      <c r="H912" s="1">
        <f>'Unformatted Trip Summary'!H910</f>
        <v>5.9750273263000002</v>
      </c>
    </row>
    <row r="913" spans="1:8" x14ac:dyDescent="0.2">
      <c r="A913" t="str">
        <f>'Unformatted Trip Summary'!A911</f>
        <v>13 CANTERBURY</v>
      </c>
      <c r="B913" t="str">
        <f>'Unformatted Trip Summary'!J911</f>
        <v>2042/43</v>
      </c>
      <c r="C913" t="str">
        <f>'Unformatted Trip Summary'!I911</f>
        <v>Local Bus</v>
      </c>
      <c r="D913">
        <f>'Unformatted Trip Summary'!D911</f>
        <v>384</v>
      </c>
      <c r="E913">
        <f>'Unformatted Trip Summary'!E911</f>
        <v>1120</v>
      </c>
      <c r="F913" s="1">
        <f>'Unformatted Trip Summary'!F911</f>
        <v>14.25533604</v>
      </c>
      <c r="G913" s="1">
        <f>'Unformatted Trip Summary'!G911</f>
        <v>126.5397564</v>
      </c>
      <c r="H913" s="1">
        <f>'Unformatted Trip Summary'!H911</f>
        <v>5.6727710079999998</v>
      </c>
    </row>
    <row r="914" spans="1:8" x14ac:dyDescent="0.2">
      <c r="A914" t="str">
        <f>'Unformatted Trip Summary'!A912</f>
        <v>13 CANTERBURY</v>
      </c>
      <c r="B914" t="str">
        <f>'Unformatted Trip Summary'!J912</f>
        <v>2012/13</v>
      </c>
      <c r="C914" t="str">
        <f>'Unformatted Trip Summary'!I912</f>
        <v>Other Household Travel</v>
      </c>
      <c r="D914">
        <f>'Unformatted Trip Summary'!D912</f>
        <v>31</v>
      </c>
      <c r="E914">
        <f>'Unformatted Trip Summary'!E912</f>
        <v>81</v>
      </c>
      <c r="F914" s="1">
        <f>'Unformatted Trip Summary'!F912</f>
        <v>1.5386198845000001</v>
      </c>
      <c r="G914" s="1">
        <f>'Unformatted Trip Summary'!G912</f>
        <v>0</v>
      </c>
      <c r="H914" s="1">
        <f>'Unformatted Trip Summary'!H912</f>
        <v>0.91635513570000005</v>
      </c>
    </row>
    <row r="915" spans="1:8" x14ac:dyDescent="0.2">
      <c r="A915" t="str">
        <f>'Unformatted Trip Summary'!A913</f>
        <v>13 CANTERBURY</v>
      </c>
      <c r="B915" t="str">
        <f>'Unformatted Trip Summary'!J913</f>
        <v>2017/18</v>
      </c>
      <c r="C915" t="str">
        <f>'Unformatted Trip Summary'!I913</f>
        <v>Other Household Travel</v>
      </c>
      <c r="D915">
        <f>'Unformatted Trip Summary'!D913</f>
        <v>31</v>
      </c>
      <c r="E915">
        <f>'Unformatted Trip Summary'!E913</f>
        <v>81</v>
      </c>
      <c r="F915" s="1">
        <f>'Unformatted Trip Summary'!F913</f>
        <v>1.5795513725000001</v>
      </c>
      <c r="G915" s="1">
        <f>'Unformatted Trip Summary'!G913</f>
        <v>0</v>
      </c>
      <c r="H915" s="1">
        <f>'Unformatted Trip Summary'!H913</f>
        <v>0.91598638369999996</v>
      </c>
    </row>
    <row r="916" spans="1:8" x14ac:dyDescent="0.2">
      <c r="A916" t="str">
        <f>'Unformatted Trip Summary'!A914</f>
        <v>13 CANTERBURY</v>
      </c>
      <c r="B916" t="str">
        <f>'Unformatted Trip Summary'!J914</f>
        <v>2022/23</v>
      </c>
      <c r="C916" t="str">
        <f>'Unformatted Trip Summary'!I914</f>
        <v>Other Household Travel</v>
      </c>
      <c r="D916">
        <f>'Unformatted Trip Summary'!D914</f>
        <v>31</v>
      </c>
      <c r="E916">
        <f>'Unformatted Trip Summary'!E914</f>
        <v>81</v>
      </c>
      <c r="F916" s="1">
        <f>'Unformatted Trip Summary'!F914</f>
        <v>1.7706479574</v>
      </c>
      <c r="G916" s="1">
        <f>'Unformatted Trip Summary'!G914</f>
        <v>0</v>
      </c>
      <c r="H916" s="1">
        <f>'Unformatted Trip Summary'!H914</f>
        <v>1.0163061402</v>
      </c>
    </row>
    <row r="917" spans="1:8" x14ac:dyDescent="0.2">
      <c r="A917" t="str">
        <f>'Unformatted Trip Summary'!A915</f>
        <v>13 CANTERBURY</v>
      </c>
      <c r="B917" t="str">
        <f>'Unformatted Trip Summary'!J915</f>
        <v>2027/28</v>
      </c>
      <c r="C917" t="str">
        <f>'Unformatted Trip Summary'!I915</f>
        <v>Other Household Travel</v>
      </c>
      <c r="D917">
        <f>'Unformatted Trip Summary'!D915</f>
        <v>31</v>
      </c>
      <c r="E917">
        <f>'Unformatted Trip Summary'!E915</f>
        <v>81</v>
      </c>
      <c r="F917" s="1">
        <f>'Unformatted Trip Summary'!F915</f>
        <v>1.8259119762</v>
      </c>
      <c r="G917" s="1">
        <f>'Unformatted Trip Summary'!G915</f>
        <v>0</v>
      </c>
      <c r="H917" s="1">
        <f>'Unformatted Trip Summary'!H915</f>
        <v>1.0672157019999999</v>
      </c>
    </row>
    <row r="918" spans="1:8" x14ac:dyDescent="0.2">
      <c r="A918" t="str">
        <f>'Unformatted Trip Summary'!A916</f>
        <v>13 CANTERBURY</v>
      </c>
      <c r="B918" t="str">
        <f>'Unformatted Trip Summary'!J916</f>
        <v>2032/33</v>
      </c>
      <c r="C918" t="str">
        <f>'Unformatted Trip Summary'!I916</f>
        <v>Other Household Travel</v>
      </c>
      <c r="D918">
        <f>'Unformatted Trip Summary'!D916</f>
        <v>31</v>
      </c>
      <c r="E918">
        <f>'Unformatted Trip Summary'!E916</f>
        <v>81</v>
      </c>
      <c r="F918" s="1">
        <f>'Unformatted Trip Summary'!F916</f>
        <v>1.8011753214999999</v>
      </c>
      <c r="G918" s="1">
        <f>'Unformatted Trip Summary'!G916</f>
        <v>0</v>
      </c>
      <c r="H918" s="1">
        <f>'Unformatted Trip Summary'!H916</f>
        <v>1.0775690252000001</v>
      </c>
    </row>
    <row r="919" spans="1:8" x14ac:dyDescent="0.2">
      <c r="A919" t="str">
        <f>'Unformatted Trip Summary'!A917</f>
        <v>13 CANTERBURY</v>
      </c>
      <c r="B919" t="str">
        <f>'Unformatted Trip Summary'!J917</f>
        <v>2037/38</v>
      </c>
      <c r="C919" t="str">
        <f>'Unformatted Trip Summary'!I917</f>
        <v>Other Household Travel</v>
      </c>
      <c r="D919">
        <f>'Unformatted Trip Summary'!D917</f>
        <v>31</v>
      </c>
      <c r="E919">
        <f>'Unformatted Trip Summary'!E917</f>
        <v>81</v>
      </c>
      <c r="F919" s="1">
        <f>'Unformatted Trip Summary'!F917</f>
        <v>1.6973016487000001</v>
      </c>
      <c r="G919" s="1">
        <f>'Unformatted Trip Summary'!G917</f>
        <v>0</v>
      </c>
      <c r="H919" s="1">
        <f>'Unformatted Trip Summary'!H917</f>
        <v>1.0455025004</v>
      </c>
    </row>
    <row r="920" spans="1:8" x14ac:dyDescent="0.2">
      <c r="A920" t="str">
        <f>'Unformatted Trip Summary'!A918</f>
        <v>13 CANTERBURY</v>
      </c>
      <c r="B920" t="str">
        <f>'Unformatted Trip Summary'!J918</f>
        <v>2042/43</v>
      </c>
      <c r="C920" t="str">
        <f>'Unformatted Trip Summary'!I918</f>
        <v>Other Household Travel</v>
      </c>
      <c r="D920">
        <f>'Unformatted Trip Summary'!D918</f>
        <v>31</v>
      </c>
      <c r="E920">
        <f>'Unformatted Trip Summary'!E918</f>
        <v>81</v>
      </c>
      <c r="F920" s="1">
        <f>'Unformatted Trip Summary'!F918</f>
        <v>1.5291058887</v>
      </c>
      <c r="G920" s="1">
        <f>'Unformatted Trip Summary'!G918</f>
        <v>0</v>
      </c>
      <c r="H920" s="1">
        <f>'Unformatted Trip Summary'!H918</f>
        <v>0.98662383840000001</v>
      </c>
    </row>
    <row r="921" spans="1:8" x14ac:dyDescent="0.2">
      <c r="A921" t="str">
        <f>'Unformatted Trip Summary'!A919</f>
        <v>13 CANTERBURY</v>
      </c>
      <c r="B921" t="str">
        <f>'Unformatted Trip Summary'!J919</f>
        <v>2012/13</v>
      </c>
      <c r="C921" t="str">
        <f>'Unformatted Trip Summary'!I919</f>
        <v>Air/Non-Local PT</v>
      </c>
      <c r="D921">
        <f>'Unformatted Trip Summary'!D919</f>
        <v>99</v>
      </c>
      <c r="E921">
        <f>'Unformatted Trip Summary'!E919</f>
        <v>124</v>
      </c>
      <c r="F921" s="1">
        <f>'Unformatted Trip Summary'!F919</f>
        <v>2.4822614922000001</v>
      </c>
      <c r="G921" s="1">
        <f>'Unformatted Trip Summary'!G919</f>
        <v>66.176348546</v>
      </c>
      <c r="H921" s="1">
        <f>'Unformatted Trip Summary'!H919</f>
        <v>3.9785271960999999</v>
      </c>
    </row>
    <row r="922" spans="1:8" x14ac:dyDescent="0.2">
      <c r="A922" t="str">
        <f>'Unformatted Trip Summary'!A920</f>
        <v>13 CANTERBURY</v>
      </c>
      <c r="B922" t="str">
        <f>'Unformatted Trip Summary'!J920</f>
        <v>2017/18</v>
      </c>
      <c r="C922" t="str">
        <f>'Unformatted Trip Summary'!I920</f>
        <v>Air/Non-Local PT</v>
      </c>
      <c r="D922">
        <f>'Unformatted Trip Summary'!D920</f>
        <v>99</v>
      </c>
      <c r="E922">
        <f>'Unformatted Trip Summary'!E920</f>
        <v>124</v>
      </c>
      <c r="F922" s="1">
        <f>'Unformatted Trip Summary'!F920</f>
        <v>2.6366427210999999</v>
      </c>
      <c r="G922" s="1">
        <f>'Unformatted Trip Summary'!G920</f>
        <v>66.896112105</v>
      </c>
      <c r="H922" s="1">
        <f>'Unformatted Trip Summary'!H920</f>
        <v>4.3669050655000001</v>
      </c>
    </row>
    <row r="923" spans="1:8" x14ac:dyDescent="0.2">
      <c r="A923" t="str">
        <f>'Unformatted Trip Summary'!A921</f>
        <v>13 CANTERBURY</v>
      </c>
      <c r="B923" t="str">
        <f>'Unformatted Trip Summary'!J921</f>
        <v>2022/23</v>
      </c>
      <c r="C923" t="str">
        <f>'Unformatted Trip Summary'!I921</f>
        <v>Air/Non-Local PT</v>
      </c>
      <c r="D923">
        <f>'Unformatted Trip Summary'!D921</f>
        <v>99</v>
      </c>
      <c r="E923">
        <f>'Unformatted Trip Summary'!E921</f>
        <v>124</v>
      </c>
      <c r="F923" s="1">
        <f>'Unformatted Trip Summary'!F921</f>
        <v>2.921358997</v>
      </c>
      <c r="G923" s="1">
        <f>'Unformatted Trip Summary'!G921</f>
        <v>69.411804011000001</v>
      </c>
      <c r="H923" s="1">
        <f>'Unformatted Trip Summary'!H921</f>
        <v>4.9090832212000004</v>
      </c>
    </row>
    <row r="924" spans="1:8" x14ac:dyDescent="0.2">
      <c r="A924" t="str">
        <f>'Unformatted Trip Summary'!A922</f>
        <v>13 CANTERBURY</v>
      </c>
      <c r="B924" t="str">
        <f>'Unformatted Trip Summary'!J922</f>
        <v>2027/28</v>
      </c>
      <c r="C924" t="str">
        <f>'Unformatted Trip Summary'!I922</f>
        <v>Air/Non-Local PT</v>
      </c>
      <c r="D924">
        <f>'Unformatted Trip Summary'!D922</f>
        <v>99</v>
      </c>
      <c r="E924">
        <f>'Unformatted Trip Summary'!E922</f>
        <v>124</v>
      </c>
      <c r="F924" s="1">
        <f>'Unformatted Trip Summary'!F922</f>
        <v>3.0983895424000001</v>
      </c>
      <c r="G924" s="1">
        <f>'Unformatted Trip Summary'!G922</f>
        <v>73.804358116000003</v>
      </c>
      <c r="H924" s="1">
        <f>'Unformatted Trip Summary'!H922</f>
        <v>5.2909642734000002</v>
      </c>
    </row>
    <row r="925" spans="1:8" x14ac:dyDescent="0.2">
      <c r="A925" t="str">
        <f>'Unformatted Trip Summary'!A923</f>
        <v>13 CANTERBURY</v>
      </c>
      <c r="B925" t="str">
        <f>'Unformatted Trip Summary'!J923</f>
        <v>2032/33</v>
      </c>
      <c r="C925" t="str">
        <f>'Unformatted Trip Summary'!I923</f>
        <v>Air/Non-Local PT</v>
      </c>
      <c r="D925">
        <f>'Unformatted Trip Summary'!D923</f>
        <v>99</v>
      </c>
      <c r="E925">
        <f>'Unformatted Trip Summary'!E923</f>
        <v>124</v>
      </c>
      <c r="F925" s="1">
        <f>'Unformatted Trip Summary'!F923</f>
        <v>3.2614293404999999</v>
      </c>
      <c r="G925" s="1">
        <f>'Unformatted Trip Summary'!G923</f>
        <v>80.899806182999995</v>
      </c>
      <c r="H925" s="1">
        <f>'Unformatted Trip Summary'!H923</f>
        <v>5.6719294713000004</v>
      </c>
    </row>
    <row r="926" spans="1:8" x14ac:dyDescent="0.2">
      <c r="A926" t="str">
        <f>'Unformatted Trip Summary'!A924</f>
        <v>13 CANTERBURY</v>
      </c>
      <c r="B926" t="str">
        <f>'Unformatted Trip Summary'!J924</f>
        <v>2037/38</v>
      </c>
      <c r="C926" t="str">
        <f>'Unformatted Trip Summary'!I924</f>
        <v>Air/Non-Local PT</v>
      </c>
      <c r="D926">
        <f>'Unformatted Trip Summary'!D924</f>
        <v>99</v>
      </c>
      <c r="E926">
        <f>'Unformatted Trip Summary'!E924</f>
        <v>124</v>
      </c>
      <c r="F926" s="1">
        <f>'Unformatted Trip Summary'!F924</f>
        <v>3.3569232265000002</v>
      </c>
      <c r="G926" s="1">
        <f>'Unformatted Trip Summary'!G924</f>
        <v>84.583689781999993</v>
      </c>
      <c r="H926" s="1">
        <f>'Unformatted Trip Summary'!H924</f>
        <v>5.8303875609000002</v>
      </c>
    </row>
    <row r="927" spans="1:8" x14ac:dyDescent="0.2">
      <c r="A927" t="str">
        <f>'Unformatted Trip Summary'!A925</f>
        <v>13 CANTERBURY</v>
      </c>
      <c r="B927" t="str">
        <f>'Unformatted Trip Summary'!J925</f>
        <v>2042/43</v>
      </c>
      <c r="C927" t="str">
        <f>'Unformatted Trip Summary'!I925</f>
        <v>Air/Non-Local PT</v>
      </c>
      <c r="D927">
        <f>'Unformatted Trip Summary'!D925</f>
        <v>99</v>
      </c>
      <c r="E927">
        <f>'Unformatted Trip Summary'!E925</f>
        <v>124</v>
      </c>
      <c r="F927" s="1">
        <f>'Unformatted Trip Summary'!F925</f>
        <v>3.4405027591000001</v>
      </c>
      <c r="G927" s="1">
        <f>'Unformatted Trip Summary'!G925</f>
        <v>87.638048335999997</v>
      </c>
      <c r="H927" s="1">
        <f>'Unformatted Trip Summary'!H925</f>
        <v>5.9554710280999998</v>
      </c>
    </row>
    <row r="928" spans="1:8" x14ac:dyDescent="0.2">
      <c r="A928" t="str">
        <f>'Unformatted Trip Summary'!A926</f>
        <v>13 CANTERBURY</v>
      </c>
      <c r="B928" t="str">
        <f>'Unformatted Trip Summary'!J926</f>
        <v>2012/13</v>
      </c>
      <c r="C928" t="str">
        <f>'Unformatted Trip Summary'!I926</f>
        <v>Non-Household Travel</v>
      </c>
      <c r="D928">
        <f>'Unformatted Trip Summary'!D926</f>
        <v>113</v>
      </c>
      <c r="E928">
        <f>'Unformatted Trip Summary'!E926</f>
        <v>551</v>
      </c>
      <c r="F928" s="1">
        <f>'Unformatted Trip Summary'!F926</f>
        <v>9.2459779483000002</v>
      </c>
      <c r="G928" s="1">
        <f>'Unformatted Trip Summary'!G926</f>
        <v>114.47945472000001</v>
      </c>
      <c r="H928" s="1">
        <f>'Unformatted Trip Summary'!H926</f>
        <v>3.3743770355999998</v>
      </c>
    </row>
    <row r="929" spans="1:8" x14ac:dyDescent="0.2">
      <c r="A929" t="str">
        <f>'Unformatted Trip Summary'!A927</f>
        <v>13 CANTERBURY</v>
      </c>
      <c r="B929" t="str">
        <f>'Unformatted Trip Summary'!J927</f>
        <v>2017/18</v>
      </c>
      <c r="C929" t="str">
        <f>'Unformatted Trip Summary'!I927</f>
        <v>Non-Household Travel</v>
      </c>
      <c r="D929">
        <f>'Unformatted Trip Summary'!D927</f>
        <v>113</v>
      </c>
      <c r="E929">
        <f>'Unformatted Trip Summary'!E927</f>
        <v>551</v>
      </c>
      <c r="F929" s="1">
        <f>'Unformatted Trip Summary'!F927</f>
        <v>9.3696527052</v>
      </c>
      <c r="G929" s="1">
        <f>'Unformatted Trip Summary'!G927</f>
        <v>118.59818945000001</v>
      </c>
      <c r="H929" s="1">
        <f>'Unformatted Trip Summary'!H927</f>
        <v>3.5151121293999998</v>
      </c>
    </row>
    <row r="930" spans="1:8" x14ac:dyDescent="0.2">
      <c r="A930" t="str">
        <f>'Unformatted Trip Summary'!A928</f>
        <v>13 CANTERBURY</v>
      </c>
      <c r="B930" t="str">
        <f>'Unformatted Trip Summary'!J928</f>
        <v>2022/23</v>
      </c>
      <c r="C930" t="str">
        <f>'Unformatted Trip Summary'!I928</f>
        <v>Non-Household Travel</v>
      </c>
      <c r="D930">
        <f>'Unformatted Trip Summary'!D928</f>
        <v>113</v>
      </c>
      <c r="E930">
        <f>'Unformatted Trip Summary'!E928</f>
        <v>551</v>
      </c>
      <c r="F930" s="1">
        <f>'Unformatted Trip Summary'!F928</f>
        <v>9.9195921618000007</v>
      </c>
      <c r="G930" s="1">
        <f>'Unformatted Trip Summary'!G928</f>
        <v>128.00311092999999</v>
      </c>
      <c r="H930" s="1">
        <f>'Unformatted Trip Summary'!H928</f>
        <v>3.8158654546999999</v>
      </c>
    </row>
    <row r="931" spans="1:8" x14ac:dyDescent="0.2">
      <c r="A931" t="str">
        <f>'Unformatted Trip Summary'!A929</f>
        <v>13 CANTERBURY</v>
      </c>
      <c r="B931" t="str">
        <f>'Unformatted Trip Summary'!J929</f>
        <v>2027/28</v>
      </c>
      <c r="C931" t="str">
        <f>'Unformatted Trip Summary'!I929</f>
        <v>Non-Household Travel</v>
      </c>
      <c r="D931">
        <f>'Unformatted Trip Summary'!D929</f>
        <v>113</v>
      </c>
      <c r="E931">
        <f>'Unformatted Trip Summary'!E929</f>
        <v>551</v>
      </c>
      <c r="F931" s="1">
        <f>'Unformatted Trip Summary'!F929</f>
        <v>10.167972597</v>
      </c>
      <c r="G931" s="1">
        <f>'Unformatted Trip Summary'!G929</f>
        <v>134.22637900999999</v>
      </c>
      <c r="H931" s="1">
        <f>'Unformatted Trip Summary'!H929</f>
        <v>4.0085094402000001</v>
      </c>
    </row>
    <row r="932" spans="1:8" x14ac:dyDescent="0.2">
      <c r="A932" t="str">
        <f>'Unformatted Trip Summary'!A930</f>
        <v>13 CANTERBURY</v>
      </c>
      <c r="B932" t="str">
        <f>'Unformatted Trip Summary'!J930</f>
        <v>2032/33</v>
      </c>
      <c r="C932" t="str">
        <f>'Unformatted Trip Summary'!I930</f>
        <v>Non-Household Travel</v>
      </c>
      <c r="D932">
        <f>'Unformatted Trip Summary'!D930</f>
        <v>113</v>
      </c>
      <c r="E932">
        <f>'Unformatted Trip Summary'!E930</f>
        <v>551</v>
      </c>
      <c r="F932" s="1">
        <f>'Unformatted Trip Summary'!F930</f>
        <v>10.531856654</v>
      </c>
      <c r="G932" s="1">
        <f>'Unformatted Trip Summary'!G930</f>
        <v>140.23360414999999</v>
      </c>
      <c r="H932" s="1">
        <f>'Unformatted Trip Summary'!H930</f>
        <v>4.2154899793</v>
      </c>
    </row>
    <row r="933" spans="1:8" x14ac:dyDescent="0.2">
      <c r="A933" t="str">
        <f>'Unformatted Trip Summary'!A931</f>
        <v>13 CANTERBURY</v>
      </c>
      <c r="B933" t="str">
        <f>'Unformatted Trip Summary'!J931</f>
        <v>2037/38</v>
      </c>
      <c r="C933" t="str">
        <f>'Unformatted Trip Summary'!I931</f>
        <v>Non-Household Travel</v>
      </c>
      <c r="D933">
        <f>'Unformatted Trip Summary'!D931</f>
        <v>113</v>
      </c>
      <c r="E933">
        <f>'Unformatted Trip Summary'!E931</f>
        <v>551</v>
      </c>
      <c r="F933" s="1">
        <f>'Unformatted Trip Summary'!F931</f>
        <v>10.937415054000001</v>
      </c>
      <c r="G933" s="1">
        <f>'Unformatted Trip Summary'!G931</f>
        <v>143.83106004000001</v>
      </c>
      <c r="H933" s="1">
        <f>'Unformatted Trip Summary'!H931</f>
        <v>4.3405341289999999</v>
      </c>
    </row>
    <row r="934" spans="1:8" x14ac:dyDescent="0.2">
      <c r="A934" t="str">
        <f>'Unformatted Trip Summary'!A932</f>
        <v>13 CANTERBURY</v>
      </c>
      <c r="B934" t="str">
        <f>'Unformatted Trip Summary'!J932</f>
        <v>2042/43</v>
      </c>
      <c r="C934" t="str">
        <f>'Unformatted Trip Summary'!I932</f>
        <v>Non-Household Travel</v>
      </c>
      <c r="D934">
        <f>'Unformatted Trip Summary'!D932</f>
        <v>113</v>
      </c>
      <c r="E934">
        <f>'Unformatted Trip Summary'!E932</f>
        <v>551</v>
      </c>
      <c r="F934" s="1">
        <f>'Unformatted Trip Summary'!F932</f>
        <v>11.359577198</v>
      </c>
      <c r="G934" s="1">
        <f>'Unformatted Trip Summary'!G932</f>
        <v>147.29362555</v>
      </c>
      <c r="H934" s="1">
        <f>'Unformatted Trip Summary'!H932</f>
        <v>4.4599050046000004</v>
      </c>
    </row>
    <row r="935" spans="1:8" x14ac:dyDescent="0.2">
      <c r="A935" t="str">
        <f>'Unformatted Trip Summary'!A933</f>
        <v>14 OTAGO</v>
      </c>
      <c r="B935" t="str">
        <f>'Unformatted Trip Summary'!J933</f>
        <v>2012/13</v>
      </c>
      <c r="C935" t="str">
        <f>'Unformatted Trip Summary'!I933</f>
        <v>Pedestrian</v>
      </c>
      <c r="D935">
        <f>'Unformatted Trip Summary'!D933</f>
        <v>545</v>
      </c>
      <c r="E935">
        <f>'Unformatted Trip Summary'!E933</f>
        <v>2150</v>
      </c>
      <c r="F935" s="1">
        <f>'Unformatted Trip Summary'!F933</f>
        <v>58.261736425999999</v>
      </c>
      <c r="G935" s="1">
        <f>'Unformatted Trip Summary'!G933</f>
        <v>45.829100335</v>
      </c>
      <c r="H935" s="1">
        <f>'Unformatted Trip Summary'!H933</f>
        <v>11.651603939999999</v>
      </c>
    </row>
    <row r="936" spans="1:8" x14ac:dyDescent="0.2">
      <c r="A936" t="str">
        <f>'Unformatted Trip Summary'!A934</f>
        <v>14 OTAGO</v>
      </c>
      <c r="B936" t="str">
        <f>'Unformatted Trip Summary'!J934</f>
        <v>2017/18</v>
      </c>
      <c r="C936" t="str">
        <f>'Unformatted Trip Summary'!I934</f>
        <v>Pedestrian</v>
      </c>
      <c r="D936">
        <f>'Unformatted Trip Summary'!D934</f>
        <v>545</v>
      </c>
      <c r="E936">
        <f>'Unformatted Trip Summary'!E934</f>
        <v>2150</v>
      </c>
      <c r="F936" s="1">
        <f>'Unformatted Trip Summary'!F934</f>
        <v>54.287146602</v>
      </c>
      <c r="G936" s="1">
        <f>'Unformatted Trip Summary'!G934</f>
        <v>42.279196642999999</v>
      </c>
      <c r="H936" s="1">
        <f>'Unformatted Trip Summary'!H934</f>
        <v>10.937242764000001</v>
      </c>
    </row>
    <row r="937" spans="1:8" x14ac:dyDescent="0.2">
      <c r="A937" t="str">
        <f>'Unformatted Trip Summary'!A935</f>
        <v>14 OTAGO</v>
      </c>
      <c r="B937" t="str">
        <f>'Unformatted Trip Summary'!J935</f>
        <v>2022/23</v>
      </c>
      <c r="C937" t="str">
        <f>'Unformatted Trip Summary'!I935</f>
        <v>Pedestrian</v>
      </c>
      <c r="D937">
        <f>'Unformatted Trip Summary'!D935</f>
        <v>545</v>
      </c>
      <c r="E937">
        <f>'Unformatted Trip Summary'!E935</f>
        <v>2150</v>
      </c>
      <c r="F937" s="1">
        <f>'Unformatted Trip Summary'!F935</f>
        <v>54.728982379000001</v>
      </c>
      <c r="G937" s="1">
        <f>'Unformatted Trip Summary'!G935</f>
        <v>42.279293553000002</v>
      </c>
      <c r="H937" s="1">
        <f>'Unformatted Trip Summary'!H935</f>
        <v>11.112111855</v>
      </c>
    </row>
    <row r="938" spans="1:8" x14ac:dyDescent="0.2">
      <c r="A938" t="str">
        <f>'Unformatted Trip Summary'!A936</f>
        <v>14 OTAGO</v>
      </c>
      <c r="B938" t="str">
        <f>'Unformatted Trip Summary'!J936</f>
        <v>2027/28</v>
      </c>
      <c r="C938" t="str">
        <f>'Unformatted Trip Summary'!I936</f>
        <v>Pedestrian</v>
      </c>
      <c r="D938">
        <f>'Unformatted Trip Summary'!D936</f>
        <v>545</v>
      </c>
      <c r="E938">
        <f>'Unformatted Trip Summary'!E936</f>
        <v>2150</v>
      </c>
      <c r="F938" s="1">
        <f>'Unformatted Trip Summary'!F936</f>
        <v>52.528809662999997</v>
      </c>
      <c r="G938" s="1">
        <f>'Unformatted Trip Summary'!G936</f>
        <v>40.345203703000003</v>
      </c>
      <c r="H938" s="1">
        <f>'Unformatted Trip Summary'!H936</f>
        <v>10.789124656</v>
      </c>
    </row>
    <row r="939" spans="1:8" x14ac:dyDescent="0.2">
      <c r="A939" t="str">
        <f>'Unformatted Trip Summary'!A937</f>
        <v>14 OTAGO</v>
      </c>
      <c r="B939" t="str">
        <f>'Unformatted Trip Summary'!J937</f>
        <v>2032/33</v>
      </c>
      <c r="C939" t="str">
        <f>'Unformatted Trip Summary'!I937</f>
        <v>Pedestrian</v>
      </c>
      <c r="D939">
        <f>'Unformatted Trip Summary'!D937</f>
        <v>545</v>
      </c>
      <c r="E939">
        <f>'Unformatted Trip Summary'!E937</f>
        <v>2150</v>
      </c>
      <c r="F939" s="1">
        <f>'Unformatted Trip Summary'!F937</f>
        <v>50.579572689999999</v>
      </c>
      <c r="G939" s="1">
        <f>'Unformatted Trip Summary'!G937</f>
        <v>38.686542922999998</v>
      </c>
      <c r="H939" s="1">
        <f>'Unformatted Trip Summary'!H937</f>
        <v>10.486888782999999</v>
      </c>
    </row>
    <row r="940" spans="1:8" x14ac:dyDescent="0.2">
      <c r="A940" t="str">
        <f>'Unformatted Trip Summary'!A938</f>
        <v>14 OTAGO</v>
      </c>
      <c r="B940" t="str">
        <f>'Unformatted Trip Summary'!J938</f>
        <v>2037/38</v>
      </c>
      <c r="C940" t="str">
        <f>'Unformatted Trip Summary'!I938</f>
        <v>Pedestrian</v>
      </c>
      <c r="D940">
        <f>'Unformatted Trip Summary'!D938</f>
        <v>545</v>
      </c>
      <c r="E940">
        <f>'Unformatted Trip Summary'!E938</f>
        <v>2150</v>
      </c>
      <c r="F940" s="1">
        <f>'Unformatted Trip Summary'!F938</f>
        <v>48.370310379999999</v>
      </c>
      <c r="G940" s="1">
        <f>'Unformatted Trip Summary'!G938</f>
        <v>37.143858848999997</v>
      </c>
      <c r="H940" s="1">
        <f>'Unformatted Trip Summary'!H938</f>
        <v>10.173651181</v>
      </c>
    </row>
    <row r="941" spans="1:8" x14ac:dyDescent="0.2">
      <c r="A941" t="str">
        <f>'Unformatted Trip Summary'!A939</f>
        <v>14 OTAGO</v>
      </c>
      <c r="B941" t="str">
        <f>'Unformatted Trip Summary'!J939</f>
        <v>2042/43</v>
      </c>
      <c r="C941" t="str">
        <f>'Unformatted Trip Summary'!I939</f>
        <v>Pedestrian</v>
      </c>
      <c r="D941">
        <f>'Unformatted Trip Summary'!D939</f>
        <v>545</v>
      </c>
      <c r="E941">
        <f>'Unformatted Trip Summary'!E939</f>
        <v>2150</v>
      </c>
      <c r="F941" s="1">
        <f>'Unformatted Trip Summary'!F939</f>
        <v>46.452441802000003</v>
      </c>
      <c r="G941" s="1">
        <f>'Unformatted Trip Summary'!G939</f>
        <v>35.864552308</v>
      </c>
      <c r="H941" s="1">
        <f>'Unformatted Trip Summary'!H939</f>
        <v>9.9136827927999995</v>
      </c>
    </row>
    <row r="942" spans="1:8" x14ac:dyDescent="0.2">
      <c r="A942" t="str">
        <f>'Unformatted Trip Summary'!A940</f>
        <v>14 OTAGO</v>
      </c>
      <c r="B942" t="str">
        <f>'Unformatted Trip Summary'!J940</f>
        <v>2012/13</v>
      </c>
      <c r="C942" t="str">
        <f>'Unformatted Trip Summary'!I940</f>
        <v>Cyclist</v>
      </c>
      <c r="D942">
        <f>'Unformatted Trip Summary'!D940</f>
        <v>52</v>
      </c>
      <c r="E942">
        <f>'Unformatted Trip Summary'!E940</f>
        <v>151</v>
      </c>
      <c r="F942" s="1">
        <f>'Unformatted Trip Summary'!F940</f>
        <v>4.5847179276999999</v>
      </c>
      <c r="G942" s="1">
        <f>'Unformatted Trip Summary'!G940</f>
        <v>16.325352069000001</v>
      </c>
      <c r="H942" s="1">
        <f>'Unformatted Trip Summary'!H940</f>
        <v>1.6089304994</v>
      </c>
    </row>
    <row r="943" spans="1:8" x14ac:dyDescent="0.2">
      <c r="A943" t="str">
        <f>'Unformatted Trip Summary'!A941</f>
        <v>14 OTAGO</v>
      </c>
      <c r="B943" t="str">
        <f>'Unformatted Trip Summary'!J941</f>
        <v>2017/18</v>
      </c>
      <c r="C943" t="str">
        <f>'Unformatted Trip Summary'!I941</f>
        <v>Cyclist</v>
      </c>
      <c r="D943">
        <f>'Unformatted Trip Summary'!D941</f>
        <v>52</v>
      </c>
      <c r="E943">
        <f>'Unformatted Trip Summary'!E941</f>
        <v>151</v>
      </c>
      <c r="F943" s="1">
        <f>'Unformatted Trip Summary'!F941</f>
        <v>4.3579715829000003</v>
      </c>
      <c r="G943" s="1">
        <f>'Unformatted Trip Summary'!G941</f>
        <v>16.636352073000001</v>
      </c>
      <c r="H943" s="1">
        <f>'Unformatted Trip Summary'!H941</f>
        <v>1.6077200387999999</v>
      </c>
    </row>
    <row r="944" spans="1:8" x14ac:dyDescent="0.2">
      <c r="A944" t="str">
        <f>'Unformatted Trip Summary'!A942</f>
        <v>14 OTAGO</v>
      </c>
      <c r="B944" t="str">
        <f>'Unformatted Trip Summary'!J942</f>
        <v>2022/23</v>
      </c>
      <c r="C944" t="str">
        <f>'Unformatted Trip Summary'!I942</f>
        <v>Cyclist</v>
      </c>
      <c r="D944">
        <f>'Unformatted Trip Summary'!D942</f>
        <v>52</v>
      </c>
      <c r="E944">
        <f>'Unformatted Trip Summary'!E942</f>
        <v>151</v>
      </c>
      <c r="F944" s="1">
        <f>'Unformatted Trip Summary'!F942</f>
        <v>4.4352158516999998</v>
      </c>
      <c r="G944" s="1">
        <f>'Unformatted Trip Summary'!G942</f>
        <v>18.061923226000001</v>
      </c>
      <c r="H944" s="1">
        <f>'Unformatted Trip Summary'!H942</f>
        <v>1.7181957366</v>
      </c>
    </row>
    <row r="945" spans="1:8" x14ac:dyDescent="0.2">
      <c r="A945" t="str">
        <f>'Unformatted Trip Summary'!A943</f>
        <v>14 OTAGO</v>
      </c>
      <c r="B945" t="str">
        <f>'Unformatted Trip Summary'!J943</f>
        <v>2027/28</v>
      </c>
      <c r="C945" t="str">
        <f>'Unformatted Trip Summary'!I943</f>
        <v>Cyclist</v>
      </c>
      <c r="D945">
        <f>'Unformatted Trip Summary'!D943</f>
        <v>52</v>
      </c>
      <c r="E945">
        <f>'Unformatted Trip Summary'!E943</f>
        <v>151</v>
      </c>
      <c r="F945" s="1">
        <f>'Unformatted Trip Summary'!F943</f>
        <v>4.1764183595000004</v>
      </c>
      <c r="G945" s="1">
        <f>'Unformatted Trip Summary'!G943</f>
        <v>17.909257646</v>
      </c>
      <c r="H945" s="1">
        <f>'Unformatted Trip Summary'!H943</f>
        <v>1.6719917342999999</v>
      </c>
    </row>
    <row r="946" spans="1:8" x14ac:dyDescent="0.2">
      <c r="A946" t="str">
        <f>'Unformatted Trip Summary'!A944</f>
        <v>14 OTAGO</v>
      </c>
      <c r="B946" t="str">
        <f>'Unformatted Trip Summary'!J944</f>
        <v>2032/33</v>
      </c>
      <c r="C946" t="str">
        <f>'Unformatted Trip Summary'!I944</f>
        <v>Cyclist</v>
      </c>
      <c r="D946">
        <f>'Unformatted Trip Summary'!D944</f>
        <v>52</v>
      </c>
      <c r="E946">
        <f>'Unformatted Trip Summary'!E944</f>
        <v>151</v>
      </c>
      <c r="F946" s="1">
        <f>'Unformatted Trip Summary'!F944</f>
        <v>3.9884301282000001</v>
      </c>
      <c r="G946" s="1">
        <f>'Unformatted Trip Summary'!G944</f>
        <v>17.616765740999998</v>
      </c>
      <c r="H946" s="1">
        <f>'Unformatted Trip Summary'!H944</f>
        <v>1.6311057726</v>
      </c>
    </row>
    <row r="947" spans="1:8" x14ac:dyDescent="0.2">
      <c r="A947" t="str">
        <f>'Unformatted Trip Summary'!A945</f>
        <v>14 OTAGO</v>
      </c>
      <c r="B947" t="str">
        <f>'Unformatted Trip Summary'!J945</f>
        <v>2037/38</v>
      </c>
      <c r="C947" t="str">
        <f>'Unformatted Trip Summary'!I945</f>
        <v>Cyclist</v>
      </c>
      <c r="D947">
        <f>'Unformatted Trip Summary'!D945</f>
        <v>52</v>
      </c>
      <c r="E947">
        <f>'Unformatted Trip Summary'!E945</f>
        <v>151</v>
      </c>
      <c r="F947" s="1">
        <f>'Unformatted Trip Summary'!F945</f>
        <v>3.8280133262999998</v>
      </c>
      <c r="G947" s="1">
        <f>'Unformatted Trip Summary'!G945</f>
        <v>17.268311416</v>
      </c>
      <c r="H947" s="1">
        <f>'Unformatted Trip Summary'!H945</f>
        <v>1.6038302960999999</v>
      </c>
    </row>
    <row r="948" spans="1:8" x14ac:dyDescent="0.2">
      <c r="A948" t="str">
        <f>'Unformatted Trip Summary'!A946</f>
        <v>14 OTAGO</v>
      </c>
      <c r="B948" t="str">
        <f>'Unformatted Trip Summary'!J946</f>
        <v>2042/43</v>
      </c>
      <c r="C948" t="str">
        <f>'Unformatted Trip Summary'!I946</f>
        <v>Cyclist</v>
      </c>
      <c r="D948">
        <f>'Unformatted Trip Summary'!D946</f>
        <v>52</v>
      </c>
      <c r="E948">
        <f>'Unformatted Trip Summary'!E946</f>
        <v>151</v>
      </c>
      <c r="F948" s="1">
        <f>'Unformatted Trip Summary'!F946</f>
        <v>3.6575988158000001</v>
      </c>
      <c r="G948" s="1">
        <f>'Unformatted Trip Summary'!G946</f>
        <v>16.811140774999998</v>
      </c>
      <c r="H948" s="1">
        <f>'Unformatted Trip Summary'!H946</f>
        <v>1.5706331404</v>
      </c>
    </row>
    <row r="949" spans="1:8" x14ac:dyDescent="0.2">
      <c r="A949" t="str">
        <f>'Unformatted Trip Summary'!A947</f>
        <v>14 OTAGO</v>
      </c>
      <c r="B949" t="str">
        <f>'Unformatted Trip Summary'!J947</f>
        <v>2012/13</v>
      </c>
      <c r="C949" t="str">
        <f>'Unformatted Trip Summary'!I947</f>
        <v>Light Vehicle Driver</v>
      </c>
      <c r="D949">
        <f>'Unformatted Trip Summary'!D947</f>
        <v>734</v>
      </c>
      <c r="E949">
        <f>'Unformatted Trip Summary'!E947</f>
        <v>5488</v>
      </c>
      <c r="F949" s="1">
        <f>'Unformatted Trip Summary'!F947</f>
        <v>150.49144967999999</v>
      </c>
      <c r="G949" s="1">
        <f>'Unformatted Trip Summary'!G947</f>
        <v>1192.1699989000001</v>
      </c>
      <c r="H949" s="1">
        <f>'Unformatted Trip Summary'!H947</f>
        <v>32.522387277</v>
      </c>
    </row>
    <row r="950" spans="1:8" x14ac:dyDescent="0.2">
      <c r="A950" t="str">
        <f>'Unformatted Trip Summary'!A948</f>
        <v>14 OTAGO</v>
      </c>
      <c r="B950" t="str">
        <f>'Unformatted Trip Summary'!J948</f>
        <v>2017/18</v>
      </c>
      <c r="C950" t="str">
        <f>'Unformatted Trip Summary'!I948</f>
        <v>Light Vehicle Driver</v>
      </c>
      <c r="D950">
        <f>'Unformatted Trip Summary'!D948</f>
        <v>734</v>
      </c>
      <c r="E950">
        <f>'Unformatted Trip Summary'!E948</f>
        <v>5488</v>
      </c>
      <c r="F950" s="1">
        <f>'Unformatted Trip Summary'!F948</f>
        <v>143.18840872000001</v>
      </c>
      <c r="G950" s="1">
        <f>'Unformatted Trip Summary'!G948</f>
        <v>1173.5840929000001</v>
      </c>
      <c r="H950" s="1">
        <f>'Unformatted Trip Summary'!H948</f>
        <v>31.574441053000001</v>
      </c>
    </row>
    <row r="951" spans="1:8" x14ac:dyDescent="0.2">
      <c r="A951" t="str">
        <f>'Unformatted Trip Summary'!A949</f>
        <v>14 OTAGO</v>
      </c>
      <c r="B951" t="str">
        <f>'Unformatted Trip Summary'!J949</f>
        <v>2022/23</v>
      </c>
      <c r="C951" t="str">
        <f>'Unformatted Trip Summary'!I949</f>
        <v>Light Vehicle Driver</v>
      </c>
      <c r="D951">
        <f>'Unformatted Trip Summary'!D949</f>
        <v>734</v>
      </c>
      <c r="E951">
        <f>'Unformatted Trip Summary'!E949</f>
        <v>5488</v>
      </c>
      <c r="F951" s="1">
        <f>'Unformatted Trip Summary'!F949</f>
        <v>147.76012986000001</v>
      </c>
      <c r="G951" s="1">
        <f>'Unformatted Trip Summary'!G949</f>
        <v>1254.6524787999999</v>
      </c>
      <c r="H951" s="1">
        <f>'Unformatted Trip Summary'!H949</f>
        <v>33.220509413000002</v>
      </c>
    </row>
    <row r="952" spans="1:8" x14ac:dyDescent="0.2">
      <c r="A952" t="str">
        <f>'Unformatted Trip Summary'!A950</f>
        <v>14 OTAGO</v>
      </c>
      <c r="B952" t="str">
        <f>'Unformatted Trip Summary'!J950</f>
        <v>2027/28</v>
      </c>
      <c r="C952" t="str">
        <f>'Unformatted Trip Summary'!I950</f>
        <v>Light Vehicle Driver</v>
      </c>
      <c r="D952">
        <f>'Unformatted Trip Summary'!D950</f>
        <v>734</v>
      </c>
      <c r="E952">
        <f>'Unformatted Trip Summary'!E950</f>
        <v>5488</v>
      </c>
      <c r="F952" s="1">
        <f>'Unformatted Trip Summary'!F950</f>
        <v>147.83028272000001</v>
      </c>
      <c r="G952" s="1">
        <f>'Unformatted Trip Summary'!G950</f>
        <v>1287.5188254</v>
      </c>
      <c r="H952" s="1">
        <f>'Unformatted Trip Summary'!H950</f>
        <v>33.706942269999999</v>
      </c>
    </row>
    <row r="953" spans="1:8" x14ac:dyDescent="0.2">
      <c r="A953" t="str">
        <f>'Unformatted Trip Summary'!A951</f>
        <v>14 OTAGO</v>
      </c>
      <c r="B953" t="str">
        <f>'Unformatted Trip Summary'!J951</f>
        <v>2032/33</v>
      </c>
      <c r="C953" t="str">
        <f>'Unformatted Trip Summary'!I951</f>
        <v>Light Vehicle Driver</v>
      </c>
      <c r="D953">
        <f>'Unformatted Trip Summary'!D951</f>
        <v>734</v>
      </c>
      <c r="E953">
        <f>'Unformatted Trip Summary'!E951</f>
        <v>5488</v>
      </c>
      <c r="F953" s="1">
        <f>'Unformatted Trip Summary'!F951</f>
        <v>146.98525810000001</v>
      </c>
      <c r="G953" s="1">
        <f>'Unformatted Trip Summary'!G951</f>
        <v>1316.0629550000001</v>
      </c>
      <c r="H953" s="1">
        <f>'Unformatted Trip Summary'!H951</f>
        <v>34.017639709999997</v>
      </c>
    </row>
    <row r="954" spans="1:8" x14ac:dyDescent="0.2">
      <c r="A954" t="str">
        <f>'Unformatted Trip Summary'!A952</f>
        <v>14 OTAGO</v>
      </c>
      <c r="B954" t="str">
        <f>'Unformatted Trip Summary'!J952</f>
        <v>2037/38</v>
      </c>
      <c r="C954" t="str">
        <f>'Unformatted Trip Summary'!I952</f>
        <v>Light Vehicle Driver</v>
      </c>
      <c r="D954">
        <f>'Unformatted Trip Summary'!D952</f>
        <v>734</v>
      </c>
      <c r="E954">
        <f>'Unformatted Trip Summary'!E952</f>
        <v>5488</v>
      </c>
      <c r="F954" s="1">
        <f>'Unformatted Trip Summary'!F952</f>
        <v>143.30428135</v>
      </c>
      <c r="G954" s="1">
        <f>'Unformatted Trip Summary'!G952</f>
        <v>1335.7204564000001</v>
      </c>
      <c r="H954" s="1">
        <f>'Unformatted Trip Summary'!H952</f>
        <v>33.888697049999998</v>
      </c>
    </row>
    <row r="955" spans="1:8" x14ac:dyDescent="0.2">
      <c r="A955" t="str">
        <f>'Unformatted Trip Summary'!A953</f>
        <v>14 OTAGO</v>
      </c>
      <c r="B955" t="str">
        <f>'Unformatted Trip Summary'!J953</f>
        <v>2042/43</v>
      </c>
      <c r="C955" t="str">
        <f>'Unformatted Trip Summary'!I953</f>
        <v>Light Vehicle Driver</v>
      </c>
      <c r="D955">
        <f>'Unformatted Trip Summary'!D953</f>
        <v>734</v>
      </c>
      <c r="E955">
        <f>'Unformatted Trip Summary'!E953</f>
        <v>5488</v>
      </c>
      <c r="F955" s="1">
        <f>'Unformatted Trip Summary'!F953</f>
        <v>139.43080549999999</v>
      </c>
      <c r="G955" s="1">
        <f>'Unformatted Trip Summary'!G953</f>
        <v>1353.7958186000001</v>
      </c>
      <c r="H955" s="1">
        <f>'Unformatted Trip Summary'!H953</f>
        <v>33.696872998000003</v>
      </c>
    </row>
    <row r="956" spans="1:8" x14ac:dyDescent="0.2">
      <c r="A956" t="str">
        <f>'Unformatted Trip Summary'!A954</f>
        <v>14 OTAGO</v>
      </c>
      <c r="B956" t="str">
        <f>'Unformatted Trip Summary'!J954</f>
        <v>2012/13</v>
      </c>
      <c r="C956" t="str">
        <f>'Unformatted Trip Summary'!I954</f>
        <v>Light Vehicle Passenger</v>
      </c>
      <c r="D956">
        <f>'Unformatted Trip Summary'!D954</f>
        <v>543</v>
      </c>
      <c r="E956">
        <f>'Unformatted Trip Summary'!E954</f>
        <v>2595</v>
      </c>
      <c r="F956" s="1">
        <f>'Unformatted Trip Summary'!F954</f>
        <v>71.232164202000007</v>
      </c>
      <c r="G956" s="1">
        <f>'Unformatted Trip Summary'!G954</f>
        <v>849.31688999999994</v>
      </c>
      <c r="H956" s="1">
        <f>'Unformatted Trip Summary'!H954</f>
        <v>19.901766343999999</v>
      </c>
    </row>
    <row r="957" spans="1:8" x14ac:dyDescent="0.2">
      <c r="A957" t="str">
        <f>'Unformatted Trip Summary'!A955</f>
        <v>14 OTAGO</v>
      </c>
      <c r="B957" t="str">
        <f>'Unformatted Trip Summary'!J955</f>
        <v>2017/18</v>
      </c>
      <c r="C957" t="str">
        <f>'Unformatted Trip Summary'!I955</f>
        <v>Light Vehicle Passenger</v>
      </c>
      <c r="D957">
        <f>'Unformatted Trip Summary'!D955</f>
        <v>543</v>
      </c>
      <c r="E957">
        <f>'Unformatted Trip Summary'!E955</f>
        <v>2595</v>
      </c>
      <c r="F957" s="1">
        <f>'Unformatted Trip Summary'!F955</f>
        <v>65.037863856000001</v>
      </c>
      <c r="G957" s="1">
        <f>'Unformatted Trip Summary'!G955</f>
        <v>802.45047210999996</v>
      </c>
      <c r="H957" s="1">
        <f>'Unformatted Trip Summary'!H955</f>
        <v>18.584077365999999</v>
      </c>
    </row>
    <row r="958" spans="1:8" x14ac:dyDescent="0.2">
      <c r="A958" t="str">
        <f>'Unformatted Trip Summary'!A956</f>
        <v>14 OTAGO</v>
      </c>
      <c r="B958" t="str">
        <f>'Unformatted Trip Summary'!J956</f>
        <v>2022/23</v>
      </c>
      <c r="C958" t="str">
        <f>'Unformatted Trip Summary'!I956</f>
        <v>Light Vehicle Passenger</v>
      </c>
      <c r="D958">
        <f>'Unformatted Trip Summary'!D956</f>
        <v>543</v>
      </c>
      <c r="E958">
        <f>'Unformatted Trip Summary'!E956</f>
        <v>2595</v>
      </c>
      <c r="F958" s="1">
        <f>'Unformatted Trip Summary'!F956</f>
        <v>65.592450701999994</v>
      </c>
      <c r="G958" s="1">
        <f>'Unformatted Trip Summary'!G956</f>
        <v>832.79782103000002</v>
      </c>
      <c r="H958" s="1">
        <f>'Unformatted Trip Summary'!H956</f>
        <v>19.066405707000001</v>
      </c>
    </row>
    <row r="959" spans="1:8" x14ac:dyDescent="0.2">
      <c r="A959" t="str">
        <f>'Unformatted Trip Summary'!A957</f>
        <v>14 OTAGO</v>
      </c>
      <c r="B959" t="str">
        <f>'Unformatted Trip Summary'!J957</f>
        <v>2027/28</v>
      </c>
      <c r="C959" t="str">
        <f>'Unformatted Trip Summary'!I957</f>
        <v>Light Vehicle Passenger</v>
      </c>
      <c r="D959">
        <f>'Unformatted Trip Summary'!D957</f>
        <v>543</v>
      </c>
      <c r="E959">
        <f>'Unformatted Trip Summary'!E957</f>
        <v>2595</v>
      </c>
      <c r="F959" s="1">
        <f>'Unformatted Trip Summary'!F957</f>
        <v>63.239191171999998</v>
      </c>
      <c r="G959" s="1">
        <f>'Unformatted Trip Summary'!G957</f>
        <v>824.61281871999995</v>
      </c>
      <c r="H959" s="1">
        <f>'Unformatted Trip Summary'!H957</f>
        <v>18.662773189999999</v>
      </c>
    </row>
    <row r="960" spans="1:8" x14ac:dyDescent="0.2">
      <c r="A960" t="str">
        <f>'Unformatted Trip Summary'!A958</f>
        <v>14 OTAGO</v>
      </c>
      <c r="B960" t="str">
        <f>'Unformatted Trip Summary'!J958</f>
        <v>2032/33</v>
      </c>
      <c r="C960" t="str">
        <f>'Unformatted Trip Summary'!I958</f>
        <v>Light Vehicle Passenger</v>
      </c>
      <c r="D960">
        <f>'Unformatted Trip Summary'!D958</f>
        <v>543</v>
      </c>
      <c r="E960">
        <f>'Unformatted Trip Summary'!E958</f>
        <v>2595</v>
      </c>
      <c r="F960" s="1">
        <f>'Unformatted Trip Summary'!F958</f>
        <v>61.196358312999998</v>
      </c>
      <c r="G960" s="1">
        <f>'Unformatted Trip Summary'!G958</f>
        <v>811.53279221000003</v>
      </c>
      <c r="H960" s="1">
        <f>'Unformatted Trip Summary'!H958</f>
        <v>18.213916106999999</v>
      </c>
    </row>
    <row r="961" spans="1:8" x14ac:dyDescent="0.2">
      <c r="A961" t="str">
        <f>'Unformatted Trip Summary'!A959</f>
        <v>14 OTAGO</v>
      </c>
      <c r="B961" t="str">
        <f>'Unformatted Trip Summary'!J959</f>
        <v>2037/38</v>
      </c>
      <c r="C961" t="str">
        <f>'Unformatted Trip Summary'!I959</f>
        <v>Light Vehicle Passenger</v>
      </c>
      <c r="D961">
        <f>'Unformatted Trip Summary'!D959</f>
        <v>543</v>
      </c>
      <c r="E961">
        <f>'Unformatted Trip Summary'!E959</f>
        <v>2595</v>
      </c>
      <c r="F961" s="1">
        <f>'Unformatted Trip Summary'!F959</f>
        <v>58.683979483000002</v>
      </c>
      <c r="G961" s="1">
        <f>'Unformatted Trip Summary'!G959</f>
        <v>800.01019231999999</v>
      </c>
      <c r="H961" s="1">
        <f>'Unformatted Trip Summary'!H959</f>
        <v>17.815293070999999</v>
      </c>
    </row>
    <row r="962" spans="1:8" x14ac:dyDescent="0.2">
      <c r="A962" t="str">
        <f>'Unformatted Trip Summary'!A960</f>
        <v>14 OTAGO</v>
      </c>
      <c r="B962" t="str">
        <f>'Unformatted Trip Summary'!J960</f>
        <v>2042/43</v>
      </c>
      <c r="C962" t="str">
        <f>'Unformatted Trip Summary'!I960</f>
        <v>Light Vehicle Passenger</v>
      </c>
      <c r="D962">
        <f>'Unformatted Trip Summary'!D960</f>
        <v>543</v>
      </c>
      <c r="E962">
        <f>'Unformatted Trip Summary'!E960</f>
        <v>2595</v>
      </c>
      <c r="F962" s="1">
        <f>'Unformatted Trip Summary'!F960</f>
        <v>56.229205485999998</v>
      </c>
      <c r="G962" s="1">
        <f>'Unformatted Trip Summary'!G960</f>
        <v>787.86059286</v>
      </c>
      <c r="H962" s="1">
        <f>'Unformatted Trip Summary'!H960</f>
        <v>17.409505217</v>
      </c>
    </row>
    <row r="963" spans="1:8" x14ac:dyDescent="0.2">
      <c r="A963" t="str">
        <f>'Unformatted Trip Summary'!A961</f>
        <v>14 OTAGO</v>
      </c>
      <c r="B963" t="str">
        <f>'Unformatted Trip Summary'!J961</f>
        <v>2012/13</v>
      </c>
      <c r="C963" t="str">
        <f>'Unformatted Trip Summary'!I961</f>
        <v>Taxi/Vehicle Share</v>
      </c>
      <c r="D963">
        <f>'Unformatted Trip Summary'!D961</f>
        <v>21</v>
      </c>
      <c r="E963">
        <f>'Unformatted Trip Summary'!E961</f>
        <v>36</v>
      </c>
      <c r="F963" s="1">
        <f>'Unformatted Trip Summary'!F961</f>
        <v>0.85820748670000002</v>
      </c>
      <c r="G963" s="1">
        <f>'Unformatted Trip Summary'!G961</f>
        <v>7.2892681777000004</v>
      </c>
      <c r="H963" s="1">
        <f>'Unformatted Trip Summary'!H961</f>
        <v>0.23496676969999999</v>
      </c>
    </row>
    <row r="964" spans="1:8" x14ac:dyDescent="0.2">
      <c r="A964" t="str">
        <f>'Unformatted Trip Summary'!A962</f>
        <v>14 OTAGO</v>
      </c>
      <c r="B964" t="str">
        <f>'Unformatted Trip Summary'!J962</f>
        <v>2017/18</v>
      </c>
      <c r="C964" t="str">
        <f>'Unformatted Trip Summary'!I962</f>
        <v>Taxi/Vehicle Share</v>
      </c>
      <c r="D964">
        <f>'Unformatted Trip Summary'!D962</f>
        <v>21</v>
      </c>
      <c r="E964">
        <f>'Unformatted Trip Summary'!E962</f>
        <v>36</v>
      </c>
      <c r="F964" s="1">
        <f>'Unformatted Trip Summary'!F962</f>
        <v>0.77659262890000003</v>
      </c>
      <c r="G964" s="1">
        <f>'Unformatted Trip Summary'!G962</f>
        <v>6.6800776725000004</v>
      </c>
      <c r="H964" s="1">
        <f>'Unformatted Trip Summary'!H962</f>
        <v>0.2172654836</v>
      </c>
    </row>
    <row r="965" spans="1:8" x14ac:dyDescent="0.2">
      <c r="A965" t="str">
        <f>'Unformatted Trip Summary'!A963</f>
        <v>14 OTAGO</v>
      </c>
      <c r="B965" t="str">
        <f>'Unformatted Trip Summary'!J963</f>
        <v>2022/23</v>
      </c>
      <c r="C965" t="str">
        <f>'Unformatted Trip Summary'!I963</f>
        <v>Taxi/Vehicle Share</v>
      </c>
      <c r="D965">
        <f>'Unformatted Trip Summary'!D963</f>
        <v>21</v>
      </c>
      <c r="E965">
        <f>'Unformatted Trip Summary'!E963</f>
        <v>36</v>
      </c>
      <c r="F965" s="1">
        <f>'Unformatted Trip Summary'!F963</f>
        <v>0.75199531259999997</v>
      </c>
      <c r="G965" s="1">
        <f>'Unformatted Trip Summary'!G963</f>
        <v>6.8703789972999996</v>
      </c>
      <c r="H965" s="1">
        <f>'Unformatted Trip Summary'!H963</f>
        <v>0.2236081946</v>
      </c>
    </row>
    <row r="966" spans="1:8" x14ac:dyDescent="0.2">
      <c r="A966" t="str">
        <f>'Unformatted Trip Summary'!A964</f>
        <v>14 OTAGO</v>
      </c>
      <c r="B966" t="str">
        <f>'Unformatted Trip Summary'!J964</f>
        <v>2027/28</v>
      </c>
      <c r="C966" t="str">
        <f>'Unformatted Trip Summary'!I964</f>
        <v>Taxi/Vehicle Share</v>
      </c>
      <c r="D966">
        <f>'Unformatted Trip Summary'!D964</f>
        <v>21</v>
      </c>
      <c r="E966">
        <f>'Unformatted Trip Summary'!E964</f>
        <v>36</v>
      </c>
      <c r="F966" s="1">
        <f>'Unformatted Trip Summary'!F964</f>
        <v>0.69849640930000001</v>
      </c>
      <c r="G966" s="1">
        <f>'Unformatted Trip Summary'!G964</f>
        <v>6.4443649616999998</v>
      </c>
      <c r="H966" s="1">
        <f>'Unformatted Trip Summary'!H964</f>
        <v>0.21117821780000001</v>
      </c>
    </row>
    <row r="967" spans="1:8" x14ac:dyDescent="0.2">
      <c r="A967" t="str">
        <f>'Unformatted Trip Summary'!A965</f>
        <v>14 OTAGO</v>
      </c>
      <c r="B967" t="str">
        <f>'Unformatted Trip Summary'!J965</f>
        <v>2032/33</v>
      </c>
      <c r="C967" t="str">
        <f>'Unformatted Trip Summary'!I965</f>
        <v>Taxi/Vehicle Share</v>
      </c>
      <c r="D967">
        <f>'Unformatted Trip Summary'!D965</f>
        <v>21</v>
      </c>
      <c r="E967">
        <f>'Unformatted Trip Summary'!E965</f>
        <v>36</v>
      </c>
      <c r="F967" s="1">
        <f>'Unformatted Trip Summary'!F965</f>
        <v>0.65359314769999999</v>
      </c>
      <c r="G967" s="1">
        <f>'Unformatted Trip Summary'!G965</f>
        <v>6.0025823186</v>
      </c>
      <c r="H967" s="1">
        <f>'Unformatted Trip Summary'!H965</f>
        <v>0.19775408880000001</v>
      </c>
    </row>
    <row r="968" spans="1:8" x14ac:dyDescent="0.2">
      <c r="A968" t="str">
        <f>'Unformatted Trip Summary'!A966</f>
        <v>14 OTAGO</v>
      </c>
      <c r="B968" t="str">
        <f>'Unformatted Trip Summary'!J966</f>
        <v>2037/38</v>
      </c>
      <c r="C968" t="str">
        <f>'Unformatted Trip Summary'!I966</f>
        <v>Taxi/Vehicle Share</v>
      </c>
      <c r="D968">
        <f>'Unformatted Trip Summary'!D966</f>
        <v>21</v>
      </c>
      <c r="E968">
        <f>'Unformatted Trip Summary'!E966</f>
        <v>36</v>
      </c>
      <c r="F968" s="1">
        <f>'Unformatted Trip Summary'!F966</f>
        <v>0.57970852279999996</v>
      </c>
      <c r="G968" s="1">
        <f>'Unformatted Trip Summary'!G966</f>
        <v>5.2623027121000003</v>
      </c>
      <c r="H968" s="1">
        <f>'Unformatted Trip Summary'!H966</f>
        <v>0.17428121799999999</v>
      </c>
    </row>
    <row r="969" spans="1:8" x14ac:dyDescent="0.2">
      <c r="A969" t="str">
        <f>'Unformatted Trip Summary'!A967</f>
        <v>14 OTAGO</v>
      </c>
      <c r="B969" t="str">
        <f>'Unformatted Trip Summary'!J967</f>
        <v>2042/43</v>
      </c>
      <c r="C969" t="str">
        <f>'Unformatted Trip Summary'!I967</f>
        <v>Taxi/Vehicle Share</v>
      </c>
      <c r="D969">
        <f>'Unformatted Trip Summary'!D967</f>
        <v>21</v>
      </c>
      <c r="E969">
        <f>'Unformatted Trip Summary'!E967</f>
        <v>36</v>
      </c>
      <c r="F969" s="1">
        <f>'Unformatted Trip Summary'!F967</f>
        <v>0.50574271849999997</v>
      </c>
      <c r="G969" s="1">
        <f>'Unformatted Trip Summary'!G967</f>
        <v>4.4791140186999998</v>
      </c>
      <c r="H969" s="1">
        <f>'Unformatted Trip Summary'!H967</f>
        <v>0.14912383000000001</v>
      </c>
    </row>
    <row r="970" spans="1:8" x14ac:dyDescent="0.2">
      <c r="A970" t="str">
        <f>'Unformatted Trip Summary'!A968</f>
        <v>14 OTAGO</v>
      </c>
      <c r="B970" t="str">
        <f>'Unformatted Trip Summary'!J968</f>
        <v>2012/13</v>
      </c>
      <c r="C970" t="str">
        <f>'Unformatted Trip Summary'!I968</f>
        <v>Motorcyclist</v>
      </c>
      <c r="D970">
        <f>'Unformatted Trip Summary'!D968</f>
        <v>12</v>
      </c>
      <c r="E970">
        <f>'Unformatted Trip Summary'!E968</f>
        <v>57</v>
      </c>
      <c r="F970" s="1">
        <f>'Unformatted Trip Summary'!F968</f>
        <v>2.0937246197000001</v>
      </c>
      <c r="G970" s="1">
        <f>'Unformatted Trip Summary'!G968</f>
        <v>18.503357486999999</v>
      </c>
      <c r="H970" s="1">
        <f>'Unformatted Trip Summary'!H968</f>
        <v>0.42545310469999997</v>
      </c>
    </row>
    <row r="971" spans="1:8" x14ac:dyDescent="0.2">
      <c r="A971" t="str">
        <f>'Unformatted Trip Summary'!A969</f>
        <v>14 OTAGO</v>
      </c>
      <c r="B971" t="str">
        <f>'Unformatted Trip Summary'!J969</f>
        <v>2017/18</v>
      </c>
      <c r="C971" t="str">
        <f>'Unformatted Trip Summary'!I969</f>
        <v>Motorcyclist</v>
      </c>
      <c r="D971">
        <f>'Unformatted Trip Summary'!D969</f>
        <v>12</v>
      </c>
      <c r="E971">
        <f>'Unformatted Trip Summary'!E969</f>
        <v>57</v>
      </c>
      <c r="F971" s="1">
        <f>'Unformatted Trip Summary'!F969</f>
        <v>1.9403006162000001</v>
      </c>
      <c r="G971" s="1">
        <f>'Unformatted Trip Summary'!G969</f>
        <v>18.927533515</v>
      </c>
      <c r="H971" s="1">
        <f>'Unformatted Trip Summary'!H969</f>
        <v>0.42004915929999997</v>
      </c>
    </row>
    <row r="972" spans="1:8" x14ac:dyDescent="0.2">
      <c r="A972" t="str">
        <f>'Unformatted Trip Summary'!A970</f>
        <v>14 OTAGO</v>
      </c>
      <c r="B972" t="str">
        <f>'Unformatted Trip Summary'!J970</f>
        <v>2022/23</v>
      </c>
      <c r="C972" t="str">
        <f>'Unformatted Trip Summary'!I970</f>
        <v>Motorcyclist</v>
      </c>
      <c r="D972">
        <f>'Unformatted Trip Summary'!D970</f>
        <v>12</v>
      </c>
      <c r="E972">
        <f>'Unformatted Trip Summary'!E970</f>
        <v>57</v>
      </c>
      <c r="F972" s="1">
        <f>'Unformatted Trip Summary'!F970</f>
        <v>1.9016865743</v>
      </c>
      <c r="G972" s="1">
        <f>'Unformatted Trip Summary'!G970</f>
        <v>20.555668219000001</v>
      </c>
      <c r="H972" s="1">
        <f>'Unformatted Trip Summary'!H970</f>
        <v>0.43950189579999999</v>
      </c>
    </row>
    <row r="973" spans="1:8" x14ac:dyDescent="0.2">
      <c r="A973" t="str">
        <f>'Unformatted Trip Summary'!A971</f>
        <v>14 OTAGO</v>
      </c>
      <c r="B973" t="str">
        <f>'Unformatted Trip Summary'!J971</f>
        <v>2027/28</v>
      </c>
      <c r="C973" t="str">
        <f>'Unformatted Trip Summary'!I971</f>
        <v>Motorcyclist</v>
      </c>
      <c r="D973">
        <f>'Unformatted Trip Summary'!D971</f>
        <v>12</v>
      </c>
      <c r="E973">
        <f>'Unformatted Trip Summary'!E971</f>
        <v>57</v>
      </c>
      <c r="F973" s="1">
        <f>'Unformatted Trip Summary'!F971</f>
        <v>1.7451137674999999</v>
      </c>
      <c r="G973" s="1">
        <f>'Unformatted Trip Summary'!G971</f>
        <v>21.055172260999999</v>
      </c>
      <c r="H973" s="1">
        <f>'Unformatted Trip Summary'!H971</f>
        <v>0.43578319879999999</v>
      </c>
    </row>
    <row r="974" spans="1:8" x14ac:dyDescent="0.2">
      <c r="A974" t="str">
        <f>'Unformatted Trip Summary'!A972</f>
        <v>14 OTAGO</v>
      </c>
      <c r="B974" t="str">
        <f>'Unformatted Trip Summary'!J972</f>
        <v>2032/33</v>
      </c>
      <c r="C974" t="str">
        <f>'Unformatted Trip Summary'!I972</f>
        <v>Motorcyclist</v>
      </c>
      <c r="D974">
        <f>'Unformatted Trip Summary'!D972</f>
        <v>12</v>
      </c>
      <c r="E974">
        <f>'Unformatted Trip Summary'!E972</f>
        <v>57</v>
      </c>
      <c r="F974" s="1">
        <f>'Unformatted Trip Summary'!F972</f>
        <v>1.5557509677000001</v>
      </c>
      <c r="G974" s="1">
        <f>'Unformatted Trip Summary'!G972</f>
        <v>20.81068441</v>
      </c>
      <c r="H974" s="1">
        <f>'Unformatted Trip Summary'!H972</f>
        <v>0.42053984589999999</v>
      </c>
    </row>
    <row r="975" spans="1:8" x14ac:dyDescent="0.2">
      <c r="A975" t="str">
        <f>'Unformatted Trip Summary'!A973</f>
        <v>14 OTAGO</v>
      </c>
      <c r="B975" t="str">
        <f>'Unformatted Trip Summary'!J973</f>
        <v>2037/38</v>
      </c>
      <c r="C975" t="str">
        <f>'Unformatted Trip Summary'!I973</f>
        <v>Motorcyclist</v>
      </c>
      <c r="D975">
        <f>'Unformatted Trip Summary'!D973</f>
        <v>12</v>
      </c>
      <c r="E975">
        <f>'Unformatted Trip Summary'!E973</f>
        <v>57</v>
      </c>
      <c r="F975" s="1">
        <f>'Unformatted Trip Summary'!F973</f>
        <v>1.3527275229</v>
      </c>
      <c r="G975" s="1">
        <f>'Unformatted Trip Summary'!G973</f>
        <v>19.810193035000001</v>
      </c>
      <c r="H975" s="1">
        <f>'Unformatted Trip Summary'!H973</f>
        <v>0.39371196339999998</v>
      </c>
    </row>
    <row r="976" spans="1:8" x14ac:dyDescent="0.2">
      <c r="A976" t="str">
        <f>'Unformatted Trip Summary'!A974</f>
        <v>14 OTAGO</v>
      </c>
      <c r="B976" t="str">
        <f>'Unformatted Trip Summary'!J974</f>
        <v>2042/43</v>
      </c>
      <c r="C976" t="str">
        <f>'Unformatted Trip Summary'!I974</f>
        <v>Motorcyclist</v>
      </c>
      <c r="D976">
        <f>'Unformatted Trip Summary'!D974</f>
        <v>12</v>
      </c>
      <c r="E976">
        <f>'Unformatted Trip Summary'!E974</f>
        <v>57</v>
      </c>
      <c r="F976" s="1">
        <f>'Unformatted Trip Summary'!F974</f>
        <v>1.1668111465</v>
      </c>
      <c r="G976" s="1">
        <f>'Unformatted Trip Summary'!G974</f>
        <v>18.664028598000002</v>
      </c>
      <c r="H976" s="1">
        <f>'Unformatted Trip Summary'!H974</f>
        <v>0.36515099150000002</v>
      </c>
    </row>
    <row r="977" spans="1:8" x14ac:dyDescent="0.2">
      <c r="A977" t="str">
        <f>'Unformatted Trip Summary'!A975</f>
        <v>14 OTAGO</v>
      </c>
      <c r="B977" t="str">
        <f>'Unformatted Trip Summary'!J975</f>
        <v>2012/13</v>
      </c>
      <c r="C977" t="str">
        <f>'Unformatted Trip Summary'!I975</f>
        <v>Local Bus</v>
      </c>
      <c r="D977">
        <f>'Unformatted Trip Summary'!D975</f>
        <v>70</v>
      </c>
      <c r="E977">
        <f>'Unformatted Trip Summary'!E975</f>
        <v>148</v>
      </c>
      <c r="F977" s="1">
        <f>'Unformatted Trip Summary'!F975</f>
        <v>4.2627057848999996</v>
      </c>
      <c r="G977" s="1">
        <f>'Unformatted Trip Summary'!G975</f>
        <v>27.157477096000001</v>
      </c>
      <c r="H977" s="1">
        <f>'Unformatted Trip Summary'!H975</f>
        <v>1.347401772</v>
      </c>
    </row>
    <row r="978" spans="1:8" x14ac:dyDescent="0.2">
      <c r="A978" t="str">
        <f>'Unformatted Trip Summary'!A976</f>
        <v>14 OTAGO</v>
      </c>
      <c r="B978" t="str">
        <f>'Unformatted Trip Summary'!J976</f>
        <v>2017/18</v>
      </c>
      <c r="C978" t="str">
        <f>'Unformatted Trip Summary'!I976</f>
        <v>Local Bus</v>
      </c>
      <c r="D978">
        <f>'Unformatted Trip Summary'!D976</f>
        <v>70</v>
      </c>
      <c r="E978">
        <f>'Unformatted Trip Summary'!E976</f>
        <v>148</v>
      </c>
      <c r="F978" s="1">
        <f>'Unformatted Trip Summary'!F976</f>
        <v>3.7319360836</v>
      </c>
      <c r="G978" s="1">
        <f>'Unformatted Trip Summary'!G976</f>
        <v>24.968782674</v>
      </c>
      <c r="H978" s="1">
        <f>'Unformatted Trip Summary'!H976</f>
        <v>1.1953449416999999</v>
      </c>
    </row>
    <row r="979" spans="1:8" x14ac:dyDescent="0.2">
      <c r="A979" t="str">
        <f>'Unformatted Trip Summary'!A977</f>
        <v>14 OTAGO</v>
      </c>
      <c r="B979" t="str">
        <f>'Unformatted Trip Summary'!J977</f>
        <v>2022/23</v>
      </c>
      <c r="C979" t="str">
        <f>'Unformatted Trip Summary'!I977</f>
        <v>Local Bus</v>
      </c>
      <c r="D979">
        <f>'Unformatted Trip Summary'!D977</f>
        <v>70</v>
      </c>
      <c r="E979">
        <f>'Unformatted Trip Summary'!E977</f>
        <v>148</v>
      </c>
      <c r="F979" s="1">
        <f>'Unformatted Trip Summary'!F977</f>
        <v>3.5728952671999998</v>
      </c>
      <c r="G979" s="1">
        <f>'Unformatted Trip Summary'!G977</f>
        <v>24.954080253000001</v>
      </c>
      <c r="H979" s="1">
        <f>'Unformatted Trip Summary'!H977</f>
        <v>1.1643813971000001</v>
      </c>
    </row>
    <row r="980" spans="1:8" x14ac:dyDescent="0.2">
      <c r="A980" t="str">
        <f>'Unformatted Trip Summary'!A978</f>
        <v>14 OTAGO</v>
      </c>
      <c r="B980" t="str">
        <f>'Unformatted Trip Summary'!J978</f>
        <v>2027/28</v>
      </c>
      <c r="C980" t="str">
        <f>'Unformatted Trip Summary'!I978</f>
        <v>Local Bus</v>
      </c>
      <c r="D980">
        <f>'Unformatted Trip Summary'!D978</f>
        <v>70</v>
      </c>
      <c r="E980">
        <f>'Unformatted Trip Summary'!E978</f>
        <v>148</v>
      </c>
      <c r="F980" s="1">
        <f>'Unformatted Trip Summary'!F978</f>
        <v>3.3080024543</v>
      </c>
      <c r="G980" s="1">
        <f>'Unformatted Trip Summary'!G978</f>
        <v>23.655818579000002</v>
      </c>
      <c r="H980" s="1">
        <f>'Unformatted Trip Summary'!H978</f>
        <v>1.0843476504</v>
      </c>
    </row>
    <row r="981" spans="1:8" x14ac:dyDescent="0.2">
      <c r="A981" t="str">
        <f>'Unformatted Trip Summary'!A979</f>
        <v>14 OTAGO</v>
      </c>
      <c r="B981" t="str">
        <f>'Unformatted Trip Summary'!J979</f>
        <v>2032/33</v>
      </c>
      <c r="C981" t="str">
        <f>'Unformatted Trip Summary'!I979</f>
        <v>Local Bus</v>
      </c>
      <c r="D981">
        <f>'Unformatted Trip Summary'!D979</f>
        <v>70</v>
      </c>
      <c r="E981">
        <f>'Unformatted Trip Summary'!E979</f>
        <v>148</v>
      </c>
      <c r="F981" s="1">
        <f>'Unformatted Trip Summary'!F979</f>
        <v>3.1039717783</v>
      </c>
      <c r="G981" s="1">
        <f>'Unformatted Trip Summary'!G979</f>
        <v>22.366925536</v>
      </c>
      <c r="H981" s="1">
        <f>'Unformatted Trip Summary'!H979</f>
        <v>1.0197491756999999</v>
      </c>
    </row>
    <row r="982" spans="1:8" x14ac:dyDescent="0.2">
      <c r="A982" t="str">
        <f>'Unformatted Trip Summary'!A980</f>
        <v>14 OTAGO</v>
      </c>
      <c r="B982" t="str">
        <f>'Unformatted Trip Summary'!J980</f>
        <v>2037/38</v>
      </c>
      <c r="C982" t="str">
        <f>'Unformatted Trip Summary'!I980</f>
        <v>Local Bus</v>
      </c>
      <c r="D982">
        <f>'Unformatted Trip Summary'!D980</f>
        <v>70</v>
      </c>
      <c r="E982">
        <f>'Unformatted Trip Summary'!E980</f>
        <v>148</v>
      </c>
      <c r="F982" s="1">
        <f>'Unformatted Trip Summary'!F980</f>
        <v>2.8628597602000001</v>
      </c>
      <c r="G982" s="1">
        <f>'Unformatted Trip Summary'!G980</f>
        <v>20.589366211000002</v>
      </c>
      <c r="H982" s="1">
        <f>'Unformatted Trip Summary'!H980</f>
        <v>0.94374146830000005</v>
      </c>
    </row>
    <row r="983" spans="1:8" x14ac:dyDescent="0.2">
      <c r="A983" t="str">
        <f>'Unformatted Trip Summary'!A981</f>
        <v>14 OTAGO</v>
      </c>
      <c r="B983" t="str">
        <f>'Unformatted Trip Summary'!J981</f>
        <v>2042/43</v>
      </c>
      <c r="C983" t="str">
        <f>'Unformatted Trip Summary'!I981</f>
        <v>Local Bus</v>
      </c>
      <c r="D983">
        <f>'Unformatted Trip Summary'!D981</f>
        <v>70</v>
      </c>
      <c r="E983">
        <f>'Unformatted Trip Summary'!E981</f>
        <v>148</v>
      </c>
      <c r="F983" s="1">
        <f>'Unformatted Trip Summary'!F981</f>
        <v>2.6635616125000001</v>
      </c>
      <c r="G983" s="1">
        <f>'Unformatted Trip Summary'!G981</f>
        <v>19.088198269999999</v>
      </c>
      <c r="H983" s="1">
        <f>'Unformatted Trip Summary'!H981</f>
        <v>0.88118207770000001</v>
      </c>
    </row>
    <row r="984" spans="1:8" x14ac:dyDescent="0.2">
      <c r="A984" t="str">
        <f>'Unformatted Trip Summary'!A982</f>
        <v>14 OTAGO</v>
      </c>
      <c r="B984" t="str">
        <f>'Unformatted Trip Summary'!J982</f>
        <v>2012/13</v>
      </c>
      <c r="C984" t="str">
        <f>'Unformatted Trip Summary'!I982</f>
        <v>Other Household Travel</v>
      </c>
      <c r="D984">
        <f>'Unformatted Trip Summary'!D982</f>
        <v>11</v>
      </c>
      <c r="E984">
        <f>'Unformatted Trip Summary'!E982</f>
        <v>38</v>
      </c>
      <c r="F984" s="1">
        <f>'Unformatted Trip Summary'!F982</f>
        <v>0.77539158779999995</v>
      </c>
      <c r="G984" s="1">
        <f>'Unformatted Trip Summary'!G982</f>
        <v>0</v>
      </c>
      <c r="H984" s="1">
        <f>'Unformatted Trip Summary'!H982</f>
        <v>0.25154479130000001</v>
      </c>
    </row>
    <row r="985" spans="1:8" x14ac:dyDescent="0.2">
      <c r="A985" t="str">
        <f>'Unformatted Trip Summary'!A983</f>
        <v>14 OTAGO</v>
      </c>
      <c r="B985" t="str">
        <f>'Unformatted Trip Summary'!J983</f>
        <v>2017/18</v>
      </c>
      <c r="C985" t="str">
        <f>'Unformatted Trip Summary'!I983</f>
        <v>Other Household Travel</v>
      </c>
      <c r="D985">
        <f>'Unformatted Trip Summary'!D983</f>
        <v>11</v>
      </c>
      <c r="E985">
        <f>'Unformatted Trip Summary'!E983</f>
        <v>38</v>
      </c>
      <c r="F985" s="1">
        <f>'Unformatted Trip Summary'!F983</f>
        <v>0.74411484989999999</v>
      </c>
      <c r="G985" s="1">
        <f>'Unformatted Trip Summary'!G983</f>
        <v>0</v>
      </c>
      <c r="H985" s="1">
        <f>'Unformatted Trip Summary'!H983</f>
        <v>0.25487760949999999</v>
      </c>
    </row>
    <row r="986" spans="1:8" x14ac:dyDescent="0.2">
      <c r="A986" t="str">
        <f>'Unformatted Trip Summary'!A984</f>
        <v>14 OTAGO</v>
      </c>
      <c r="B986" t="str">
        <f>'Unformatted Trip Summary'!J984</f>
        <v>2022/23</v>
      </c>
      <c r="C986" t="str">
        <f>'Unformatted Trip Summary'!I984</f>
        <v>Other Household Travel</v>
      </c>
      <c r="D986">
        <f>'Unformatted Trip Summary'!D984</f>
        <v>11</v>
      </c>
      <c r="E986">
        <f>'Unformatted Trip Summary'!E984</f>
        <v>38</v>
      </c>
      <c r="F986" s="1">
        <f>'Unformatted Trip Summary'!F984</f>
        <v>0.75876270879999996</v>
      </c>
      <c r="G986" s="1">
        <f>'Unformatted Trip Summary'!G984</f>
        <v>0</v>
      </c>
      <c r="H986" s="1">
        <f>'Unformatted Trip Summary'!H984</f>
        <v>0.27692901450000001</v>
      </c>
    </row>
    <row r="987" spans="1:8" x14ac:dyDescent="0.2">
      <c r="A987" t="str">
        <f>'Unformatted Trip Summary'!A985</f>
        <v>14 OTAGO</v>
      </c>
      <c r="B987" t="str">
        <f>'Unformatted Trip Summary'!J985</f>
        <v>2027/28</v>
      </c>
      <c r="C987" t="str">
        <f>'Unformatted Trip Summary'!I985</f>
        <v>Other Household Travel</v>
      </c>
      <c r="D987">
        <f>'Unformatted Trip Summary'!D985</f>
        <v>11</v>
      </c>
      <c r="E987">
        <f>'Unformatted Trip Summary'!E985</f>
        <v>38</v>
      </c>
      <c r="F987" s="1">
        <f>'Unformatted Trip Summary'!F985</f>
        <v>0.70367031800000002</v>
      </c>
      <c r="G987" s="1">
        <f>'Unformatted Trip Summary'!G985</f>
        <v>0</v>
      </c>
      <c r="H987" s="1">
        <f>'Unformatted Trip Summary'!H985</f>
        <v>0.2754679827</v>
      </c>
    </row>
    <row r="988" spans="1:8" x14ac:dyDescent="0.2">
      <c r="A988" t="str">
        <f>'Unformatted Trip Summary'!A986</f>
        <v>14 OTAGO</v>
      </c>
      <c r="B988" t="str">
        <f>'Unformatted Trip Summary'!J986</f>
        <v>2032/33</v>
      </c>
      <c r="C988" t="str">
        <f>'Unformatted Trip Summary'!I986</f>
        <v>Other Household Travel</v>
      </c>
      <c r="D988">
        <f>'Unformatted Trip Summary'!D986</f>
        <v>11</v>
      </c>
      <c r="E988">
        <f>'Unformatted Trip Summary'!E986</f>
        <v>38</v>
      </c>
      <c r="F988" s="1">
        <f>'Unformatted Trip Summary'!F986</f>
        <v>0.64313863940000005</v>
      </c>
      <c r="G988" s="1">
        <f>'Unformatted Trip Summary'!G986</f>
        <v>0</v>
      </c>
      <c r="H988" s="1">
        <f>'Unformatted Trip Summary'!H986</f>
        <v>0.27126972160000001</v>
      </c>
    </row>
    <row r="989" spans="1:8" x14ac:dyDescent="0.2">
      <c r="A989" t="str">
        <f>'Unformatted Trip Summary'!A987</f>
        <v>14 OTAGO</v>
      </c>
      <c r="B989" t="str">
        <f>'Unformatted Trip Summary'!J987</f>
        <v>2037/38</v>
      </c>
      <c r="C989" t="str">
        <f>'Unformatted Trip Summary'!I987</f>
        <v>Other Household Travel</v>
      </c>
      <c r="D989">
        <f>'Unformatted Trip Summary'!D987</f>
        <v>11</v>
      </c>
      <c r="E989">
        <f>'Unformatted Trip Summary'!E987</f>
        <v>38</v>
      </c>
      <c r="F989" s="1">
        <f>'Unformatted Trip Summary'!F987</f>
        <v>0.59688975460000004</v>
      </c>
      <c r="G989" s="1">
        <f>'Unformatted Trip Summary'!G987</f>
        <v>0</v>
      </c>
      <c r="H989" s="1">
        <f>'Unformatted Trip Summary'!H987</f>
        <v>0.27286532990000001</v>
      </c>
    </row>
    <row r="990" spans="1:8" x14ac:dyDescent="0.2">
      <c r="A990" t="str">
        <f>'Unformatted Trip Summary'!A988</f>
        <v>14 OTAGO</v>
      </c>
      <c r="B990" t="str">
        <f>'Unformatted Trip Summary'!J988</f>
        <v>2042/43</v>
      </c>
      <c r="C990" t="str">
        <f>'Unformatted Trip Summary'!I988</f>
        <v>Other Household Travel</v>
      </c>
      <c r="D990">
        <f>'Unformatted Trip Summary'!D988</f>
        <v>11</v>
      </c>
      <c r="E990">
        <f>'Unformatted Trip Summary'!E988</f>
        <v>38</v>
      </c>
      <c r="F990" s="1">
        <f>'Unformatted Trip Summary'!F988</f>
        <v>0.56622938609999995</v>
      </c>
      <c r="G990" s="1">
        <f>'Unformatted Trip Summary'!G988</f>
        <v>0</v>
      </c>
      <c r="H990" s="1">
        <f>'Unformatted Trip Summary'!H988</f>
        <v>0.27746174509999999</v>
      </c>
    </row>
    <row r="991" spans="1:8" x14ac:dyDescent="0.2">
      <c r="A991" t="str">
        <f>'Unformatted Trip Summary'!A989</f>
        <v>14 OTAGO</v>
      </c>
      <c r="B991" t="str">
        <f>'Unformatted Trip Summary'!J989</f>
        <v>2012/13</v>
      </c>
      <c r="C991" t="str">
        <f>'Unformatted Trip Summary'!I989</f>
        <v>Air/Non-Local PT</v>
      </c>
      <c r="D991">
        <f>'Unformatted Trip Summary'!D989</f>
        <v>12</v>
      </c>
      <c r="E991">
        <f>'Unformatted Trip Summary'!E989</f>
        <v>16</v>
      </c>
      <c r="F991" s="1">
        <f>'Unformatted Trip Summary'!F989</f>
        <v>0.45393948140000001</v>
      </c>
      <c r="G991" s="1">
        <f>'Unformatted Trip Summary'!G989</f>
        <v>32.668222239000002</v>
      </c>
      <c r="H991" s="1">
        <f>'Unformatted Trip Summary'!H989</f>
        <v>1.0816055304000001</v>
      </c>
    </row>
    <row r="992" spans="1:8" x14ac:dyDescent="0.2">
      <c r="A992" t="str">
        <f>'Unformatted Trip Summary'!A990</f>
        <v>14 OTAGO</v>
      </c>
      <c r="B992" t="str">
        <f>'Unformatted Trip Summary'!J990</f>
        <v>2017/18</v>
      </c>
      <c r="C992" t="str">
        <f>'Unformatted Trip Summary'!I990</f>
        <v>Air/Non-Local PT</v>
      </c>
      <c r="D992">
        <f>'Unformatted Trip Summary'!D990</f>
        <v>12</v>
      </c>
      <c r="E992">
        <f>'Unformatted Trip Summary'!E990</f>
        <v>16</v>
      </c>
      <c r="F992" s="1">
        <f>'Unformatted Trip Summary'!F990</f>
        <v>0.5068383179</v>
      </c>
      <c r="G992" s="1">
        <f>'Unformatted Trip Summary'!G990</f>
        <v>36.679901432999998</v>
      </c>
      <c r="H992" s="1">
        <f>'Unformatted Trip Summary'!H990</f>
        <v>1.1925644358</v>
      </c>
    </row>
    <row r="993" spans="1:8" x14ac:dyDescent="0.2">
      <c r="A993" t="str">
        <f>'Unformatted Trip Summary'!A991</f>
        <v>14 OTAGO</v>
      </c>
      <c r="B993" t="str">
        <f>'Unformatted Trip Summary'!J991</f>
        <v>2022/23</v>
      </c>
      <c r="C993" t="str">
        <f>'Unformatted Trip Summary'!I991</f>
        <v>Air/Non-Local PT</v>
      </c>
      <c r="D993">
        <f>'Unformatted Trip Summary'!D991</f>
        <v>12</v>
      </c>
      <c r="E993">
        <f>'Unformatted Trip Summary'!E991</f>
        <v>16</v>
      </c>
      <c r="F993" s="1">
        <f>'Unformatted Trip Summary'!F991</f>
        <v>0.61995293709999999</v>
      </c>
      <c r="G993" s="1">
        <f>'Unformatted Trip Summary'!G991</f>
        <v>44.14202246</v>
      </c>
      <c r="H993" s="1">
        <f>'Unformatted Trip Summary'!H991</f>
        <v>1.4326702722</v>
      </c>
    </row>
    <row r="994" spans="1:8" x14ac:dyDescent="0.2">
      <c r="A994" t="str">
        <f>'Unformatted Trip Summary'!A992</f>
        <v>14 OTAGO</v>
      </c>
      <c r="B994" t="str">
        <f>'Unformatted Trip Summary'!J992</f>
        <v>2027/28</v>
      </c>
      <c r="C994" t="str">
        <f>'Unformatted Trip Summary'!I992</f>
        <v>Air/Non-Local PT</v>
      </c>
      <c r="D994">
        <f>'Unformatted Trip Summary'!D992</f>
        <v>12</v>
      </c>
      <c r="E994">
        <f>'Unformatted Trip Summary'!E992</f>
        <v>16</v>
      </c>
      <c r="F994" s="1">
        <f>'Unformatted Trip Summary'!F992</f>
        <v>0.68255454670000004</v>
      </c>
      <c r="G994" s="1">
        <f>'Unformatted Trip Summary'!G992</f>
        <v>48.043882936999999</v>
      </c>
      <c r="H994" s="1">
        <f>'Unformatted Trip Summary'!H992</f>
        <v>1.5540176384</v>
      </c>
    </row>
    <row r="995" spans="1:8" x14ac:dyDescent="0.2">
      <c r="A995" t="str">
        <f>'Unformatted Trip Summary'!A993</f>
        <v>14 OTAGO</v>
      </c>
      <c r="B995" t="str">
        <f>'Unformatted Trip Summary'!J993</f>
        <v>2032/33</v>
      </c>
      <c r="C995" t="str">
        <f>'Unformatted Trip Summary'!I993</f>
        <v>Air/Non-Local PT</v>
      </c>
      <c r="D995">
        <f>'Unformatted Trip Summary'!D993</f>
        <v>12</v>
      </c>
      <c r="E995">
        <f>'Unformatted Trip Summary'!E993</f>
        <v>16</v>
      </c>
      <c r="F995" s="1">
        <f>'Unformatted Trip Summary'!F993</f>
        <v>0.73611331980000005</v>
      </c>
      <c r="G995" s="1">
        <f>'Unformatted Trip Summary'!G993</f>
        <v>51.443313381999999</v>
      </c>
      <c r="H995" s="1">
        <f>'Unformatted Trip Summary'!H993</f>
        <v>1.6650593025</v>
      </c>
    </row>
    <row r="996" spans="1:8" x14ac:dyDescent="0.2">
      <c r="A996" t="str">
        <f>'Unformatted Trip Summary'!A994</f>
        <v>14 OTAGO</v>
      </c>
      <c r="B996" t="str">
        <f>'Unformatted Trip Summary'!J994</f>
        <v>2037/38</v>
      </c>
      <c r="C996" t="str">
        <f>'Unformatted Trip Summary'!I994</f>
        <v>Air/Non-Local PT</v>
      </c>
      <c r="D996">
        <f>'Unformatted Trip Summary'!D994</f>
        <v>12</v>
      </c>
      <c r="E996">
        <f>'Unformatted Trip Summary'!E994</f>
        <v>16</v>
      </c>
      <c r="F996" s="1">
        <f>'Unformatted Trip Summary'!F994</f>
        <v>0.77107800879999999</v>
      </c>
      <c r="G996" s="1">
        <f>'Unformatted Trip Summary'!G994</f>
        <v>53.079880594999999</v>
      </c>
      <c r="H996" s="1">
        <f>'Unformatted Trip Summary'!H994</f>
        <v>1.7161221186</v>
      </c>
    </row>
    <row r="997" spans="1:8" x14ac:dyDescent="0.2">
      <c r="A997" t="str">
        <f>'Unformatted Trip Summary'!A995</f>
        <v>14 OTAGO</v>
      </c>
      <c r="B997" t="str">
        <f>'Unformatted Trip Summary'!J995</f>
        <v>2042/43</v>
      </c>
      <c r="C997" t="str">
        <f>'Unformatted Trip Summary'!I995</f>
        <v>Air/Non-Local PT</v>
      </c>
      <c r="D997">
        <f>'Unformatted Trip Summary'!D995</f>
        <v>12</v>
      </c>
      <c r="E997">
        <f>'Unformatted Trip Summary'!E995</f>
        <v>16</v>
      </c>
      <c r="F997" s="1">
        <f>'Unformatted Trip Summary'!F995</f>
        <v>0.80023892190000001</v>
      </c>
      <c r="G997" s="1">
        <f>'Unformatted Trip Summary'!G995</f>
        <v>54.281354657000001</v>
      </c>
      <c r="H997" s="1">
        <f>'Unformatted Trip Summary'!H995</f>
        <v>1.7543960049</v>
      </c>
    </row>
    <row r="998" spans="1:8" x14ac:dyDescent="0.2">
      <c r="A998" t="str">
        <f>'Unformatted Trip Summary'!A996</f>
        <v>14 OTAGO</v>
      </c>
      <c r="B998" t="str">
        <f>'Unformatted Trip Summary'!J996</f>
        <v>2012/13</v>
      </c>
      <c r="C998" t="str">
        <f>'Unformatted Trip Summary'!I996</f>
        <v>Non-Household Travel</v>
      </c>
      <c r="D998">
        <f>'Unformatted Trip Summary'!D996</f>
        <v>8</v>
      </c>
      <c r="E998">
        <f>'Unformatted Trip Summary'!E996</f>
        <v>23</v>
      </c>
      <c r="F998" s="1">
        <f>'Unformatted Trip Summary'!F996</f>
        <v>0.69501361849999999</v>
      </c>
      <c r="G998" s="1">
        <f>'Unformatted Trip Summary'!G996</f>
        <v>6.1172965614999999</v>
      </c>
      <c r="H998" s="1">
        <f>'Unformatted Trip Summary'!H996</f>
        <v>0.18529166999999999</v>
      </c>
    </row>
    <row r="999" spans="1:8" x14ac:dyDescent="0.2">
      <c r="A999" t="str">
        <f>'Unformatted Trip Summary'!A997</f>
        <v>14 OTAGO</v>
      </c>
      <c r="B999" t="str">
        <f>'Unformatted Trip Summary'!J997</f>
        <v>2017/18</v>
      </c>
      <c r="C999" t="str">
        <f>'Unformatted Trip Summary'!I997</f>
        <v>Non-Household Travel</v>
      </c>
      <c r="D999">
        <f>'Unformatted Trip Summary'!D997</f>
        <v>8</v>
      </c>
      <c r="E999">
        <f>'Unformatted Trip Summary'!E997</f>
        <v>23</v>
      </c>
      <c r="F999" s="1">
        <f>'Unformatted Trip Summary'!F997</f>
        <v>0.75556399919999995</v>
      </c>
      <c r="G999" s="1">
        <f>'Unformatted Trip Summary'!G997</f>
        <v>7.1627835187000004</v>
      </c>
      <c r="H999" s="1">
        <f>'Unformatted Trip Summary'!H997</f>
        <v>0.21425188049999999</v>
      </c>
    </row>
    <row r="1000" spans="1:8" x14ac:dyDescent="0.2">
      <c r="A1000" t="str">
        <f>'Unformatted Trip Summary'!A998</f>
        <v>14 OTAGO</v>
      </c>
      <c r="B1000" t="str">
        <f>'Unformatted Trip Summary'!J998</f>
        <v>2022/23</v>
      </c>
      <c r="C1000" t="str">
        <f>'Unformatted Trip Summary'!I998</f>
        <v>Non-Household Travel</v>
      </c>
      <c r="D1000">
        <f>'Unformatted Trip Summary'!D998</f>
        <v>8</v>
      </c>
      <c r="E1000">
        <f>'Unformatted Trip Summary'!E998</f>
        <v>23</v>
      </c>
      <c r="F1000" s="1">
        <f>'Unformatted Trip Summary'!F998</f>
        <v>0.91386481070000003</v>
      </c>
      <c r="G1000" s="1">
        <f>'Unformatted Trip Summary'!G998</f>
        <v>9.1738247202000007</v>
      </c>
      <c r="H1000" s="1">
        <f>'Unformatted Trip Summary'!H998</f>
        <v>0.27205334289999999</v>
      </c>
    </row>
    <row r="1001" spans="1:8" x14ac:dyDescent="0.2">
      <c r="A1001" t="str">
        <f>'Unformatted Trip Summary'!A999</f>
        <v>14 OTAGO</v>
      </c>
      <c r="B1001" t="str">
        <f>'Unformatted Trip Summary'!J999</f>
        <v>2027/28</v>
      </c>
      <c r="C1001" t="str">
        <f>'Unformatted Trip Summary'!I999</f>
        <v>Non-Household Travel</v>
      </c>
      <c r="D1001">
        <f>'Unformatted Trip Summary'!D999</f>
        <v>8</v>
      </c>
      <c r="E1001">
        <f>'Unformatted Trip Summary'!E999</f>
        <v>23</v>
      </c>
      <c r="F1001" s="1">
        <f>'Unformatted Trip Summary'!F999</f>
        <v>1.1105821985</v>
      </c>
      <c r="G1001" s="1">
        <f>'Unformatted Trip Summary'!G999</f>
        <v>10.855682245000001</v>
      </c>
      <c r="H1001" s="1">
        <f>'Unformatted Trip Summary'!H999</f>
        <v>0.3308083812</v>
      </c>
    </row>
    <row r="1002" spans="1:8" x14ac:dyDescent="0.2">
      <c r="A1002" t="str">
        <f>'Unformatted Trip Summary'!A1000</f>
        <v>14 OTAGO</v>
      </c>
      <c r="B1002" t="str">
        <f>'Unformatted Trip Summary'!J1000</f>
        <v>2032/33</v>
      </c>
      <c r="C1002" t="str">
        <f>'Unformatted Trip Summary'!I1000</f>
        <v>Non-Household Travel</v>
      </c>
      <c r="D1002">
        <f>'Unformatted Trip Summary'!D1000</f>
        <v>8</v>
      </c>
      <c r="E1002">
        <f>'Unformatted Trip Summary'!E1000</f>
        <v>23</v>
      </c>
      <c r="F1002" s="1">
        <f>'Unformatted Trip Summary'!F1000</f>
        <v>1.2950984144</v>
      </c>
      <c r="G1002" s="1">
        <f>'Unformatted Trip Summary'!G1000</f>
        <v>12.057101986999999</v>
      </c>
      <c r="H1002" s="1">
        <f>'Unformatted Trip Summary'!H1000</f>
        <v>0.38167088290000001</v>
      </c>
    </row>
    <row r="1003" spans="1:8" x14ac:dyDescent="0.2">
      <c r="A1003" t="str">
        <f>'Unformatted Trip Summary'!A1001</f>
        <v>14 OTAGO</v>
      </c>
      <c r="B1003" t="str">
        <f>'Unformatted Trip Summary'!J1001</f>
        <v>2037/38</v>
      </c>
      <c r="C1003" t="str">
        <f>'Unformatted Trip Summary'!I1001</f>
        <v>Non-Household Travel</v>
      </c>
      <c r="D1003">
        <f>'Unformatted Trip Summary'!D1001</f>
        <v>8</v>
      </c>
      <c r="E1003">
        <f>'Unformatted Trip Summary'!E1001</f>
        <v>23</v>
      </c>
      <c r="F1003" s="1">
        <f>'Unformatted Trip Summary'!F1001</f>
        <v>1.4207710612</v>
      </c>
      <c r="G1003" s="1">
        <f>'Unformatted Trip Summary'!G1001</f>
        <v>12.793049027</v>
      </c>
      <c r="H1003" s="1">
        <f>'Unformatted Trip Summary'!H1001</f>
        <v>0.41609681710000002</v>
      </c>
    </row>
    <row r="1004" spans="1:8" x14ac:dyDescent="0.2">
      <c r="A1004" t="str">
        <f>'Unformatted Trip Summary'!A1002</f>
        <v>14 OTAGO</v>
      </c>
      <c r="B1004" t="str">
        <f>'Unformatted Trip Summary'!J1002</f>
        <v>2042/43</v>
      </c>
      <c r="C1004" t="str">
        <f>'Unformatted Trip Summary'!I1002</f>
        <v>Non-Household Travel</v>
      </c>
      <c r="D1004">
        <f>'Unformatted Trip Summary'!D1002</f>
        <v>8</v>
      </c>
      <c r="E1004">
        <f>'Unformatted Trip Summary'!E1002</f>
        <v>23</v>
      </c>
      <c r="F1004" s="1">
        <f>'Unformatted Trip Summary'!F1002</f>
        <v>1.5602031163000001</v>
      </c>
      <c r="G1004" s="1">
        <f>'Unformatted Trip Summary'!G1002</f>
        <v>13.494495737999999</v>
      </c>
      <c r="H1004" s="1">
        <f>'Unformatted Trip Summary'!H1002</f>
        <v>0.45217250920000002</v>
      </c>
    </row>
    <row r="1005" spans="1:8" x14ac:dyDescent="0.2">
      <c r="A1005" t="str">
        <f>'Unformatted Trip Summary'!A1003</f>
        <v>15 SOUTHLAND</v>
      </c>
      <c r="B1005" t="str">
        <f>'Unformatted Trip Summary'!J1003</f>
        <v>2012/13</v>
      </c>
      <c r="C1005" t="str">
        <f>'Unformatted Trip Summary'!I1003</f>
        <v>Pedestrian</v>
      </c>
      <c r="D1005">
        <f>'Unformatted Trip Summary'!D1003</f>
        <v>180</v>
      </c>
      <c r="E1005">
        <f>'Unformatted Trip Summary'!E1003</f>
        <v>617</v>
      </c>
      <c r="F1005" s="1">
        <f>'Unformatted Trip Summary'!F1003</f>
        <v>12.52065131</v>
      </c>
      <c r="G1005" s="1">
        <f>'Unformatted Trip Summary'!G1003</f>
        <v>8.8466785109000003</v>
      </c>
      <c r="H1005" s="1">
        <f>'Unformatted Trip Summary'!H1003</f>
        <v>2.2528617661000001</v>
      </c>
    </row>
    <row r="1006" spans="1:8" x14ac:dyDescent="0.2">
      <c r="A1006" t="str">
        <f>'Unformatted Trip Summary'!A1004</f>
        <v>15 SOUTHLAND</v>
      </c>
      <c r="B1006" t="str">
        <f>'Unformatted Trip Summary'!J1004</f>
        <v>2017/18</v>
      </c>
      <c r="C1006" t="str">
        <f>'Unformatted Trip Summary'!I1004</f>
        <v>Pedestrian</v>
      </c>
      <c r="D1006">
        <f>'Unformatted Trip Summary'!D1004</f>
        <v>180</v>
      </c>
      <c r="E1006">
        <f>'Unformatted Trip Summary'!E1004</f>
        <v>617</v>
      </c>
      <c r="F1006" s="1">
        <f>'Unformatted Trip Summary'!F1004</f>
        <v>11.857773808999999</v>
      </c>
      <c r="G1006" s="1">
        <f>'Unformatted Trip Summary'!G1004</f>
        <v>8.4491983253999994</v>
      </c>
      <c r="H1006" s="1">
        <f>'Unformatted Trip Summary'!H1004</f>
        <v>2.1441394787000001</v>
      </c>
    </row>
    <row r="1007" spans="1:8" x14ac:dyDescent="0.2">
      <c r="A1007" t="str">
        <f>'Unformatted Trip Summary'!A1005</f>
        <v>15 SOUTHLAND</v>
      </c>
      <c r="B1007" t="str">
        <f>'Unformatted Trip Summary'!J1005</f>
        <v>2022/23</v>
      </c>
      <c r="C1007" t="str">
        <f>'Unformatted Trip Summary'!I1005</f>
        <v>Pedestrian</v>
      </c>
      <c r="D1007">
        <f>'Unformatted Trip Summary'!D1005</f>
        <v>180</v>
      </c>
      <c r="E1007">
        <f>'Unformatted Trip Summary'!E1005</f>
        <v>617</v>
      </c>
      <c r="F1007" s="1">
        <f>'Unformatted Trip Summary'!F1005</f>
        <v>12.193084632</v>
      </c>
      <c r="G1007" s="1">
        <f>'Unformatted Trip Summary'!G1005</f>
        <v>8.7026734271000006</v>
      </c>
      <c r="H1007" s="1">
        <f>'Unformatted Trip Summary'!H1005</f>
        <v>2.2012301140999999</v>
      </c>
    </row>
    <row r="1008" spans="1:8" x14ac:dyDescent="0.2">
      <c r="A1008" t="str">
        <f>'Unformatted Trip Summary'!A1006</f>
        <v>15 SOUTHLAND</v>
      </c>
      <c r="B1008" t="str">
        <f>'Unformatted Trip Summary'!J1006</f>
        <v>2027/28</v>
      </c>
      <c r="C1008" t="str">
        <f>'Unformatted Trip Summary'!I1006</f>
        <v>Pedestrian</v>
      </c>
      <c r="D1008">
        <f>'Unformatted Trip Summary'!D1006</f>
        <v>180</v>
      </c>
      <c r="E1008">
        <f>'Unformatted Trip Summary'!E1006</f>
        <v>617</v>
      </c>
      <c r="F1008" s="1">
        <f>'Unformatted Trip Summary'!F1006</f>
        <v>11.977231363</v>
      </c>
      <c r="G1008" s="1">
        <f>'Unformatted Trip Summary'!G1006</f>
        <v>8.5572212483999994</v>
      </c>
      <c r="H1008" s="1">
        <f>'Unformatted Trip Summary'!H1006</f>
        <v>2.1261411383</v>
      </c>
    </row>
    <row r="1009" spans="1:8" x14ac:dyDescent="0.2">
      <c r="A1009" t="str">
        <f>'Unformatted Trip Summary'!A1007</f>
        <v>15 SOUTHLAND</v>
      </c>
      <c r="B1009" t="str">
        <f>'Unformatted Trip Summary'!J1007</f>
        <v>2032/33</v>
      </c>
      <c r="C1009" t="str">
        <f>'Unformatted Trip Summary'!I1007</f>
        <v>Pedestrian</v>
      </c>
      <c r="D1009">
        <f>'Unformatted Trip Summary'!D1007</f>
        <v>180</v>
      </c>
      <c r="E1009">
        <f>'Unformatted Trip Summary'!E1007</f>
        <v>617</v>
      </c>
      <c r="F1009" s="1">
        <f>'Unformatted Trip Summary'!F1007</f>
        <v>11.594054611000001</v>
      </c>
      <c r="G1009" s="1">
        <f>'Unformatted Trip Summary'!G1007</f>
        <v>8.2540177264000008</v>
      </c>
      <c r="H1009" s="1">
        <f>'Unformatted Trip Summary'!H1007</f>
        <v>2.0292054351000002</v>
      </c>
    </row>
    <row r="1010" spans="1:8" x14ac:dyDescent="0.2">
      <c r="A1010" t="str">
        <f>'Unformatted Trip Summary'!A1008</f>
        <v>15 SOUTHLAND</v>
      </c>
      <c r="B1010" t="str">
        <f>'Unformatted Trip Summary'!J1008</f>
        <v>2037/38</v>
      </c>
      <c r="C1010" t="str">
        <f>'Unformatted Trip Summary'!I1008</f>
        <v>Pedestrian</v>
      </c>
      <c r="D1010">
        <f>'Unformatted Trip Summary'!D1008</f>
        <v>180</v>
      </c>
      <c r="E1010">
        <f>'Unformatted Trip Summary'!E1008</f>
        <v>617</v>
      </c>
      <c r="F1010" s="1">
        <f>'Unformatted Trip Summary'!F1008</f>
        <v>11.001923429</v>
      </c>
      <c r="G1010" s="1">
        <f>'Unformatted Trip Summary'!G1008</f>
        <v>7.8912537273999996</v>
      </c>
      <c r="H1010" s="1">
        <f>'Unformatted Trip Summary'!H1008</f>
        <v>1.9062726062999999</v>
      </c>
    </row>
    <row r="1011" spans="1:8" x14ac:dyDescent="0.2">
      <c r="A1011" t="str">
        <f>'Unformatted Trip Summary'!A1009</f>
        <v>15 SOUTHLAND</v>
      </c>
      <c r="B1011" t="str">
        <f>'Unformatted Trip Summary'!J1009</f>
        <v>2042/43</v>
      </c>
      <c r="C1011" t="str">
        <f>'Unformatted Trip Summary'!I1009</f>
        <v>Pedestrian</v>
      </c>
      <c r="D1011">
        <f>'Unformatted Trip Summary'!D1009</f>
        <v>180</v>
      </c>
      <c r="E1011">
        <f>'Unformatted Trip Summary'!E1009</f>
        <v>617</v>
      </c>
      <c r="F1011" s="1">
        <f>'Unformatted Trip Summary'!F1009</f>
        <v>10.361776565</v>
      </c>
      <c r="G1011" s="1">
        <f>'Unformatted Trip Summary'!G1009</f>
        <v>7.4664823552000001</v>
      </c>
      <c r="H1011" s="1">
        <f>'Unformatted Trip Summary'!H1009</f>
        <v>1.7722376385</v>
      </c>
    </row>
    <row r="1012" spans="1:8" x14ac:dyDescent="0.2">
      <c r="A1012" t="str">
        <f>'Unformatted Trip Summary'!A1010</f>
        <v>15 SOUTHLAND</v>
      </c>
      <c r="B1012" t="str">
        <f>'Unformatted Trip Summary'!J1010</f>
        <v>2012/13</v>
      </c>
      <c r="C1012" t="str">
        <f>'Unformatted Trip Summary'!I1010</f>
        <v>Cyclist</v>
      </c>
      <c r="D1012">
        <f>'Unformatted Trip Summary'!D1010</f>
        <v>19</v>
      </c>
      <c r="E1012">
        <f>'Unformatted Trip Summary'!E1010</f>
        <v>72</v>
      </c>
      <c r="F1012" s="1">
        <f>'Unformatted Trip Summary'!F1010</f>
        <v>1.0312878256</v>
      </c>
      <c r="G1012" s="1">
        <f>'Unformatted Trip Summary'!G1010</f>
        <v>7.5402861329000004</v>
      </c>
      <c r="H1012" s="1">
        <f>'Unformatted Trip Summary'!H1010</f>
        <v>0.50294231479999996</v>
      </c>
    </row>
    <row r="1013" spans="1:8" x14ac:dyDescent="0.2">
      <c r="A1013" t="str">
        <f>'Unformatted Trip Summary'!A1011</f>
        <v>15 SOUTHLAND</v>
      </c>
      <c r="B1013" t="str">
        <f>'Unformatted Trip Summary'!J1011</f>
        <v>2017/18</v>
      </c>
      <c r="C1013" t="str">
        <f>'Unformatted Trip Summary'!I1011</f>
        <v>Cyclist</v>
      </c>
      <c r="D1013">
        <f>'Unformatted Trip Summary'!D1011</f>
        <v>19</v>
      </c>
      <c r="E1013">
        <f>'Unformatted Trip Summary'!E1011</f>
        <v>72</v>
      </c>
      <c r="F1013" s="1">
        <f>'Unformatted Trip Summary'!F1011</f>
        <v>1.0073890549</v>
      </c>
      <c r="G1013" s="1">
        <f>'Unformatted Trip Summary'!G1011</f>
        <v>7.6461719641999997</v>
      </c>
      <c r="H1013" s="1">
        <f>'Unformatted Trip Summary'!H1011</f>
        <v>0.50515623700000001</v>
      </c>
    </row>
    <row r="1014" spans="1:8" x14ac:dyDescent="0.2">
      <c r="A1014" t="str">
        <f>'Unformatted Trip Summary'!A1012</f>
        <v>15 SOUTHLAND</v>
      </c>
      <c r="B1014" t="str">
        <f>'Unformatted Trip Summary'!J1012</f>
        <v>2022/23</v>
      </c>
      <c r="C1014" t="str">
        <f>'Unformatted Trip Summary'!I1012</f>
        <v>Cyclist</v>
      </c>
      <c r="D1014">
        <f>'Unformatted Trip Summary'!D1012</f>
        <v>19</v>
      </c>
      <c r="E1014">
        <f>'Unformatted Trip Summary'!E1012</f>
        <v>72</v>
      </c>
      <c r="F1014" s="1">
        <f>'Unformatted Trip Summary'!F1012</f>
        <v>1.059799597</v>
      </c>
      <c r="G1014" s="1">
        <f>'Unformatted Trip Summary'!G1012</f>
        <v>8.1529892268000008</v>
      </c>
      <c r="H1014" s="1">
        <f>'Unformatted Trip Summary'!H1012</f>
        <v>0.53881469780000002</v>
      </c>
    </row>
    <row r="1015" spans="1:8" x14ac:dyDescent="0.2">
      <c r="A1015" t="str">
        <f>'Unformatted Trip Summary'!A1013</f>
        <v>15 SOUTHLAND</v>
      </c>
      <c r="B1015" t="str">
        <f>'Unformatted Trip Summary'!J1013</f>
        <v>2027/28</v>
      </c>
      <c r="C1015" t="str">
        <f>'Unformatted Trip Summary'!I1013</f>
        <v>Cyclist</v>
      </c>
      <c r="D1015">
        <f>'Unformatted Trip Summary'!D1013</f>
        <v>19</v>
      </c>
      <c r="E1015">
        <f>'Unformatted Trip Summary'!E1013</f>
        <v>72</v>
      </c>
      <c r="F1015" s="1">
        <f>'Unformatted Trip Summary'!F1013</f>
        <v>1.0616554113000001</v>
      </c>
      <c r="G1015" s="1">
        <f>'Unformatted Trip Summary'!G1013</f>
        <v>7.2834445582000003</v>
      </c>
      <c r="H1015" s="1">
        <f>'Unformatted Trip Summary'!H1013</f>
        <v>0.50091971599999996</v>
      </c>
    </row>
    <row r="1016" spans="1:8" x14ac:dyDescent="0.2">
      <c r="A1016" t="str">
        <f>'Unformatted Trip Summary'!A1014</f>
        <v>15 SOUTHLAND</v>
      </c>
      <c r="B1016" t="str">
        <f>'Unformatted Trip Summary'!J1014</f>
        <v>2032/33</v>
      </c>
      <c r="C1016" t="str">
        <f>'Unformatted Trip Summary'!I1014</f>
        <v>Cyclist</v>
      </c>
      <c r="D1016">
        <f>'Unformatted Trip Summary'!D1014</f>
        <v>19</v>
      </c>
      <c r="E1016">
        <f>'Unformatted Trip Summary'!E1014</f>
        <v>72</v>
      </c>
      <c r="F1016" s="1">
        <f>'Unformatted Trip Summary'!F1014</f>
        <v>1.0604580653</v>
      </c>
      <c r="G1016" s="1">
        <f>'Unformatted Trip Summary'!G1014</f>
        <v>6.6417868208000002</v>
      </c>
      <c r="H1016" s="1">
        <f>'Unformatted Trip Summary'!H1014</f>
        <v>0.46887755920000002</v>
      </c>
    </row>
    <row r="1017" spans="1:8" x14ac:dyDescent="0.2">
      <c r="A1017" t="str">
        <f>'Unformatted Trip Summary'!A1015</f>
        <v>15 SOUTHLAND</v>
      </c>
      <c r="B1017" t="str">
        <f>'Unformatted Trip Summary'!J1015</f>
        <v>2037/38</v>
      </c>
      <c r="C1017" t="str">
        <f>'Unformatted Trip Summary'!I1015</f>
        <v>Cyclist</v>
      </c>
      <c r="D1017">
        <f>'Unformatted Trip Summary'!D1015</f>
        <v>19</v>
      </c>
      <c r="E1017">
        <f>'Unformatted Trip Summary'!E1015</f>
        <v>72</v>
      </c>
      <c r="F1017" s="1">
        <f>'Unformatted Trip Summary'!F1015</f>
        <v>1.0033851702000001</v>
      </c>
      <c r="G1017" s="1">
        <f>'Unformatted Trip Summary'!G1015</f>
        <v>6.0825345807</v>
      </c>
      <c r="H1017" s="1">
        <f>'Unformatted Trip Summary'!H1015</f>
        <v>0.43267329360000001</v>
      </c>
    </row>
    <row r="1018" spans="1:8" x14ac:dyDescent="0.2">
      <c r="A1018" t="str">
        <f>'Unformatted Trip Summary'!A1016</f>
        <v>15 SOUTHLAND</v>
      </c>
      <c r="B1018" t="str">
        <f>'Unformatted Trip Summary'!J1016</f>
        <v>2042/43</v>
      </c>
      <c r="C1018" t="str">
        <f>'Unformatted Trip Summary'!I1016</f>
        <v>Cyclist</v>
      </c>
      <c r="D1018">
        <f>'Unformatted Trip Summary'!D1016</f>
        <v>19</v>
      </c>
      <c r="E1018">
        <f>'Unformatted Trip Summary'!E1016</f>
        <v>72</v>
      </c>
      <c r="F1018" s="1">
        <f>'Unformatted Trip Summary'!F1016</f>
        <v>0.94226306670000004</v>
      </c>
      <c r="G1018" s="1">
        <f>'Unformatted Trip Summary'!G1016</f>
        <v>5.5625070072999998</v>
      </c>
      <c r="H1018" s="1">
        <f>'Unformatted Trip Summary'!H1016</f>
        <v>0.3980852621</v>
      </c>
    </row>
    <row r="1019" spans="1:8" x14ac:dyDescent="0.2">
      <c r="A1019" t="str">
        <f>'Unformatted Trip Summary'!A1017</f>
        <v>15 SOUTHLAND</v>
      </c>
      <c r="B1019" t="str">
        <f>'Unformatted Trip Summary'!J1017</f>
        <v>2012/13</v>
      </c>
      <c r="C1019" t="str">
        <f>'Unformatted Trip Summary'!I1017</f>
        <v>Light Vehicle Driver</v>
      </c>
      <c r="D1019">
        <f>'Unformatted Trip Summary'!D1017</f>
        <v>442</v>
      </c>
      <c r="E1019">
        <f>'Unformatted Trip Summary'!E1017</f>
        <v>3080</v>
      </c>
      <c r="F1019" s="1">
        <f>'Unformatted Trip Summary'!F1017</f>
        <v>66.981547285000005</v>
      </c>
      <c r="G1019" s="1">
        <f>'Unformatted Trip Summary'!G1017</f>
        <v>657.74873722999996</v>
      </c>
      <c r="H1019" s="1">
        <f>'Unformatted Trip Summary'!H1017</f>
        <v>14.603785903</v>
      </c>
    </row>
    <row r="1020" spans="1:8" x14ac:dyDescent="0.2">
      <c r="A1020" t="str">
        <f>'Unformatted Trip Summary'!A1018</f>
        <v>15 SOUTHLAND</v>
      </c>
      <c r="B1020" t="str">
        <f>'Unformatted Trip Summary'!J1018</f>
        <v>2017/18</v>
      </c>
      <c r="C1020" t="str">
        <f>'Unformatted Trip Summary'!I1018</f>
        <v>Light Vehicle Driver</v>
      </c>
      <c r="D1020">
        <f>'Unformatted Trip Summary'!D1018</f>
        <v>442</v>
      </c>
      <c r="E1020">
        <f>'Unformatted Trip Summary'!E1018</f>
        <v>3080</v>
      </c>
      <c r="F1020" s="1">
        <f>'Unformatted Trip Summary'!F1018</f>
        <v>65.392852241</v>
      </c>
      <c r="G1020" s="1">
        <f>'Unformatted Trip Summary'!G1018</f>
        <v>666.29178116000003</v>
      </c>
      <c r="H1020" s="1">
        <f>'Unformatted Trip Summary'!H1018</f>
        <v>14.606166591999999</v>
      </c>
    </row>
    <row r="1021" spans="1:8" x14ac:dyDescent="0.2">
      <c r="A1021" t="str">
        <f>'Unformatted Trip Summary'!A1019</f>
        <v>15 SOUTHLAND</v>
      </c>
      <c r="B1021" t="str">
        <f>'Unformatted Trip Summary'!J1019</f>
        <v>2022/23</v>
      </c>
      <c r="C1021" t="str">
        <f>'Unformatted Trip Summary'!I1019</f>
        <v>Light Vehicle Driver</v>
      </c>
      <c r="D1021">
        <f>'Unformatted Trip Summary'!D1019</f>
        <v>442</v>
      </c>
      <c r="E1021">
        <f>'Unformatted Trip Summary'!E1019</f>
        <v>3080</v>
      </c>
      <c r="F1021" s="1">
        <f>'Unformatted Trip Summary'!F1019</f>
        <v>68.102487831000005</v>
      </c>
      <c r="G1021" s="1">
        <f>'Unformatted Trip Summary'!G1019</f>
        <v>722.62977076000004</v>
      </c>
      <c r="H1021" s="1">
        <f>'Unformatted Trip Summary'!H1019</f>
        <v>15.616930379999999</v>
      </c>
    </row>
    <row r="1022" spans="1:8" x14ac:dyDescent="0.2">
      <c r="A1022" t="str">
        <f>'Unformatted Trip Summary'!A1020</f>
        <v>15 SOUTHLAND</v>
      </c>
      <c r="B1022" t="str">
        <f>'Unformatted Trip Summary'!J1020</f>
        <v>2027/28</v>
      </c>
      <c r="C1022" t="str">
        <f>'Unformatted Trip Summary'!I1020</f>
        <v>Light Vehicle Driver</v>
      </c>
      <c r="D1022">
        <f>'Unformatted Trip Summary'!D1020</f>
        <v>442</v>
      </c>
      <c r="E1022">
        <f>'Unformatted Trip Summary'!E1020</f>
        <v>3080</v>
      </c>
      <c r="F1022" s="1">
        <f>'Unformatted Trip Summary'!F1020</f>
        <v>67.216676777000004</v>
      </c>
      <c r="G1022" s="1">
        <f>'Unformatted Trip Summary'!G1020</f>
        <v>727.88076692000004</v>
      </c>
      <c r="H1022" s="1">
        <f>'Unformatted Trip Summary'!H1020</f>
        <v>15.574776464999999</v>
      </c>
    </row>
    <row r="1023" spans="1:8" x14ac:dyDescent="0.2">
      <c r="A1023" t="str">
        <f>'Unformatted Trip Summary'!A1021</f>
        <v>15 SOUTHLAND</v>
      </c>
      <c r="B1023" t="str">
        <f>'Unformatted Trip Summary'!J1021</f>
        <v>2032/33</v>
      </c>
      <c r="C1023" t="str">
        <f>'Unformatted Trip Summary'!I1021</f>
        <v>Light Vehicle Driver</v>
      </c>
      <c r="D1023">
        <f>'Unformatted Trip Summary'!D1021</f>
        <v>442</v>
      </c>
      <c r="E1023">
        <f>'Unformatted Trip Summary'!E1021</f>
        <v>3080</v>
      </c>
      <c r="F1023" s="1">
        <f>'Unformatted Trip Summary'!F1021</f>
        <v>66.527659761999999</v>
      </c>
      <c r="G1023" s="1">
        <f>'Unformatted Trip Summary'!G1021</f>
        <v>728.78228586</v>
      </c>
      <c r="H1023" s="1">
        <f>'Unformatted Trip Summary'!H1021</f>
        <v>15.487512425</v>
      </c>
    </row>
    <row r="1024" spans="1:8" x14ac:dyDescent="0.2">
      <c r="A1024" t="str">
        <f>'Unformatted Trip Summary'!A1022</f>
        <v>15 SOUTHLAND</v>
      </c>
      <c r="B1024" t="str">
        <f>'Unformatted Trip Summary'!J1022</f>
        <v>2037/38</v>
      </c>
      <c r="C1024" t="str">
        <f>'Unformatted Trip Summary'!I1022</f>
        <v>Light Vehicle Driver</v>
      </c>
      <c r="D1024">
        <f>'Unformatted Trip Summary'!D1022</f>
        <v>442</v>
      </c>
      <c r="E1024">
        <f>'Unformatted Trip Summary'!E1022</f>
        <v>3080</v>
      </c>
      <c r="F1024" s="1">
        <f>'Unformatted Trip Summary'!F1022</f>
        <v>65.170134719000004</v>
      </c>
      <c r="G1024" s="1">
        <f>'Unformatted Trip Summary'!G1022</f>
        <v>719.11388284999998</v>
      </c>
      <c r="H1024" s="1">
        <f>'Unformatted Trip Summary'!H1022</f>
        <v>15.212546103999999</v>
      </c>
    </row>
    <row r="1025" spans="1:8" x14ac:dyDescent="0.2">
      <c r="A1025" t="str">
        <f>'Unformatted Trip Summary'!A1023</f>
        <v>15 SOUTHLAND</v>
      </c>
      <c r="B1025" t="str">
        <f>'Unformatted Trip Summary'!J1023</f>
        <v>2042/43</v>
      </c>
      <c r="C1025" t="str">
        <f>'Unformatted Trip Summary'!I1023</f>
        <v>Light Vehicle Driver</v>
      </c>
      <c r="D1025">
        <f>'Unformatted Trip Summary'!D1023</f>
        <v>442</v>
      </c>
      <c r="E1025">
        <f>'Unformatted Trip Summary'!E1023</f>
        <v>3080</v>
      </c>
      <c r="F1025" s="1">
        <f>'Unformatted Trip Summary'!F1023</f>
        <v>63.642317329000001</v>
      </c>
      <c r="G1025" s="1">
        <f>'Unformatted Trip Summary'!G1023</f>
        <v>706.49431984</v>
      </c>
      <c r="H1025" s="1">
        <f>'Unformatted Trip Summary'!H1023</f>
        <v>14.871700097</v>
      </c>
    </row>
    <row r="1026" spans="1:8" x14ac:dyDescent="0.2">
      <c r="A1026" t="str">
        <f>'Unformatted Trip Summary'!A1024</f>
        <v>15 SOUTHLAND</v>
      </c>
      <c r="B1026" t="str">
        <f>'Unformatted Trip Summary'!J1024</f>
        <v>2012/13</v>
      </c>
      <c r="C1026" t="str">
        <f>'Unformatted Trip Summary'!I1024</f>
        <v>Light Vehicle Passenger</v>
      </c>
      <c r="D1026">
        <f>'Unformatted Trip Summary'!D1024</f>
        <v>289</v>
      </c>
      <c r="E1026">
        <f>'Unformatted Trip Summary'!E1024</f>
        <v>1411</v>
      </c>
      <c r="F1026" s="1">
        <f>'Unformatted Trip Summary'!F1024</f>
        <v>28.419434702</v>
      </c>
      <c r="G1026" s="1">
        <f>'Unformatted Trip Summary'!G1024</f>
        <v>380.70733008000002</v>
      </c>
      <c r="H1026" s="1">
        <f>'Unformatted Trip Summary'!H1024</f>
        <v>7.5859087797999996</v>
      </c>
    </row>
    <row r="1027" spans="1:8" x14ac:dyDescent="0.2">
      <c r="A1027" t="str">
        <f>'Unformatted Trip Summary'!A1025</f>
        <v>15 SOUTHLAND</v>
      </c>
      <c r="B1027" t="str">
        <f>'Unformatted Trip Summary'!J1025</f>
        <v>2017/18</v>
      </c>
      <c r="C1027" t="str">
        <f>'Unformatted Trip Summary'!I1025</f>
        <v>Light Vehicle Passenger</v>
      </c>
      <c r="D1027">
        <f>'Unformatted Trip Summary'!D1025</f>
        <v>289</v>
      </c>
      <c r="E1027">
        <f>'Unformatted Trip Summary'!E1025</f>
        <v>1411</v>
      </c>
      <c r="F1027" s="1">
        <f>'Unformatted Trip Summary'!F1025</f>
        <v>25.446795404</v>
      </c>
      <c r="G1027" s="1">
        <f>'Unformatted Trip Summary'!G1025</f>
        <v>367.84409948000001</v>
      </c>
      <c r="H1027" s="1">
        <f>'Unformatted Trip Summary'!H1025</f>
        <v>7.1522637926000003</v>
      </c>
    </row>
    <row r="1028" spans="1:8" x14ac:dyDescent="0.2">
      <c r="A1028" t="str">
        <f>'Unformatted Trip Summary'!A1026</f>
        <v>15 SOUTHLAND</v>
      </c>
      <c r="B1028" t="str">
        <f>'Unformatted Trip Summary'!J1026</f>
        <v>2022/23</v>
      </c>
      <c r="C1028" t="str">
        <f>'Unformatted Trip Summary'!I1026</f>
        <v>Light Vehicle Passenger</v>
      </c>
      <c r="D1028">
        <f>'Unformatted Trip Summary'!D1026</f>
        <v>289</v>
      </c>
      <c r="E1028">
        <f>'Unformatted Trip Summary'!E1026</f>
        <v>1411</v>
      </c>
      <c r="F1028" s="1">
        <f>'Unformatted Trip Summary'!F1026</f>
        <v>25.191038403</v>
      </c>
      <c r="G1028" s="1">
        <f>'Unformatted Trip Summary'!G1026</f>
        <v>392.05091121999999</v>
      </c>
      <c r="H1028" s="1">
        <f>'Unformatted Trip Summary'!H1026</f>
        <v>7.4522843251999999</v>
      </c>
    </row>
    <row r="1029" spans="1:8" x14ac:dyDescent="0.2">
      <c r="A1029" t="str">
        <f>'Unformatted Trip Summary'!A1027</f>
        <v>15 SOUTHLAND</v>
      </c>
      <c r="B1029" t="str">
        <f>'Unformatted Trip Summary'!J1027</f>
        <v>2027/28</v>
      </c>
      <c r="C1029" t="str">
        <f>'Unformatted Trip Summary'!I1027</f>
        <v>Light Vehicle Passenger</v>
      </c>
      <c r="D1029">
        <f>'Unformatted Trip Summary'!D1027</f>
        <v>289</v>
      </c>
      <c r="E1029">
        <f>'Unformatted Trip Summary'!E1027</f>
        <v>1411</v>
      </c>
      <c r="F1029" s="1">
        <f>'Unformatted Trip Summary'!F1027</f>
        <v>24.13937687</v>
      </c>
      <c r="G1029" s="1">
        <f>'Unformatted Trip Summary'!G1027</f>
        <v>389.08664056999999</v>
      </c>
      <c r="H1029" s="1">
        <f>'Unformatted Trip Summary'!H1027</f>
        <v>7.3108640722000002</v>
      </c>
    </row>
    <row r="1030" spans="1:8" x14ac:dyDescent="0.2">
      <c r="A1030" t="str">
        <f>'Unformatted Trip Summary'!A1028</f>
        <v>15 SOUTHLAND</v>
      </c>
      <c r="B1030" t="str">
        <f>'Unformatted Trip Summary'!J1028</f>
        <v>2032/33</v>
      </c>
      <c r="C1030" t="str">
        <f>'Unformatted Trip Summary'!I1028</f>
        <v>Light Vehicle Passenger</v>
      </c>
      <c r="D1030">
        <f>'Unformatted Trip Summary'!D1028</f>
        <v>289</v>
      </c>
      <c r="E1030">
        <f>'Unformatted Trip Summary'!E1028</f>
        <v>1411</v>
      </c>
      <c r="F1030" s="1">
        <f>'Unformatted Trip Summary'!F1028</f>
        <v>22.951022318</v>
      </c>
      <c r="G1030" s="1">
        <f>'Unformatted Trip Summary'!G1028</f>
        <v>378.11002635</v>
      </c>
      <c r="H1030" s="1">
        <f>'Unformatted Trip Summary'!H1028</f>
        <v>7.0438011019999998</v>
      </c>
    </row>
    <row r="1031" spans="1:8" x14ac:dyDescent="0.2">
      <c r="A1031" t="str">
        <f>'Unformatted Trip Summary'!A1029</f>
        <v>15 SOUTHLAND</v>
      </c>
      <c r="B1031" t="str">
        <f>'Unformatted Trip Summary'!J1029</f>
        <v>2037/38</v>
      </c>
      <c r="C1031" t="str">
        <f>'Unformatted Trip Summary'!I1029</f>
        <v>Light Vehicle Passenger</v>
      </c>
      <c r="D1031">
        <f>'Unformatted Trip Summary'!D1029</f>
        <v>289</v>
      </c>
      <c r="E1031">
        <f>'Unformatted Trip Summary'!E1029</f>
        <v>1411</v>
      </c>
      <c r="F1031" s="1">
        <f>'Unformatted Trip Summary'!F1029</f>
        <v>21.530759351</v>
      </c>
      <c r="G1031" s="1">
        <f>'Unformatted Trip Summary'!G1029</f>
        <v>359.64006092</v>
      </c>
      <c r="H1031" s="1">
        <f>'Unformatted Trip Summary'!H1029</f>
        <v>6.6466078489999996</v>
      </c>
    </row>
    <row r="1032" spans="1:8" x14ac:dyDescent="0.2">
      <c r="A1032" t="str">
        <f>'Unformatted Trip Summary'!A1030</f>
        <v>15 SOUTHLAND</v>
      </c>
      <c r="B1032" t="str">
        <f>'Unformatted Trip Summary'!J1030</f>
        <v>2042/43</v>
      </c>
      <c r="C1032" t="str">
        <f>'Unformatted Trip Summary'!I1030</f>
        <v>Light Vehicle Passenger</v>
      </c>
      <c r="D1032">
        <f>'Unformatted Trip Summary'!D1030</f>
        <v>289</v>
      </c>
      <c r="E1032">
        <f>'Unformatted Trip Summary'!E1030</f>
        <v>1411</v>
      </c>
      <c r="F1032" s="1">
        <f>'Unformatted Trip Summary'!F1030</f>
        <v>20.078304930000002</v>
      </c>
      <c r="G1032" s="1">
        <f>'Unformatted Trip Summary'!G1030</f>
        <v>338.69414740000002</v>
      </c>
      <c r="H1032" s="1">
        <f>'Unformatted Trip Summary'!H1030</f>
        <v>6.2101811839999996</v>
      </c>
    </row>
    <row r="1033" spans="1:8" x14ac:dyDescent="0.2">
      <c r="A1033" t="str">
        <f>'Unformatted Trip Summary'!A1031</f>
        <v>15 SOUTHLAND</v>
      </c>
      <c r="B1033" t="str">
        <f>'Unformatted Trip Summary'!J1031</f>
        <v>2012/13</v>
      </c>
      <c r="C1033" t="str">
        <f>'Unformatted Trip Summary'!I1031</f>
        <v>Taxi/Vehicle Share</v>
      </c>
      <c r="D1033">
        <f>'Unformatted Trip Summary'!D1031</f>
        <v>4</v>
      </c>
      <c r="E1033">
        <f>'Unformatted Trip Summary'!E1031</f>
        <v>15</v>
      </c>
      <c r="F1033" s="1">
        <f>'Unformatted Trip Summary'!F1031</f>
        <v>0.47613164409999997</v>
      </c>
      <c r="G1033" s="1">
        <f>'Unformatted Trip Summary'!G1031</f>
        <v>1.2430116738999999</v>
      </c>
      <c r="H1033" s="1">
        <f>'Unformatted Trip Summary'!H1031</f>
        <v>6.6688903300000005E-2</v>
      </c>
    </row>
    <row r="1034" spans="1:8" x14ac:dyDescent="0.2">
      <c r="A1034" t="str">
        <f>'Unformatted Trip Summary'!A1032</f>
        <v>15 SOUTHLAND</v>
      </c>
      <c r="B1034" t="str">
        <f>'Unformatted Trip Summary'!J1032</f>
        <v>2017/18</v>
      </c>
      <c r="C1034" t="str">
        <f>'Unformatted Trip Summary'!I1032</f>
        <v>Taxi/Vehicle Share</v>
      </c>
      <c r="D1034">
        <f>'Unformatted Trip Summary'!D1032</f>
        <v>4</v>
      </c>
      <c r="E1034">
        <f>'Unformatted Trip Summary'!E1032</f>
        <v>15</v>
      </c>
      <c r="F1034" s="1">
        <f>'Unformatted Trip Summary'!F1032</f>
        <v>0.4820430745</v>
      </c>
      <c r="G1034" s="1">
        <f>'Unformatted Trip Summary'!G1032</f>
        <v>1.375836783</v>
      </c>
      <c r="H1034" s="1">
        <f>'Unformatted Trip Summary'!H1032</f>
        <v>7.19539597E-2</v>
      </c>
    </row>
    <row r="1035" spans="1:8" x14ac:dyDescent="0.2">
      <c r="A1035" t="str">
        <f>'Unformatted Trip Summary'!A1033</f>
        <v>15 SOUTHLAND</v>
      </c>
      <c r="B1035" t="str">
        <f>'Unformatted Trip Summary'!J1033</f>
        <v>2022/23</v>
      </c>
      <c r="C1035" t="str">
        <f>'Unformatted Trip Summary'!I1033</f>
        <v>Taxi/Vehicle Share</v>
      </c>
      <c r="D1035">
        <f>'Unformatted Trip Summary'!D1033</f>
        <v>4</v>
      </c>
      <c r="E1035">
        <f>'Unformatted Trip Summary'!E1033</f>
        <v>15</v>
      </c>
      <c r="F1035" s="1">
        <f>'Unformatted Trip Summary'!F1033</f>
        <v>0.5437090041</v>
      </c>
      <c r="G1035" s="1">
        <f>'Unformatted Trip Summary'!G1033</f>
        <v>1.6434044005999999</v>
      </c>
      <c r="H1035" s="1">
        <f>'Unformatted Trip Summary'!H1033</f>
        <v>8.4505916700000003E-2</v>
      </c>
    </row>
    <row r="1036" spans="1:8" x14ac:dyDescent="0.2">
      <c r="A1036" t="str">
        <f>'Unformatted Trip Summary'!A1034</f>
        <v>15 SOUTHLAND</v>
      </c>
      <c r="B1036" t="str">
        <f>'Unformatted Trip Summary'!J1034</f>
        <v>2027/28</v>
      </c>
      <c r="C1036" t="str">
        <f>'Unformatted Trip Summary'!I1034</f>
        <v>Taxi/Vehicle Share</v>
      </c>
      <c r="D1036">
        <f>'Unformatted Trip Summary'!D1034</f>
        <v>4</v>
      </c>
      <c r="E1036">
        <f>'Unformatted Trip Summary'!E1034</f>
        <v>15</v>
      </c>
      <c r="F1036" s="1">
        <f>'Unformatted Trip Summary'!F1034</f>
        <v>0.57898426140000003</v>
      </c>
      <c r="G1036" s="1">
        <f>'Unformatted Trip Summary'!G1034</f>
        <v>1.7651994439000001</v>
      </c>
      <c r="H1036" s="1">
        <f>'Unformatted Trip Summary'!H1034</f>
        <v>9.0310212900000006E-2</v>
      </c>
    </row>
    <row r="1037" spans="1:8" x14ac:dyDescent="0.2">
      <c r="A1037" t="str">
        <f>'Unformatted Trip Summary'!A1035</f>
        <v>15 SOUTHLAND</v>
      </c>
      <c r="B1037" t="str">
        <f>'Unformatted Trip Summary'!J1035</f>
        <v>2032/33</v>
      </c>
      <c r="C1037" t="str">
        <f>'Unformatted Trip Summary'!I1035</f>
        <v>Taxi/Vehicle Share</v>
      </c>
      <c r="D1037">
        <f>'Unformatted Trip Summary'!D1035</f>
        <v>4</v>
      </c>
      <c r="E1037">
        <f>'Unformatted Trip Summary'!E1035</f>
        <v>15</v>
      </c>
      <c r="F1037" s="1">
        <f>'Unformatted Trip Summary'!F1035</f>
        <v>0.61023498229999995</v>
      </c>
      <c r="G1037" s="1">
        <f>'Unformatted Trip Summary'!G1035</f>
        <v>1.8438430937000001</v>
      </c>
      <c r="H1037" s="1">
        <f>'Unformatted Trip Summary'!H1035</f>
        <v>9.4323095100000004E-2</v>
      </c>
    </row>
    <row r="1038" spans="1:8" x14ac:dyDescent="0.2">
      <c r="A1038" t="str">
        <f>'Unformatted Trip Summary'!A1036</f>
        <v>15 SOUTHLAND</v>
      </c>
      <c r="B1038" t="str">
        <f>'Unformatted Trip Summary'!J1036</f>
        <v>2037/38</v>
      </c>
      <c r="C1038" t="str">
        <f>'Unformatted Trip Summary'!I1036</f>
        <v>Taxi/Vehicle Share</v>
      </c>
      <c r="D1038">
        <f>'Unformatted Trip Summary'!D1036</f>
        <v>4</v>
      </c>
      <c r="E1038">
        <f>'Unformatted Trip Summary'!E1036</f>
        <v>15</v>
      </c>
      <c r="F1038" s="1">
        <f>'Unformatted Trip Summary'!F1036</f>
        <v>0.62554769750000006</v>
      </c>
      <c r="G1038" s="1">
        <f>'Unformatted Trip Summary'!G1036</f>
        <v>1.8685468395</v>
      </c>
      <c r="H1038" s="1">
        <f>'Unformatted Trip Summary'!H1036</f>
        <v>9.5665201399999997E-2</v>
      </c>
    </row>
    <row r="1039" spans="1:8" x14ac:dyDescent="0.2">
      <c r="A1039" t="str">
        <f>'Unformatted Trip Summary'!A1037</f>
        <v>15 SOUTHLAND</v>
      </c>
      <c r="B1039" t="str">
        <f>'Unformatted Trip Summary'!J1037</f>
        <v>2042/43</v>
      </c>
      <c r="C1039" t="str">
        <f>'Unformatted Trip Summary'!I1037</f>
        <v>Taxi/Vehicle Share</v>
      </c>
      <c r="D1039">
        <f>'Unformatted Trip Summary'!D1037</f>
        <v>4</v>
      </c>
      <c r="E1039">
        <f>'Unformatted Trip Summary'!E1037</f>
        <v>15</v>
      </c>
      <c r="F1039" s="1">
        <f>'Unformatted Trip Summary'!F1037</f>
        <v>0.63542328510000001</v>
      </c>
      <c r="G1039" s="1">
        <f>'Unformatted Trip Summary'!G1037</f>
        <v>1.8718538313999999</v>
      </c>
      <c r="H1039" s="1">
        <f>'Unformatted Trip Summary'!H1037</f>
        <v>9.6013659599999995E-2</v>
      </c>
    </row>
    <row r="1040" spans="1:8" x14ac:dyDescent="0.2">
      <c r="A1040" t="str">
        <f>'Unformatted Trip Summary'!A1038</f>
        <v>15 SOUTHLAND</v>
      </c>
      <c r="B1040" t="str">
        <f>'Unformatted Trip Summary'!J1038</f>
        <v>2012/13</v>
      </c>
      <c r="C1040" t="str">
        <f>'Unformatted Trip Summary'!I1038</f>
        <v>Motorcyclist</v>
      </c>
      <c r="D1040">
        <f>'Unformatted Trip Summary'!D1038</f>
        <v>8</v>
      </c>
      <c r="E1040">
        <f>'Unformatted Trip Summary'!E1038</f>
        <v>32</v>
      </c>
      <c r="F1040" s="1">
        <f>'Unformatted Trip Summary'!F1038</f>
        <v>0.62652592730000001</v>
      </c>
      <c r="G1040" s="1">
        <f>'Unformatted Trip Summary'!G1038</f>
        <v>18.926640866</v>
      </c>
      <c r="H1040" s="1">
        <f>'Unformatted Trip Summary'!H1038</f>
        <v>0.2609239458</v>
      </c>
    </row>
    <row r="1041" spans="1:8" x14ac:dyDescent="0.2">
      <c r="A1041" t="str">
        <f>'Unformatted Trip Summary'!A1039</f>
        <v>15 SOUTHLAND</v>
      </c>
      <c r="B1041" t="str">
        <f>'Unformatted Trip Summary'!J1039</f>
        <v>2017/18</v>
      </c>
      <c r="C1041" t="str">
        <f>'Unformatted Trip Summary'!I1039</f>
        <v>Motorcyclist</v>
      </c>
      <c r="D1041">
        <f>'Unformatted Trip Summary'!D1039</f>
        <v>8</v>
      </c>
      <c r="E1041">
        <f>'Unformatted Trip Summary'!E1039</f>
        <v>32</v>
      </c>
      <c r="F1041" s="1">
        <f>'Unformatted Trip Summary'!F1039</f>
        <v>0.68163207020000005</v>
      </c>
      <c r="G1041" s="1">
        <f>'Unformatted Trip Summary'!G1039</f>
        <v>23.882127985</v>
      </c>
      <c r="H1041" s="1">
        <f>'Unformatted Trip Summary'!H1039</f>
        <v>0.3201199414</v>
      </c>
    </row>
    <row r="1042" spans="1:8" x14ac:dyDescent="0.2">
      <c r="A1042" t="str">
        <f>'Unformatted Trip Summary'!A1040</f>
        <v>15 SOUTHLAND</v>
      </c>
      <c r="B1042" t="str">
        <f>'Unformatted Trip Summary'!J1040</f>
        <v>2022/23</v>
      </c>
      <c r="C1042" t="str">
        <f>'Unformatted Trip Summary'!I1040</f>
        <v>Motorcyclist</v>
      </c>
      <c r="D1042">
        <f>'Unformatted Trip Summary'!D1040</f>
        <v>8</v>
      </c>
      <c r="E1042">
        <f>'Unformatted Trip Summary'!E1040</f>
        <v>32</v>
      </c>
      <c r="F1042" s="1">
        <f>'Unformatted Trip Summary'!F1040</f>
        <v>0.78358841079999997</v>
      </c>
      <c r="G1042" s="1">
        <f>'Unformatted Trip Summary'!G1040</f>
        <v>30.359591551000001</v>
      </c>
      <c r="H1042" s="1">
        <f>'Unformatted Trip Summary'!H1040</f>
        <v>0.39984510919999999</v>
      </c>
    </row>
    <row r="1043" spans="1:8" x14ac:dyDescent="0.2">
      <c r="A1043" t="str">
        <f>'Unformatted Trip Summary'!A1041</f>
        <v>15 SOUTHLAND</v>
      </c>
      <c r="B1043" t="str">
        <f>'Unformatted Trip Summary'!J1041</f>
        <v>2027/28</v>
      </c>
      <c r="C1043" t="str">
        <f>'Unformatted Trip Summary'!I1041</f>
        <v>Motorcyclist</v>
      </c>
      <c r="D1043">
        <f>'Unformatted Trip Summary'!D1041</f>
        <v>8</v>
      </c>
      <c r="E1043">
        <f>'Unformatted Trip Summary'!E1041</f>
        <v>32</v>
      </c>
      <c r="F1043" s="1">
        <f>'Unformatted Trip Summary'!F1041</f>
        <v>0.80952731379999998</v>
      </c>
      <c r="G1043" s="1">
        <f>'Unformatted Trip Summary'!G1041</f>
        <v>32.291606518000002</v>
      </c>
      <c r="H1043" s="1">
        <f>'Unformatted Trip Summary'!H1041</f>
        <v>0.42280207720000001</v>
      </c>
    </row>
    <row r="1044" spans="1:8" x14ac:dyDescent="0.2">
      <c r="A1044" t="str">
        <f>'Unformatted Trip Summary'!A1042</f>
        <v>15 SOUTHLAND</v>
      </c>
      <c r="B1044" t="str">
        <f>'Unformatted Trip Summary'!J1042</f>
        <v>2032/33</v>
      </c>
      <c r="C1044" t="str">
        <f>'Unformatted Trip Summary'!I1042</f>
        <v>Motorcyclist</v>
      </c>
      <c r="D1044">
        <f>'Unformatted Trip Summary'!D1042</f>
        <v>8</v>
      </c>
      <c r="E1044">
        <f>'Unformatted Trip Summary'!E1042</f>
        <v>32</v>
      </c>
      <c r="F1044" s="1">
        <f>'Unformatted Trip Summary'!F1042</f>
        <v>0.79984297199999999</v>
      </c>
      <c r="G1044" s="1">
        <f>'Unformatted Trip Summary'!G1042</f>
        <v>32.572414488</v>
      </c>
      <c r="H1044" s="1">
        <f>'Unformatted Trip Summary'!H1042</f>
        <v>0.4246982567</v>
      </c>
    </row>
    <row r="1045" spans="1:8" x14ac:dyDescent="0.2">
      <c r="A1045" t="str">
        <f>'Unformatted Trip Summary'!A1043</f>
        <v>15 SOUTHLAND</v>
      </c>
      <c r="B1045" t="str">
        <f>'Unformatted Trip Summary'!J1043</f>
        <v>2037/38</v>
      </c>
      <c r="C1045" t="str">
        <f>'Unformatted Trip Summary'!I1043</f>
        <v>Motorcyclist</v>
      </c>
      <c r="D1045">
        <f>'Unformatted Trip Summary'!D1043</f>
        <v>8</v>
      </c>
      <c r="E1045">
        <f>'Unformatted Trip Summary'!E1043</f>
        <v>32</v>
      </c>
      <c r="F1045" s="1">
        <f>'Unformatted Trip Summary'!F1043</f>
        <v>0.76627698050000004</v>
      </c>
      <c r="G1045" s="1">
        <f>'Unformatted Trip Summary'!G1043</f>
        <v>31.700759409</v>
      </c>
      <c r="H1045" s="1">
        <f>'Unformatted Trip Summary'!H1043</f>
        <v>0.41221104790000002</v>
      </c>
    </row>
    <row r="1046" spans="1:8" x14ac:dyDescent="0.2">
      <c r="A1046" t="str">
        <f>'Unformatted Trip Summary'!A1044</f>
        <v>15 SOUTHLAND</v>
      </c>
      <c r="B1046" t="str">
        <f>'Unformatted Trip Summary'!J1044</f>
        <v>2042/43</v>
      </c>
      <c r="C1046" t="str">
        <f>'Unformatted Trip Summary'!I1044</f>
        <v>Motorcyclist</v>
      </c>
      <c r="D1046">
        <f>'Unformatted Trip Summary'!D1044</f>
        <v>8</v>
      </c>
      <c r="E1046">
        <f>'Unformatted Trip Summary'!E1044</f>
        <v>32</v>
      </c>
      <c r="F1046" s="1">
        <f>'Unformatted Trip Summary'!F1044</f>
        <v>0.72578124860000004</v>
      </c>
      <c r="G1046" s="1">
        <f>'Unformatted Trip Summary'!G1044</f>
        <v>30.354533956000001</v>
      </c>
      <c r="H1046" s="1">
        <f>'Unformatted Trip Summary'!H1044</f>
        <v>0.39392368500000002</v>
      </c>
    </row>
    <row r="1047" spans="1:8" x14ac:dyDescent="0.2">
      <c r="A1047" t="str">
        <f>'Unformatted Trip Summary'!A1045</f>
        <v>15 SOUTHLAND</v>
      </c>
      <c r="B1047" t="str">
        <f>'Unformatted Trip Summary'!J1045</f>
        <v>2012/13</v>
      </c>
      <c r="C1047" t="str">
        <f>'Unformatted Trip Summary'!I1045</f>
        <v>Local Bus</v>
      </c>
      <c r="D1047">
        <f>'Unformatted Trip Summary'!D1045</f>
        <v>37</v>
      </c>
      <c r="E1047">
        <f>'Unformatted Trip Summary'!E1045</f>
        <v>119</v>
      </c>
      <c r="F1047" s="1">
        <f>'Unformatted Trip Summary'!F1045</f>
        <v>2.6369167839999998</v>
      </c>
      <c r="G1047" s="1">
        <f>'Unformatted Trip Summary'!G1045</f>
        <v>30.182609224</v>
      </c>
      <c r="H1047" s="1">
        <f>'Unformatted Trip Summary'!H1045</f>
        <v>1.2152660816</v>
      </c>
    </row>
    <row r="1048" spans="1:8" x14ac:dyDescent="0.2">
      <c r="A1048" t="str">
        <f>'Unformatted Trip Summary'!A1046</f>
        <v>15 SOUTHLAND</v>
      </c>
      <c r="B1048" t="str">
        <f>'Unformatted Trip Summary'!J1046</f>
        <v>2017/18</v>
      </c>
      <c r="C1048" t="str">
        <f>'Unformatted Trip Summary'!I1046</f>
        <v>Local Bus</v>
      </c>
      <c r="D1048">
        <f>'Unformatted Trip Summary'!D1046</f>
        <v>37</v>
      </c>
      <c r="E1048">
        <f>'Unformatted Trip Summary'!E1046</f>
        <v>119</v>
      </c>
      <c r="F1048" s="1">
        <f>'Unformatted Trip Summary'!F1046</f>
        <v>2.5400170551999999</v>
      </c>
      <c r="G1048" s="1">
        <f>'Unformatted Trip Summary'!G1046</f>
        <v>28.717855183000001</v>
      </c>
      <c r="H1048" s="1">
        <f>'Unformatted Trip Summary'!H1046</f>
        <v>1.1558512283</v>
      </c>
    </row>
    <row r="1049" spans="1:8" x14ac:dyDescent="0.2">
      <c r="A1049" t="str">
        <f>'Unformatted Trip Summary'!A1047</f>
        <v>15 SOUTHLAND</v>
      </c>
      <c r="B1049" t="str">
        <f>'Unformatted Trip Summary'!J1047</f>
        <v>2022/23</v>
      </c>
      <c r="C1049" t="str">
        <f>'Unformatted Trip Summary'!I1047</f>
        <v>Local Bus</v>
      </c>
      <c r="D1049">
        <f>'Unformatted Trip Summary'!D1047</f>
        <v>37</v>
      </c>
      <c r="E1049">
        <f>'Unformatted Trip Summary'!E1047</f>
        <v>119</v>
      </c>
      <c r="F1049" s="1">
        <f>'Unformatted Trip Summary'!F1047</f>
        <v>2.7237699873999999</v>
      </c>
      <c r="G1049" s="1">
        <f>'Unformatted Trip Summary'!G1047</f>
        <v>30.550754956999999</v>
      </c>
      <c r="H1049" s="1">
        <f>'Unformatted Trip Summary'!H1047</f>
        <v>1.2277835051999999</v>
      </c>
    </row>
    <row r="1050" spans="1:8" x14ac:dyDescent="0.2">
      <c r="A1050" t="str">
        <f>'Unformatted Trip Summary'!A1048</f>
        <v>15 SOUTHLAND</v>
      </c>
      <c r="B1050" t="str">
        <f>'Unformatted Trip Summary'!J1048</f>
        <v>2027/28</v>
      </c>
      <c r="C1050" t="str">
        <f>'Unformatted Trip Summary'!I1048</f>
        <v>Local Bus</v>
      </c>
      <c r="D1050">
        <f>'Unformatted Trip Summary'!D1048</f>
        <v>37</v>
      </c>
      <c r="E1050">
        <f>'Unformatted Trip Summary'!E1048</f>
        <v>119</v>
      </c>
      <c r="F1050" s="1">
        <f>'Unformatted Trip Summary'!F1048</f>
        <v>2.7910842603999999</v>
      </c>
      <c r="G1050" s="1">
        <f>'Unformatted Trip Summary'!G1048</f>
        <v>30.785974365000001</v>
      </c>
      <c r="H1050" s="1">
        <f>'Unformatted Trip Summary'!H1048</f>
        <v>1.2509423260000001</v>
      </c>
    </row>
    <row r="1051" spans="1:8" x14ac:dyDescent="0.2">
      <c r="A1051" t="str">
        <f>'Unformatted Trip Summary'!A1049</f>
        <v>15 SOUTHLAND</v>
      </c>
      <c r="B1051" t="str">
        <f>'Unformatted Trip Summary'!J1049</f>
        <v>2032/33</v>
      </c>
      <c r="C1051" t="str">
        <f>'Unformatted Trip Summary'!I1049</f>
        <v>Local Bus</v>
      </c>
      <c r="D1051">
        <f>'Unformatted Trip Summary'!D1049</f>
        <v>37</v>
      </c>
      <c r="E1051">
        <f>'Unformatted Trip Summary'!E1049</f>
        <v>119</v>
      </c>
      <c r="F1051" s="1">
        <f>'Unformatted Trip Summary'!F1049</f>
        <v>2.7348446332999998</v>
      </c>
      <c r="G1051" s="1">
        <f>'Unformatted Trip Summary'!G1049</f>
        <v>29.562617405000001</v>
      </c>
      <c r="H1051" s="1">
        <f>'Unformatted Trip Summary'!H1049</f>
        <v>1.2157783213</v>
      </c>
    </row>
    <row r="1052" spans="1:8" x14ac:dyDescent="0.2">
      <c r="A1052" t="str">
        <f>'Unformatted Trip Summary'!A1050</f>
        <v>15 SOUTHLAND</v>
      </c>
      <c r="B1052" t="str">
        <f>'Unformatted Trip Summary'!J1050</f>
        <v>2037/38</v>
      </c>
      <c r="C1052" t="str">
        <f>'Unformatted Trip Summary'!I1050</f>
        <v>Local Bus</v>
      </c>
      <c r="D1052">
        <f>'Unformatted Trip Summary'!D1050</f>
        <v>37</v>
      </c>
      <c r="E1052">
        <f>'Unformatted Trip Summary'!E1050</f>
        <v>119</v>
      </c>
      <c r="F1052" s="1">
        <f>'Unformatted Trip Summary'!F1050</f>
        <v>2.6345027650000001</v>
      </c>
      <c r="G1052" s="1">
        <f>'Unformatted Trip Summary'!G1050</f>
        <v>27.612833348999999</v>
      </c>
      <c r="H1052" s="1">
        <f>'Unformatted Trip Summary'!H1050</f>
        <v>1.1596359704999999</v>
      </c>
    </row>
    <row r="1053" spans="1:8" x14ac:dyDescent="0.2">
      <c r="A1053" t="str">
        <f>'Unformatted Trip Summary'!A1051</f>
        <v>15 SOUTHLAND</v>
      </c>
      <c r="B1053" t="str">
        <f>'Unformatted Trip Summary'!J1051</f>
        <v>2042/43</v>
      </c>
      <c r="C1053" t="str">
        <f>'Unformatted Trip Summary'!I1051</f>
        <v>Local Bus</v>
      </c>
      <c r="D1053">
        <f>'Unformatted Trip Summary'!D1051</f>
        <v>37</v>
      </c>
      <c r="E1053">
        <f>'Unformatted Trip Summary'!E1051</f>
        <v>119</v>
      </c>
      <c r="F1053" s="1">
        <f>'Unformatted Trip Summary'!F1051</f>
        <v>2.5180137083999998</v>
      </c>
      <c r="G1053" s="1">
        <f>'Unformatted Trip Summary'!G1051</f>
        <v>25.609573316999999</v>
      </c>
      <c r="H1053" s="1">
        <f>'Unformatted Trip Summary'!H1051</f>
        <v>1.0995886842</v>
      </c>
    </row>
    <row r="1054" spans="1:8" x14ac:dyDescent="0.2">
      <c r="A1054" t="str">
        <f>'Unformatted Trip Summary'!A1052</f>
        <v>15 SOUTHLAND</v>
      </c>
      <c r="B1054" t="str">
        <f>'Unformatted Trip Summary'!J1052</f>
        <v>2012/13</v>
      </c>
      <c r="C1054" t="str">
        <f>'Unformatted Trip Summary'!I1052</f>
        <v>Other Household Travel</v>
      </c>
      <c r="D1054">
        <f>'Unformatted Trip Summary'!D1052</f>
        <v>3</v>
      </c>
      <c r="E1054">
        <f>'Unformatted Trip Summary'!E1052</f>
        <v>20</v>
      </c>
      <c r="F1054" s="1">
        <f>'Unformatted Trip Summary'!F1052</f>
        <v>0.42937289560000003</v>
      </c>
      <c r="G1054" s="1">
        <f>'Unformatted Trip Summary'!G1052</f>
        <v>0</v>
      </c>
      <c r="H1054" s="1">
        <f>'Unformatted Trip Summary'!H1052</f>
        <v>8.5162673699999997E-2</v>
      </c>
    </row>
    <row r="1055" spans="1:8" x14ac:dyDescent="0.2">
      <c r="A1055" t="str">
        <f>'Unformatted Trip Summary'!A1053</f>
        <v>15 SOUTHLAND</v>
      </c>
      <c r="B1055" t="str">
        <f>'Unformatted Trip Summary'!J1053</f>
        <v>2017/18</v>
      </c>
      <c r="C1055" t="str">
        <f>'Unformatted Trip Summary'!I1053</f>
        <v>Other Household Travel</v>
      </c>
      <c r="D1055">
        <f>'Unformatted Trip Summary'!D1053</f>
        <v>3</v>
      </c>
      <c r="E1055">
        <f>'Unformatted Trip Summary'!E1053</f>
        <v>20</v>
      </c>
      <c r="F1055" s="1">
        <f>'Unformatted Trip Summary'!F1053</f>
        <v>0.47008191490000001</v>
      </c>
      <c r="G1055" s="1">
        <f>'Unformatted Trip Summary'!G1053</f>
        <v>0</v>
      </c>
      <c r="H1055" s="1">
        <f>'Unformatted Trip Summary'!H1053</f>
        <v>9.3476014499999996E-2</v>
      </c>
    </row>
    <row r="1056" spans="1:8" x14ac:dyDescent="0.2">
      <c r="A1056" t="str">
        <f>'Unformatted Trip Summary'!A1054</f>
        <v>15 SOUTHLAND</v>
      </c>
      <c r="B1056" t="str">
        <f>'Unformatted Trip Summary'!J1054</f>
        <v>2022/23</v>
      </c>
      <c r="C1056" t="str">
        <f>'Unformatted Trip Summary'!I1054</f>
        <v>Other Household Travel</v>
      </c>
      <c r="D1056">
        <f>'Unformatted Trip Summary'!D1054</f>
        <v>3</v>
      </c>
      <c r="E1056">
        <f>'Unformatted Trip Summary'!E1054</f>
        <v>20</v>
      </c>
      <c r="F1056" s="1">
        <f>'Unformatted Trip Summary'!F1054</f>
        <v>0.54559941469999995</v>
      </c>
      <c r="G1056" s="1">
        <f>'Unformatted Trip Summary'!G1054</f>
        <v>0</v>
      </c>
      <c r="H1056" s="1">
        <f>'Unformatted Trip Summary'!H1054</f>
        <v>0.1082054916</v>
      </c>
    </row>
    <row r="1057" spans="1:8" x14ac:dyDescent="0.2">
      <c r="A1057" t="str">
        <f>'Unformatted Trip Summary'!A1055</f>
        <v>15 SOUTHLAND</v>
      </c>
      <c r="B1057" t="str">
        <f>'Unformatted Trip Summary'!J1055</f>
        <v>2027/28</v>
      </c>
      <c r="C1057" t="str">
        <f>'Unformatted Trip Summary'!I1055</f>
        <v>Other Household Travel</v>
      </c>
      <c r="D1057">
        <f>'Unformatted Trip Summary'!D1055</f>
        <v>3</v>
      </c>
      <c r="E1057">
        <f>'Unformatted Trip Summary'!E1055</f>
        <v>20</v>
      </c>
      <c r="F1057" s="1">
        <f>'Unformatted Trip Summary'!F1055</f>
        <v>0.60142967280000004</v>
      </c>
      <c r="G1057" s="1">
        <f>'Unformatted Trip Summary'!G1055</f>
        <v>0</v>
      </c>
      <c r="H1057" s="1">
        <f>'Unformatted Trip Summary'!H1055</f>
        <v>0.1185834313</v>
      </c>
    </row>
    <row r="1058" spans="1:8" x14ac:dyDescent="0.2">
      <c r="A1058" t="str">
        <f>'Unformatted Trip Summary'!A1056</f>
        <v>15 SOUTHLAND</v>
      </c>
      <c r="B1058" t="str">
        <f>'Unformatted Trip Summary'!J1056</f>
        <v>2032/33</v>
      </c>
      <c r="C1058" t="str">
        <f>'Unformatted Trip Summary'!I1056</f>
        <v>Other Household Travel</v>
      </c>
      <c r="D1058">
        <f>'Unformatted Trip Summary'!D1056</f>
        <v>3</v>
      </c>
      <c r="E1058">
        <f>'Unformatted Trip Summary'!E1056</f>
        <v>20</v>
      </c>
      <c r="F1058" s="1">
        <f>'Unformatted Trip Summary'!F1056</f>
        <v>0.64104500379999996</v>
      </c>
      <c r="G1058" s="1">
        <f>'Unformatted Trip Summary'!G1056</f>
        <v>0</v>
      </c>
      <c r="H1058" s="1">
        <f>'Unformatted Trip Summary'!H1056</f>
        <v>0.125999739</v>
      </c>
    </row>
    <row r="1059" spans="1:8" x14ac:dyDescent="0.2">
      <c r="A1059" t="str">
        <f>'Unformatted Trip Summary'!A1057</f>
        <v>15 SOUTHLAND</v>
      </c>
      <c r="B1059" t="str">
        <f>'Unformatted Trip Summary'!J1057</f>
        <v>2037/38</v>
      </c>
      <c r="C1059" t="str">
        <f>'Unformatted Trip Summary'!I1057</f>
        <v>Other Household Travel</v>
      </c>
      <c r="D1059">
        <f>'Unformatted Trip Summary'!D1057</f>
        <v>3</v>
      </c>
      <c r="E1059">
        <f>'Unformatted Trip Summary'!E1057</f>
        <v>20</v>
      </c>
      <c r="F1059" s="1">
        <f>'Unformatted Trip Summary'!F1057</f>
        <v>0.64430218370000003</v>
      </c>
      <c r="G1059" s="1">
        <f>'Unformatted Trip Summary'!G1057</f>
        <v>0</v>
      </c>
      <c r="H1059" s="1">
        <f>'Unformatted Trip Summary'!H1057</f>
        <v>0.12589583770000001</v>
      </c>
    </row>
    <row r="1060" spans="1:8" x14ac:dyDescent="0.2">
      <c r="A1060" t="str">
        <f>'Unformatted Trip Summary'!A1058</f>
        <v>15 SOUTHLAND</v>
      </c>
      <c r="B1060" t="str">
        <f>'Unformatted Trip Summary'!J1058</f>
        <v>2042/43</v>
      </c>
      <c r="C1060" t="str">
        <f>'Unformatted Trip Summary'!I1058</f>
        <v>Other Household Travel</v>
      </c>
      <c r="D1060">
        <f>'Unformatted Trip Summary'!D1058</f>
        <v>3</v>
      </c>
      <c r="E1060">
        <f>'Unformatted Trip Summary'!E1058</f>
        <v>20</v>
      </c>
      <c r="F1060" s="1">
        <f>'Unformatted Trip Summary'!F1058</f>
        <v>0.63344300090000005</v>
      </c>
      <c r="G1060" s="1">
        <f>'Unformatted Trip Summary'!G1058</f>
        <v>0</v>
      </c>
      <c r="H1060" s="1">
        <f>'Unformatted Trip Summary'!H1058</f>
        <v>0.122681178</v>
      </c>
    </row>
    <row r="1061" spans="1:8" x14ac:dyDescent="0.2">
      <c r="A1061" t="str">
        <f>'Unformatted Trip Summary'!A1059</f>
        <v>15 SOUTHLAND</v>
      </c>
      <c r="B1061" t="str">
        <f>'Unformatted Trip Summary'!J1059</f>
        <v>2012/13</v>
      </c>
      <c r="C1061" t="str">
        <f>'Unformatted Trip Summary'!I1059</f>
        <v>Air/Non-Local PT</v>
      </c>
      <c r="D1061">
        <f>'Unformatted Trip Summary'!D1059</f>
        <v>4</v>
      </c>
      <c r="E1061">
        <f>'Unformatted Trip Summary'!E1059</f>
        <v>5</v>
      </c>
      <c r="F1061" s="1">
        <f>'Unformatted Trip Summary'!F1059</f>
        <v>0.11858970739999999</v>
      </c>
      <c r="G1061" s="1">
        <f>'Unformatted Trip Summary'!G1059</f>
        <v>7.7216256564999997</v>
      </c>
      <c r="H1061" s="1">
        <f>'Unformatted Trip Summary'!H1059</f>
        <v>0.2054826143</v>
      </c>
    </row>
    <row r="1062" spans="1:8" x14ac:dyDescent="0.2">
      <c r="A1062" t="str">
        <f>'Unformatted Trip Summary'!A1060</f>
        <v>15 SOUTHLAND</v>
      </c>
      <c r="B1062" t="str">
        <f>'Unformatted Trip Summary'!J1060</f>
        <v>2017/18</v>
      </c>
      <c r="C1062" t="str">
        <f>'Unformatted Trip Summary'!I1060</f>
        <v>Air/Non-Local PT</v>
      </c>
      <c r="D1062">
        <f>'Unformatted Trip Summary'!D1060</f>
        <v>4</v>
      </c>
      <c r="E1062">
        <f>'Unformatted Trip Summary'!E1060</f>
        <v>5</v>
      </c>
      <c r="F1062" s="1">
        <f>'Unformatted Trip Summary'!F1060</f>
        <v>0.14017953420000001</v>
      </c>
      <c r="G1062" s="1">
        <f>'Unformatted Trip Summary'!G1060</f>
        <v>7.6706527893000001</v>
      </c>
      <c r="H1062" s="1">
        <f>'Unformatted Trip Summary'!H1060</f>
        <v>0.2335711224</v>
      </c>
    </row>
    <row r="1063" spans="1:8" x14ac:dyDescent="0.2">
      <c r="A1063" t="str">
        <f>'Unformatted Trip Summary'!A1061</f>
        <v>15 SOUTHLAND</v>
      </c>
      <c r="B1063" t="str">
        <f>'Unformatted Trip Summary'!J1061</f>
        <v>2022/23</v>
      </c>
      <c r="C1063" t="str">
        <f>'Unformatted Trip Summary'!I1061</f>
        <v>Air/Non-Local PT</v>
      </c>
      <c r="D1063">
        <f>'Unformatted Trip Summary'!D1061</f>
        <v>4</v>
      </c>
      <c r="E1063">
        <f>'Unformatted Trip Summary'!E1061</f>
        <v>5</v>
      </c>
      <c r="F1063" s="1">
        <f>'Unformatted Trip Summary'!F1061</f>
        <v>0.16834918360000001</v>
      </c>
      <c r="G1063" s="1">
        <f>'Unformatted Trip Summary'!G1061</f>
        <v>7.4552565565000002</v>
      </c>
      <c r="H1063" s="1">
        <f>'Unformatted Trip Summary'!H1061</f>
        <v>0.26850282669999997</v>
      </c>
    </row>
    <row r="1064" spans="1:8" x14ac:dyDescent="0.2">
      <c r="A1064" t="str">
        <f>'Unformatted Trip Summary'!A1062</f>
        <v>15 SOUTHLAND</v>
      </c>
      <c r="B1064" t="str">
        <f>'Unformatted Trip Summary'!J1062</f>
        <v>2027/28</v>
      </c>
      <c r="C1064" t="str">
        <f>'Unformatted Trip Summary'!I1062</f>
        <v>Air/Non-Local PT</v>
      </c>
      <c r="D1064">
        <f>'Unformatted Trip Summary'!D1062</f>
        <v>4</v>
      </c>
      <c r="E1064">
        <f>'Unformatted Trip Summary'!E1062</f>
        <v>5</v>
      </c>
      <c r="F1064" s="1">
        <f>'Unformatted Trip Summary'!F1062</f>
        <v>0.1828096055</v>
      </c>
      <c r="G1064" s="1">
        <f>'Unformatted Trip Summary'!G1062</f>
        <v>6.9142893575000004</v>
      </c>
      <c r="H1064" s="1">
        <f>'Unformatted Trip Summary'!H1062</f>
        <v>0.28346629200000001</v>
      </c>
    </row>
    <row r="1065" spans="1:8" x14ac:dyDescent="0.2">
      <c r="A1065" t="str">
        <f>'Unformatted Trip Summary'!A1063</f>
        <v>15 SOUTHLAND</v>
      </c>
      <c r="B1065" t="str">
        <f>'Unformatted Trip Summary'!J1063</f>
        <v>2032/33</v>
      </c>
      <c r="C1065" t="str">
        <f>'Unformatted Trip Summary'!I1063</f>
        <v>Air/Non-Local PT</v>
      </c>
      <c r="D1065">
        <f>'Unformatted Trip Summary'!D1063</f>
        <v>4</v>
      </c>
      <c r="E1065">
        <f>'Unformatted Trip Summary'!E1063</f>
        <v>5</v>
      </c>
      <c r="F1065" s="1">
        <f>'Unformatted Trip Summary'!F1063</f>
        <v>0.18973907910000001</v>
      </c>
      <c r="G1065" s="1">
        <f>'Unformatted Trip Summary'!G1063</f>
        <v>6.8802077532999997</v>
      </c>
      <c r="H1065" s="1">
        <f>'Unformatted Trip Summary'!H1063</f>
        <v>0.29231627329999998</v>
      </c>
    </row>
    <row r="1066" spans="1:8" x14ac:dyDescent="0.2">
      <c r="A1066" t="str">
        <f>'Unformatted Trip Summary'!A1064</f>
        <v>15 SOUTHLAND</v>
      </c>
      <c r="B1066" t="str">
        <f>'Unformatted Trip Summary'!J1064</f>
        <v>2037/38</v>
      </c>
      <c r="C1066" t="str">
        <f>'Unformatted Trip Summary'!I1064</f>
        <v>Air/Non-Local PT</v>
      </c>
      <c r="D1066">
        <f>'Unformatted Trip Summary'!D1064</f>
        <v>4</v>
      </c>
      <c r="E1066">
        <f>'Unformatted Trip Summary'!E1064</f>
        <v>5</v>
      </c>
      <c r="F1066" s="1">
        <f>'Unformatted Trip Summary'!F1064</f>
        <v>0.19881352529999999</v>
      </c>
      <c r="G1066" s="1">
        <f>'Unformatted Trip Summary'!G1064</f>
        <v>6.8584038601000001</v>
      </c>
      <c r="H1066" s="1">
        <f>'Unformatted Trip Summary'!H1064</f>
        <v>0.30517070229999999</v>
      </c>
    </row>
    <row r="1067" spans="1:8" x14ac:dyDescent="0.2">
      <c r="A1067" t="str">
        <f>'Unformatted Trip Summary'!A1065</f>
        <v>15 SOUTHLAND</v>
      </c>
      <c r="B1067" t="str">
        <f>'Unformatted Trip Summary'!J1065</f>
        <v>2042/43</v>
      </c>
      <c r="C1067" t="str">
        <f>'Unformatted Trip Summary'!I1065</f>
        <v>Air/Non-Local PT</v>
      </c>
      <c r="D1067">
        <f>'Unformatted Trip Summary'!D1065</f>
        <v>4</v>
      </c>
      <c r="E1067">
        <f>'Unformatted Trip Summary'!E1065</f>
        <v>5</v>
      </c>
      <c r="F1067" s="1">
        <f>'Unformatted Trip Summary'!F1065</f>
        <v>0.20542291200000001</v>
      </c>
      <c r="G1067" s="1">
        <f>'Unformatted Trip Summary'!G1065</f>
        <v>6.6639593750000001</v>
      </c>
      <c r="H1067" s="1">
        <f>'Unformatted Trip Summary'!H1065</f>
        <v>0.31329442390000001</v>
      </c>
    </row>
    <row r="1068" spans="1:8" x14ac:dyDescent="0.2">
      <c r="A1068" t="str">
        <f>'Unformatted Trip Summary'!A1066</f>
        <v>15 SOUTHLAND</v>
      </c>
      <c r="B1068" t="str">
        <f>'Unformatted Trip Summary'!J1066</f>
        <v>2012/13</v>
      </c>
      <c r="C1068" t="str">
        <f>'Unformatted Trip Summary'!I1066</f>
        <v>Non-Household Travel</v>
      </c>
      <c r="D1068">
        <f>'Unformatted Trip Summary'!D1066</f>
        <v>3</v>
      </c>
      <c r="E1068">
        <f>'Unformatted Trip Summary'!E1066</f>
        <v>9</v>
      </c>
      <c r="F1068" s="1">
        <f>'Unformatted Trip Summary'!F1066</f>
        <v>0.1918163457</v>
      </c>
      <c r="G1068" s="1">
        <f>'Unformatted Trip Summary'!G1066</f>
        <v>7.2518167408999998</v>
      </c>
      <c r="H1068" s="1">
        <f>'Unformatted Trip Summary'!H1066</f>
        <v>0.26579174360000002</v>
      </c>
    </row>
    <row r="1069" spans="1:8" x14ac:dyDescent="0.2">
      <c r="A1069" t="str">
        <f>'Unformatted Trip Summary'!A1067</f>
        <v>15 SOUTHLAND</v>
      </c>
      <c r="B1069" t="str">
        <f>'Unformatted Trip Summary'!J1067</f>
        <v>2017/18</v>
      </c>
      <c r="C1069" t="str">
        <f>'Unformatted Trip Summary'!I1067</f>
        <v>Non-Household Travel</v>
      </c>
      <c r="D1069">
        <f>'Unformatted Trip Summary'!D1067</f>
        <v>3</v>
      </c>
      <c r="E1069">
        <f>'Unformatted Trip Summary'!E1067</f>
        <v>9</v>
      </c>
      <c r="F1069" s="1">
        <f>'Unformatted Trip Summary'!F1067</f>
        <v>0.19945907290000001</v>
      </c>
      <c r="G1069" s="1">
        <f>'Unformatted Trip Summary'!G1067</f>
        <v>8.6358146637999997</v>
      </c>
      <c r="H1069" s="1">
        <f>'Unformatted Trip Summary'!H1067</f>
        <v>0.3605622007</v>
      </c>
    </row>
    <row r="1070" spans="1:8" x14ac:dyDescent="0.2">
      <c r="A1070" t="str">
        <f>'Unformatted Trip Summary'!A1068</f>
        <v>15 SOUTHLAND</v>
      </c>
      <c r="B1070" t="str">
        <f>'Unformatted Trip Summary'!J1068</f>
        <v>2022/23</v>
      </c>
      <c r="C1070" t="str">
        <f>'Unformatted Trip Summary'!I1068</f>
        <v>Non-Household Travel</v>
      </c>
      <c r="D1070">
        <f>'Unformatted Trip Summary'!D1068</f>
        <v>3</v>
      </c>
      <c r="E1070">
        <f>'Unformatted Trip Summary'!E1068</f>
        <v>9</v>
      </c>
      <c r="F1070" s="1">
        <f>'Unformatted Trip Summary'!F1068</f>
        <v>0.2354986248</v>
      </c>
      <c r="G1070" s="1">
        <f>'Unformatted Trip Summary'!G1068</f>
        <v>11.021047619999999</v>
      </c>
      <c r="H1070" s="1">
        <f>'Unformatted Trip Summary'!H1068</f>
        <v>0.48015379260000002</v>
      </c>
    </row>
    <row r="1071" spans="1:8" x14ac:dyDescent="0.2">
      <c r="A1071" t="str">
        <f>'Unformatted Trip Summary'!A1069</f>
        <v>15 SOUTHLAND</v>
      </c>
      <c r="B1071" t="str">
        <f>'Unformatted Trip Summary'!J1069</f>
        <v>2027/28</v>
      </c>
      <c r="C1071" t="str">
        <f>'Unformatted Trip Summary'!I1069</f>
        <v>Non-Household Travel</v>
      </c>
      <c r="D1071">
        <f>'Unformatted Trip Summary'!D1069</f>
        <v>3</v>
      </c>
      <c r="E1071">
        <f>'Unformatted Trip Summary'!E1069</f>
        <v>9</v>
      </c>
      <c r="F1071" s="1">
        <f>'Unformatted Trip Summary'!F1069</f>
        <v>0.28145962619999998</v>
      </c>
      <c r="G1071" s="1">
        <f>'Unformatted Trip Summary'!G1069</f>
        <v>12.674949406</v>
      </c>
      <c r="H1071" s="1">
        <f>'Unformatted Trip Summary'!H1069</f>
        <v>0.52486054110000002</v>
      </c>
    </row>
    <row r="1072" spans="1:8" x14ac:dyDescent="0.2">
      <c r="A1072" t="str">
        <f>'Unformatted Trip Summary'!A1070</f>
        <v>15 SOUTHLAND</v>
      </c>
      <c r="B1072" t="str">
        <f>'Unformatted Trip Summary'!J1070</f>
        <v>2032/33</v>
      </c>
      <c r="C1072" t="str">
        <f>'Unformatted Trip Summary'!I1070</f>
        <v>Non-Household Travel</v>
      </c>
      <c r="D1072">
        <f>'Unformatted Trip Summary'!D1070</f>
        <v>3</v>
      </c>
      <c r="E1072">
        <f>'Unformatted Trip Summary'!E1070</f>
        <v>9</v>
      </c>
      <c r="F1072" s="1">
        <f>'Unformatted Trip Summary'!F1070</f>
        <v>0.30903531779999999</v>
      </c>
      <c r="G1072" s="1">
        <f>'Unformatted Trip Summary'!G1070</f>
        <v>13.787263346</v>
      </c>
      <c r="H1072" s="1">
        <f>'Unformatted Trip Summary'!H1070</f>
        <v>0.56404974119999995</v>
      </c>
    </row>
    <row r="1073" spans="1:8" x14ac:dyDescent="0.2">
      <c r="A1073" t="str">
        <f>'Unformatted Trip Summary'!A1071</f>
        <v>15 SOUTHLAND</v>
      </c>
      <c r="B1073" t="str">
        <f>'Unformatted Trip Summary'!J1071</f>
        <v>2037/38</v>
      </c>
      <c r="C1073" t="str">
        <f>'Unformatted Trip Summary'!I1071</f>
        <v>Non-Household Travel</v>
      </c>
      <c r="D1073">
        <f>'Unformatted Trip Summary'!D1071</f>
        <v>3</v>
      </c>
      <c r="E1073">
        <f>'Unformatted Trip Summary'!E1071</f>
        <v>9</v>
      </c>
      <c r="F1073" s="1">
        <f>'Unformatted Trip Summary'!F1071</f>
        <v>0.31178584069999998</v>
      </c>
      <c r="G1073" s="1">
        <f>'Unformatted Trip Summary'!G1071</f>
        <v>14.245192634</v>
      </c>
      <c r="H1073" s="1">
        <f>'Unformatted Trip Summary'!H1071</f>
        <v>0.60851904580000005</v>
      </c>
    </row>
    <row r="1074" spans="1:8" x14ac:dyDescent="0.2">
      <c r="A1074" t="str">
        <f>'Unformatted Trip Summary'!A1072</f>
        <v>15 SOUTHLAND</v>
      </c>
      <c r="B1074" t="str">
        <f>'Unformatted Trip Summary'!J1072</f>
        <v>2042/43</v>
      </c>
      <c r="C1074" t="str">
        <f>'Unformatted Trip Summary'!I1072</f>
        <v>Non-Household Travel</v>
      </c>
      <c r="D1074">
        <f>'Unformatted Trip Summary'!D1072</f>
        <v>3</v>
      </c>
      <c r="E1074">
        <f>'Unformatted Trip Summary'!E1072</f>
        <v>9</v>
      </c>
      <c r="F1074" s="1">
        <f>'Unformatted Trip Summary'!F1072</f>
        <v>0.30976673220000001</v>
      </c>
      <c r="G1074" s="1">
        <f>'Unformatted Trip Summary'!G1072</f>
        <v>14.558027216999999</v>
      </c>
      <c r="H1074" s="1">
        <f>'Unformatted Trip Summary'!H1072</f>
        <v>0.6490158788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72"/>
  <sheetViews>
    <sheetView topLeftCell="A530" workbookViewId="0">
      <selection activeCell="R1047" sqref="R1047"/>
    </sheetView>
  </sheetViews>
  <sheetFormatPr defaultRowHeight="12.75" x14ac:dyDescent="0.2"/>
  <cols>
    <col min="1" max="1" width="24.140625" customWidth="1"/>
  </cols>
  <sheetData>
    <row r="1" spans="1:10" x14ac:dyDescent="0.2">
      <c r="A1" t="str">
        <f>[5]trip_summary_region!A1</f>
        <v>region_NS</v>
      </c>
      <c r="B1" t="str">
        <f>[5]trip_summary_region!B1</f>
        <v>outmode</v>
      </c>
      <c r="C1" t="str">
        <f>[5]trip_summary_region!C1</f>
        <v>Year</v>
      </c>
      <c r="D1" t="str">
        <f>[5]trip_summary_region!D1</f>
        <v>sampeopler</v>
      </c>
      <c r="E1" t="str">
        <f>[5]trip_summary_region!E1</f>
        <v>samcountr</v>
      </c>
      <c r="F1" t="str">
        <f>[5]trip_summary_region!F1</f>
        <v>tottripr</v>
      </c>
      <c r="G1" t="str">
        <f>[5]trip_summary_region!G1</f>
        <v>totdistr</v>
      </c>
      <c r="H1" t="str">
        <f>[5]trip_summary_region!H1</f>
        <v>totdurationr</v>
      </c>
      <c r="I1" t="str">
        <f>[5]trip_summary_region!I1</f>
        <v>modename</v>
      </c>
      <c r="J1" t="str">
        <f>[5]trip_summary_region!J1</f>
        <v>yearname</v>
      </c>
    </row>
    <row r="2" spans="1:10" x14ac:dyDescent="0.2">
      <c r="A2" t="str">
        <f>[5]trip_summary_region!A2</f>
        <v>01 NORTHLAND</v>
      </c>
      <c r="B2">
        <f>[5]trip_summary_region!B2</f>
        <v>0</v>
      </c>
      <c r="C2">
        <f>[5]trip_summary_region!C2</f>
        <v>2013</v>
      </c>
      <c r="D2">
        <f>[5]trip_summary_region!D2</f>
        <v>259</v>
      </c>
      <c r="E2">
        <f>[5]trip_summary_region!E2</f>
        <v>844</v>
      </c>
      <c r="F2">
        <f>[5]trip_summary_region!F2</f>
        <v>23.706864376999999</v>
      </c>
      <c r="G2">
        <f>[5]trip_summary_region!G2</f>
        <v>17.849116999</v>
      </c>
      <c r="H2">
        <f>[5]trip_summary_region!H2</f>
        <v>5.0772161771000004</v>
      </c>
      <c r="I2" t="str">
        <f>[5]trip_summary_region!I2</f>
        <v>Pedestrian</v>
      </c>
      <c r="J2" t="str">
        <f>[5]trip_summary_region!J2</f>
        <v>2012/13</v>
      </c>
    </row>
    <row r="3" spans="1:10" x14ac:dyDescent="0.2">
      <c r="A3" t="str">
        <f>[5]trip_summary_region!A3</f>
        <v>01 NORTHLAND</v>
      </c>
      <c r="B3">
        <f>[5]trip_summary_region!B3</f>
        <v>0</v>
      </c>
      <c r="C3">
        <f>[5]trip_summary_region!C3</f>
        <v>2018</v>
      </c>
      <c r="D3">
        <f>[5]trip_summary_region!D3</f>
        <v>259</v>
      </c>
      <c r="E3">
        <f>[5]trip_summary_region!E3</f>
        <v>844</v>
      </c>
      <c r="F3">
        <f>[5]trip_summary_region!F3</f>
        <v>21.952727676999999</v>
      </c>
      <c r="G3">
        <f>[5]trip_summary_region!G3</f>
        <v>16.287674259999999</v>
      </c>
      <c r="H3">
        <f>[5]trip_summary_region!H3</f>
        <v>4.6406849414</v>
      </c>
      <c r="I3" t="str">
        <f>[5]trip_summary_region!I3</f>
        <v>Pedestrian</v>
      </c>
      <c r="J3" t="str">
        <f>[5]trip_summary_region!J3</f>
        <v>2017/18</v>
      </c>
    </row>
    <row r="4" spans="1:10" x14ac:dyDescent="0.2">
      <c r="A4" t="str">
        <f>[5]trip_summary_region!A4</f>
        <v>01 NORTHLAND</v>
      </c>
      <c r="B4">
        <f>[5]trip_summary_region!B4</f>
        <v>0</v>
      </c>
      <c r="C4">
        <f>[5]trip_summary_region!C4</f>
        <v>2023</v>
      </c>
      <c r="D4">
        <f>[5]trip_summary_region!D4</f>
        <v>259</v>
      </c>
      <c r="E4">
        <f>[5]trip_summary_region!E4</f>
        <v>844</v>
      </c>
      <c r="F4">
        <f>[5]trip_summary_region!F4</f>
        <v>21.964663739999999</v>
      </c>
      <c r="G4">
        <f>[5]trip_summary_region!G4</f>
        <v>16.015147476999999</v>
      </c>
      <c r="H4">
        <f>[5]trip_summary_region!H4</f>
        <v>4.5734702428</v>
      </c>
      <c r="I4" t="str">
        <f>[5]trip_summary_region!I4</f>
        <v>Pedestrian</v>
      </c>
      <c r="J4" t="str">
        <f>[5]trip_summary_region!J4</f>
        <v>2022/23</v>
      </c>
    </row>
    <row r="5" spans="1:10" x14ac:dyDescent="0.2">
      <c r="A5" t="str">
        <f>[5]trip_summary_region!A5</f>
        <v>01 NORTHLAND</v>
      </c>
      <c r="B5">
        <f>[5]trip_summary_region!B5</f>
        <v>0</v>
      </c>
      <c r="C5">
        <f>[5]trip_summary_region!C5</f>
        <v>2028</v>
      </c>
      <c r="D5">
        <f>[5]trip_summary_region!D5</f>
        <v>259</v>
      </c>
      <c r="E5">
        <f>[5]trip_summary_region!E5</f>
        <v>844</v>
      </c>
      <c r="F5">
        <f>[5]trip_summary_region!F5</f>
        <v>20.955878895000001</v>
      </c>
      <c r="G5">
        <f>[5]trip_summary_region!G5</f>
        <v>15.006773715</v>
      </c>
      <c r="H5">
        <f>[5]trip_summary_region!H5</f>
        <v>4.2682686530999998</v>
      </c>
      <c r="I5" t="str">
        <f>[5]trip_summary_region!I5</f>
        <v>Pedestrian</v>
      </c>
      <c r="J5" t="str">
        <f>[5]trip_summary_region!J5</f>
        <v>2027/28</v>
      </c>
    </row>
    <row r="6" spans="1:10" x14ac:dyDescent="0.2">
      <c r="A6" t="str">
        <f>[5]trip_summary_region!A6</f>
        <v>01 NORTHLAND</v>
      </c>
      <c r="B6">
        <f>[5]trip_summary_region!B6</f>
        <v>0</v>
      </c>
      <c r="C6">
        <f>[5]trip_summary_region!C6</f>
        <v>2033</v>
      </c>
      <c r="D6">
        <f>[5]trip_summary_region!D6</f>
        <v>259</v>
      </c>
      <c r="E6">
        <f>[5]trip_summary_region!E6</f>
        <v>844</v>
      </c>
      <c r="F6">
        <f>[5]trip_summary_region!F6</f>
        <v>19.861789483999999</v>
      </c>
      <c r="G6">
        <f>[5]trip_summary_region!G6</f>
        <v>13.867542179000001</v>
      </c>
      <c r="H6">
        <f>[5]trip_summary_region!H6</f>
        <v>3.9386565709000001</v>
      </c>
      <c r="I6" t="str">
        <f>[5]trip_summary_region!I6</f>
        <v>Pedestrian</v>
      </c>
      <c r="J6" t="str">
        <f>[5]trip_summary_region!J6</f>
        <v>2032/33</v>
      </c>
    </row>
    <row r="7" spans="1:10" x14ac:dyDescent="0.2">
      <c r="A7" t="str">
        <f>[5]trip_summary_region!A7</f>
        <v>01 NORTHLAND</v>
      </c>
      <c r="B7">
        <f>[5]trip_summary_region!B7</f>
        <v>0</v>
      </c>
      <c r="C7">
        <f>[5]trip_summary_region!C7</f>
        <v>2038</v>
      </c>
      <c r="D7">
        <f>[5]trip_summary_region!D7</f>
        <v>259</v>
      </c>
      <c r="E7">
        <f>[5]trip_summary_region!E7</f>
        <v>844</v>
      </c>
      <c r="F7">
        <f>[5]trip_summary_region!F7</f>
        <v>18.660588799999999</v>
      </c>
      <c r="G7">
        <f>[5]trip_summary_region!G7</f>
        <v>12.622053044999999</v>
      </c>
      <c r="H7">
        <f>[5]trip_summary_region!H7</f>
        <v>3.5826017528</v>
      </c>
      <c r="I7" t="str">
        <f>[5]trip_summary_region!I7</f>
        <v>Pedestrian</v>
      </c>
      <c r="J7" t="str">
        <f>[5]trip_summary_region!J7</f>
        <v>2037/38</v>
      </c>
    </row>
    <row r="8" spans="1:10" x14ac:dyDescent="0.2">
      <c r="A8" t="str">
        <f>[5]trip_summary_region!A8</f>
        <v>01 NORTHLAND</v>
      </c>
      <c r="B8">
        <f>[5]trip_summary_region!B8</f>
        <v>0</v>
      </c>
      <c r="C8">
        <f>[5]trip_summary_region!C8</f>
        <v>2043</v>
      </c>
      <c r="D8">
        <f>[5]trip_summary_region!D8</f>
        <v>259</v>
      </c>
      <c r="E8">
        <f>[5]trip_summary_region!E8</f>
        <v>844</v>
      </c>
      <c r="F8">
        <f>[5]trip_summary_region!F8</f>
        <v>17.511807036</v>
      </c>
      <c r="G8">
        <f>[5]trip_summary_region!G8</f>
        <v>11.44996671</v>
      </c>
      <c r="H8">
        <f>[5]trip_summary_region!H8</f>
        <v>3.2486232056</v>
      </c>
      <c r="I8" t="str">
        <f>[5]trip_summary_region!I8</f>
        <v>Pedestrian</v>
      </c>
      <c r="J8" t="str">
        <f>[5]trip_summary_region!J8</f>
        <v>2042/43</v>
      </c>
    </row>
    <row r="9" spans="1:10" x14ac:dyDescent="0.2">
      <c r="A9" t="str">
        <f>[5]trip_summary_region!A9</f>
        <v>01 NORTHLAND</v>
      </c>
      <c r="B9">
        <f>[5]trip_summary_region!B9</f>
        <v>1</v>
      </c>
      <c r="C9">
        <f>[5]trip_summary_region!C9</f>
        <v>2013</v>
      </c>
      <c r="D9">
        <f>[5]trip_summary_region!D9</f>
        <v>5</v>
      </c>
      <c r="E9">
        <f>[5]trip_summary_region!E9</f>
        <v>19</v>
      </c>
      <c r="F9">
        <f>[5]trip_summary_region!F9</f>
        <v>0.66592947719999995</v>
      </c>
      <c r="G9">
        <f>[5]trip_summary_region!G9</f>
        <v>1.0072239942000001</v>
      </c>
      <c r="H9">
        <f>[5]trip_summary_region!H9</f>
        <v>0.15772883609999999</v>
      </c>
      <c r="I9" t="str">
        <f>[5]trip_summary_region!I9</f>
        <v>Cyclist</v>
      </c>
      <c r="J9" t="str">
        <f>[5]trip_summary_region!J9</f>
        <v>2012/13</v>
      </c>
    </row>
    <row r="10" spans="1:10" x14ac:dyDescent="0.2">
      <c r="A10" t="str">
        <f>[5]trip_summary_region!A10</f>
        <v>01 NORTHLAND</v>
      </c>
      <c r="B10">
        <f>[5]trip_summary_region!B10</f>
        <v>1</v>
      </c>
      <c r="C10">
        <f>[5]trip_summary_region!C10</f>
        <v>2018</v>
      </c>
      <c r="D10">
        <f>[5]trip_summary_region!D10</f>
        <v>5</v>
      </c>
      <c r="E10">
        <f>[5]trip_summary_region!E10</f>
        <v>19</v>
      </c>
      <c r="F10">
        <f>[5]trip_summary_region!F10</f>
        <v>0.59247920750000005</v>
      </c>
      <c r="G10">
        <f>[5]trip_summary_region!G10</f>
        <v>0.91412754689999998</v>
      </c>
      <c r="H10">
        <f>[5]trip_summary_region!H10</f>
        <v>0.14327489290000001</v>
      </c>
      <c r="I10" t="str">
        <f>[5]trip_summary_region!I10</f>
        <v>Cyclist</v>
      </c>
      <c r="J10" t="str">
        <f>[5]trip_summary_region!J10</f>
        <v>2017/18</v>
      </c>
    </row>
    <row r="11" spans="1:10" x14ac:dyDescent="0.2">
      <c r="A11" t="str">
        <f>[5]trip_summary_region!A11</f>
        <v>01 NORTHLAND</v>
      </c>
      <c r="B11">
        <f>[5]trip_summary_region!B11</f>
        <v>1</v>
      </c>
      <c r="C11">
        <f>[5]trip_summary_region!C11</f>
        <v>2023</v>
      </c>
      <c r="D11">
        <f>[5]trip_summary_region!D11</f>
        <v>5</v>
      </c>
      <c r="E11">
        <f>[5]trip_summary_region!E11</f>
        <v>19</v>
      </c>
      <c r="F11">
        <f>[5]trip_summary_region!F11</f>
        <v>0.58956368579999996</v>
      </c>
      <c r="G11">
        <f>[5]trip_summary_region!G11</f>
        <v>0.92269632989999995</v>
      </c>
      <c r="H11">
        <f>[5]trip_summary_region!H11</f>
        <v>0.14432525830000001</v>
      </c>
      <c r="I11" t="str">
        <f>[5]trip_summary_region!I11</f>
        <v>Cyclist</v>
      </c>
      <c r="J11" t="str">
        <f>[5]trip_summary_region!J11</f>
        <v>2022/23</v>
      </c>
    </row>
    <row r="12" spans="1:10" x14ac:dyDescent="0.2">
      <c r="A12" t="str">
        <f>[5]trip_summary_region!A12</f>
        <v>01 NORTHLAND</v>
      </c>
      <c r="B12">
        <f>[5]trip_summary_region!B12</f>
        <v>1</v>
      </c>
      <c r="C12">
        <f>[5]trip_summary_region!C12</f>
        <v>2028</v>
      </c>
      <c r="D12">
        <f>[5]trip_summary_region!D12</f>
        <v>5</v>
      </c>
      <c r="E12">
        <f>[5]trip_summary_region!E12</f>
        <v>19</v>
      </c>
      <c r="F12">
        <f>[5]trip_summary_region!F12</f>
        <v>0.52850230860000003</v>
      </c>
      <c r="G12">
        <f>[5]trip_summary_region!G12</f>
        <v>0.83605250600000003</v>
      </c>
      <c r="H12">
        <f>[5]trip_summary_region!H12</f>
        <v>0.13111751420000001</v>
      </c>
      <c r="I12" t="str">
        <f>[5]trip_summary_region!I12</f>
        <v>Cyclist</v>
      </c>
      <c r="J12" t="str">
        <f>[5]trip_summary_region!J12</f>
        <v>2027/28</v>
      </c>
    </row>
    <row r="13" spans="1:10" x14ac:dyDescent="0.2">
      <c r="A13" t="str">
        <f>[5]trip_summary_region!A13</f>
        <v>01 NORTHLAND</v>
      </c>
      <c r="B13">
        <f>[5]trip_summary_region!B13</f>
        <v>1</v>
      </c>
      <c r="C13">
        <f>[5]trip_summary_region!C13</f>
        <v>2033</v>
      </c>
      <c r="D13">
        <f>[5]trip_summary_region!D13</f>
        <v>5</v>
      </c>
      <c r="E13">
        <f>[5]trip_summary_region!E13</f>
        <v>19</v>
      </c>
      <c r="F13">
        <f>[5]trip_summary_region!F13</f>
        <v>0.44584004030000002</v>
      </c>
      <c r="G13">
        <f>[5]trip_summary_region!G13</f>
        <v>0.71153155840000004</v>
      </c>
      <c r="H13">
        <f>[5]trip_summary_region!H13</f>
        <v>0.11178205400000001</v>
      </c>
      <c r="I13" t="str">
        <f>[5]trip_summary_region!I13</f>
        <v>Cyclist</v>
      </c>
      <c r="J13" t="str">
        <f>[5]trip_summary_region!J13</f>
        <v>2032/33</v>
      </c>
    </row>
    <row r="14" spans="1:10" x14ac:dyDescent="0.2">
      <c r="A14" t="str">
        <f>[5]trip_summary_region!A14</f>
        <v>01 NORTHLAND</v>
      </c>
      <c r="B14">
        <f>[5]trip_summary_region!B14</f>
        <v>1</v>
      </c>
      <c r="C14">
        <f>[5]trip_summary_region!C14</f>
        <v>2038</v>
      </c>
      <c r="D14">
        <f>[5]trip_summary_region!D14</f>
        <v>5</v>
      </c>
      <c r="E14">
        <f>[5]trip_summary_region!E14</f>
        <v>19</v>
      </c>
      <c r="F14">
        <f>[5]trip_summary_region!F14</f>
        <v>0.32374908000000002</v>
      </c>
      <c r="G14">
        <f>[5]trip_summary_region!G14</f>
        <v>0.52121459130000003</v>
      </c>
      <c r="H14">
        <f>[5]trip_summary_region!H14</f>
        <v>8.1804211799999998E-2</v>
      </c>
      <c r="I14" t="str">
        <f>[5]trip_summary_region!I14</f>
        <v>Cyclist</v>
      </c>
      <c r="J14" t="str">
        <f>[5]trip_summary_region!J14</f>
        <v>2037/38</v>
      </c>
    </row>
    <row r="15" spans="1:10" x14ac:dyDescent="0.2">
      <c r="A15" t="str">
        <f>[5]trip_summary_region!A15</f>
        <v>01 NORTHLAND</v>
      </c>
      <c r="B15">
        <f>[5]trip_summary_region!B15</f>
        <v>1</v>
      </c>
      <c r="C15">
        <f>[5]trip_summary_region!C15</f>
        <v>2043</v>
      </c>
      <c r="D15">
        <f>[5]trip_summary_region!D15</f>
        <v>5</v>
      </c>
      <c r="E15">
        <f>[5]trip_summary_region!E15</f>
        <v>19</v>
      </c>
      <c r="F15">
        <f>[5]trip_summary_region!F15</f>
        <v>0.21835749469999999</v>
      </c>
      <c r="G15">
        <f>[5]trip_summary_region!G15</f>
        <v>0.35445561450000002</v>
      </c>
      <c r="H15">
        <f>[5]trip_summary_region!H15</f>
        <v>5.5584665300000002E-2</v>
      </c>
      <c r="I15" t="str">
        <f>[5]trip_summary_region!I15</f>
        <v>Cyclist</v>
      </c>
      <c r="J15" t="str">
        <f>[5]trip_summary_region!J15</f>
        <v>2042/43</v>
      </c>
    </row>
    <row r="16" spans="1:10" x14ac:dyDescent="0.2">
      <c r="A16" t="str">
        <f>[5]trip_summary_region!A16</f>
        <v>01 NORTHLAND</v>
      </c>
      <c r="B16">
        <f>[5]trip_summary_region!B16</f>
        <v>2</v>
      </c>
      <c r="C16">
        <f>[5]trip_summary_region!C16</f>
        <v>2013</v>
      </c>
      <c r="D16">
        <f>[5]trip_summary_region!D16</f>
        <v>476</v>
      </c>
      <c r="E16">
        <f>[5]trip_summary_region!E16</f>
        <v>2980</v>
      </c>
      <c r="F16">
        <f>[5]trip_summary_region!F16</f>
        <v>86.333691700000003</v>
      </c>
      <c r="G16">
        <f>[5]trip_summary_region!G16</f>
        <v>1011.4273062</v>
      </c>
      <c r="H16">
        <f>[5]trip_summary_region!H16</f>
        <v>23.421840091</v>
      </c>
      <c r="I16" t="str">
        <f>[5]trip_summary_region!I16</f>
        <v>Light Vehicle Driver</v>
      </c>
      <c r="J16" t="str">
        <f>[5]trip_summary_region!J16</f>
        <v>2012/13</v>
      </c>
    </row>
    <row r="17" spans="1:10" x14ac:dyDescent="0.2">
      <c r="A17" t="str">
        <f>[5]trip_summary_region!A17</f>
        <v>01 NORTHLAND</v>
      </c>
      <c r="B17">
        <f>[5]trip_summary_region!B17</f>
        <v>2</v>
      </c>
      <c r="C17">
        <f>[5]trip_summary_region!C17</f>
        <v>2018</v>
      </c>
      <c r="D17">
        <f>[5]trip_summary_region!D17</f>
        <v>476</v>
      </c>
      <c r="E17">
        <f>[5]trip_summary_region!E17</f>
        <v>2980</v>
      </c>
      <c r="F17">
        <f>[5]trip_summary_region!F17</f>
        <v>82.587707332999997</v>
      </c>
      <c r="G17">
        <f>[5]trip_summary_region!G17</f>
        <v>979.62097317999996</v>
      </c>
      <c r="H17">
        <f>[5]trip_summary_region!H17</f>
        <v>22.626610604</v>
      </c>
      <c r="I17" t="str">
        <f>[5]trip_summary_region!I17</f>
        <v>Light Vehicle Driver</v>
      </c>
      <c r="J17" t="str">
        <f>[5]trip_summary_region!J17</f>
        <v>2017/18</v>
      </c>
    </row>
    <row r="18" spans="1:10" x14ac:dyDescent="0.2">
      <c r="A18" t="str">
        <f>[5]trip_summary_region!A18</f>
        <v>01 NORTHLAND</v>
      </c>
      <c r="B18">
        <f>[5]trip_summary_region!B18</f>
        <v>2</v>
      </c>
      <c r="C18">
        <f>[5]trip_summary_region!C18</f>
        <v>2023</v>
      </c>
      <c r="D18">
        <f>[5]trip_summary_region!D18</f>
        <v>476</v>
      </c>
      <c r="E18">
        <f>[5]trip_summary_region!E18</f>
        <v>2980</v>
      </c>
      <c r="F18">
        <f>[5]trip_summary_region!F18</f>
        <v>85.163748853000001</v>
      </c>
      <c r="G18">
        <f>[5]trip_summary_region!G18</f>
        <v>1020.5107126</v>
      </c>
      <c r="H18">
        <f>[5]trip_summary_region!H18</f>
        <v>23.449053301999999</v>
      </c>
      <c r="I18" t="str">
        <f>[5]trip_summary_region!I18</f>
        <v>Light Vehicle Driver</v>
      </c>
      <c r="J18" t="str">
        <f>[5]trip_summary_region!J18</f>
        <v>2022/23</v>
      </c>
    </row>
    <row r="19" spans="1:10" x14ac:dyDescent="0.2">
      <c r="A19" t="str">
        <f>[5]trip_summary_region!A19</f>
        <v>01 NORTHLAND</v>
      </c>
      <c r="B19">
        <f>[5]trip_summary_region!B19</f>
        <v>2</v>
      </c>
      <c r="C19">
        <f>[5]trip_summary_region!C19</f>
        <v>2028</v>
      </c>
      <c r="D19">
        <f>[5]trip_summary_region!D19</f>
        <v>476</v>
      </c>
      <c r="E19">
        <f>[5]trip_summary_region!E19</f>
        <v>2980</v>
      </c>
      <c r="F19">
        <f>[5]trip_summary_region!F19</f>
        <v>85.187123835999998</v>
      </c>
      <c r="G19">
        <f>[5]trip_summary_region!G19</f>
        <v>1022.0614009</v>
      </c>
      <c r="H19">
        <f>[5]trip_summary_region!H19</f>
        <v>23.336826415000001</v>
      </c>
      <c r="I19" t="str">
        <f>[5]trip_summary_region!I19</f>
        <v>Light Vehicle Driver</v>
      </c>
      <c r="J19" t="str">
        <f>[5]trip_summary_region!J19</f>
        <v>2027/28</v>
      </c>
    </row>
    <row r="20" spans="1:10" x14ac:dyDescent="0.2">
      <c r="A20" t="str">
        <f>[5]trip_summary_region!A20</f>
        <v>01 NORTHLAND</v>
      </c>
      <c r="B20">
        <f>[5]trip_summary_region!B20</f>
        <v>2</v>
      </c>
      <c r="C20">
        <f>[5]trip_summary_region!C20</f>
        <v>2033</v>
      </c>
      <c r="D20">
        <f>[5]trip_summary_region!D20</f>
        <v>476</v>
      </c>
      <c r="E20">
        <f>[5]trip_summary_region!E20</f>
        <v>2980</v>
      </c>
      <c r="F20">
        <f>[5]trip_summary_region!F20</f>
        <v>84.770374771999997</v>
      </c>
      <c r="G20">
        <f>[5]trip_summary_region!G20</f>
        <v>1019.0959518</v>
      </c>
      <c r="H20">
        <f>[5]trip_summary_region!H20</f>
        <v>23.181106792000001</v>
      </c>
      <c r="I20" t="str">
        <f>[5]trip_summary_region!I20</f>
        <v>Light Vehicle Driver</v>
      </c>
      <c r="J20" t="str">
        <f>[5]trip_summary_region!J20</f>
        <v>2032/33</v>
      </c>
    </row>
    <row r="21" spans="1:10" x14ac:dyDescent="0.2">
      <c r="A21" t="str">
        <f>[5]trip_summary_region!A21</f>
        <v>01 NORTHLAND</v>
      </c>
      <c r="B21">
        <f>[5]trip_summary_region!B21</f>
        <v>2</v>
      </c>
      <c r="C21">
        <f>[5]trip_summary_region!C21</f>
        <v>2038</v>
      </c>
      <c r="D21">
        <f>[5]trip_summary_region!D21</f>
        <v>476</v>
      </c>
      <c r="E21">
        <f>[5]trip_summary_region!E21</f>
        <v>2980</v>
      </c>
      <c r="F21">
        <f>[5]trip_summary_region!F21</f>
        <v>82.865942935000007</v>
      </c>
      <c r="G21">
        <f>[5]trip_summary_region!G21</f>
        <v>1000.5854423</v>
      </c>
      <c r="H21">
        <f>[5]trip_summary_region!H21</f>
        <v>22.699583088000001</v>
      </c>
      <c r="I21" t="str">
        <f>[5]trip_summary_region!I21</f>
        <v>Light Vehicle Driver</v>
      </c>
      <c r="J21" t="str">
        <f>[5]trip_summary_region!J21</f>
        <v>2037/38</v>
      </c>
    </row>
    <row r="22" spans="1:10" x14ac:dyDescent="0.2">
      <c r="A22" t="str">
        <f>[5]trip_summary_region!A22</f>
        <v>01 NORTHLAND</v>
      </c>
      <c r="B22">
        <f>[5]trip_summary_region!B22</f>
        <v>2</v>
      </c>
      <c r="C22">
        <f>[5]trip_summary_region!C22</f>
        <v>2043</v>
      </c>
      <c r="D22">
        <f>[5]trip_summary_region!D22</f>
        <v>476</v>
      </c>
      <c r="E22">
        <f>[5]trip_summary_region!E22</f>
        <v>2980</v>
      </c>
      <c r="F22">
        <f>[5]trip_summary_region!F22</f>
        <v>80.958199407999999</v>
      </c>
      <c r="G22">
        <f>[5]trip_summary_region!G22</f>
        <v>978.35266875000002</v>
      </c>
      <c r="H22">
        <f>[5]trip_summary_region!H22</f>
        <v>22.145916459999999</v>
      </c>
      <c r="I22" t="str">
        <f>[5]trip_summary_region!I22</f>
        <v>Light Vehicle Driver</v>
      </c>
      <c r="J22" t="str">
        <f>[5]trip_summary_region!J22</f>
        <v>2042/43</v>
      </c>
    </row>
    <row r="23" spans="1:10" x14ac:dyDescent="0.2">
      <c r="A23" t="str">
        <f>[5]trip_summary_region!A23</f>
        <v>01 NORTHLAND</v>
      </c>
      <c r="B23">
        <f>[5]trip_summary_region!B23</f>
        <v>3</v>
      </c>
      <c r="C23">
        <f>[5]trip_summary_region!C23</f>
        <v>2013</v>
      </c>
      <c r="D23">
        <f>[5]trip_summary_region!D23</f>
        <v>380</v>
      </c>
      <c r="E23">
        <f>[5]trip_summary_region!E23</f>
        <v>1743</v>
      </c>
      <c r="F23">
        <f>[5]trip_summary_region!F23</f>
        <v>50.299563868</v>
      </c>
      <c r="G23">
        <f>[5]trip_summary_region!G23</f>
        <v>666.23785996000004</v>
      </c>
      <c r="H23">
        <f>[5]trip_summary_region!H23</f>
        <v>15.174949781</v>
      </c>
      <c r="I23" t="str">
        <f>[5]trip_summary_region!I23</f>
        <v>Light Vehicle Passenger</v>
      </c>
      <c r="J23" t="str">
        <f>[5]trip_summary_region!J23</f>
        <v>2012/13</v>
      </c>
    </row>
    <row r="24" spans="1:10" x14ac:dyDescent="0.2">
      <c r="A24" t="str">
        <f>[5]trip_summary_region!A24</f>
        <v>01 NORTHLAND</v>
      </c>
      <c r="B24">
        <f>[5]trip_summary_region!B24</f>
        <v>3</v>
      </c>
      <c r="C24">
        <f>[5]trip_summary_region!C24</f>
        <v>2018</v>
      </c>
      <c r="D24">
        <f>[5]trip_summary_region!D24</f>
        <v>380</v>
      </c>
      <c r="E24">
        <f>[5]trip_summary_region!E24</f>
        <v>1743</v>
      </c>
      <c r="F24">
        <f>[5]trip_summary_region!F24</f>
        <v>45.432196021999999</v>
      </c>
      <c r="G24">
        <f>[5]trip_summary_region!G24</f>
        <v>617.22502659999998</v>
      </c>
      <c r="H24">
        <f>[5]trip_summary_region!H24</f>
        <v>13.951675757</v>
      </c>
      <c r="I24" t="str">
        <f>[5]trip_summary_region!I24</f>
        <v>Light Vehicle Passenger</v>
      </c>
      <c r="J24" t="str">
        <f>[5]trip_summary_region!J24</f>
        <v>2017/18</v>
      </c>
    </row>
    <row r="25" spans="1:10" x14ac:dyDescent="0.2">
      <c r="A25" t="str">
        <f>[5]trip_summary_region!A25</f>
        <v>01 NORTHLAND</v>
      </c>
      <c r="B25">
        <f>[5]trip_summary_region!B25</f>
        <v>3</v>
      </c>
      <c r="C25">
        <f>[5]trip_summary_region!C25</f>
        <v>2023</v>
      </c>
      <c r="D25">
        <f>[5]trip_summary_region!D25</f>
        <v>380</v>
      </c>
      <c r="E25">
        <f>[5]trip_summary_region!E25</f>
        <v>1743</v>
      </c>
      <c r="F25">
        <f>[5]trip_summary_region!F25</f>
        <v>45.202688017</v>
      </c>
      <c r="G25">
        <f>[5]trip_summary_region!G25</f>
        <v>627.50926823999998</v>
      </c>
      <c r="H25">
        <f>[5]trip_summary_region!H25</f>
        <v>14.053951968</v>
      </c>
      <c r="I25" t="str">
        <f>[5]trip_summary_region!I25</f>
        <v>Light Vehicle Passenger</v>
      </c>
      <c r="J25" t="str">
        <f>[5]trip_summary_region!J25</f>
        <v>2022/23</v>
      </c>
    </row>
    <row r="26" spans="1:10" x14ac:dyDescent="0.2">
      <c r="A26" t="str">
        <f>[5]trip_summary_region!A26</f>
        <v>01 NORTHLAND</v>
      </c>
      <c r="B26">
        <f>[5]trip_summary_region!B26</f>
        <v>3</v>
      </c>
      <c r="C26">
        <f>[5]trip_summary_region!C26</f>
        <v>2028</v>
      </c>
      <c r="D26">
        <f>[5]trip_summary_region!D26</f>
        <v>380</v>
      </c>
      <c r="E26">
        <f>[5]trip_summary_region!E26</f>
        <v>1743</v>
      </c>
      <c r="F26">
        <f>[5]trip_summary_region!F26</f>
        <v>43.895894955999999</v>
      </c>
      <c r="G26">
        <f>[5]trip_summary_region!G26</f>
        <v>622.67475233000005</v>
      </c>
      <c r="H26">
        <f>[5]trip_summary_region!H26</f>
        <v>13.770842062</v>
      </c>
      <c r="I26" t="str">
        <f>[5]trip_summary_region!I26</f>
        <v>Light Vehicle Passenger</v>
      </c>
      <c r="J26" t="str">
        <f>[5]trip_summary_region!J26</f>
        <v>2027/28</v>
      </c>
    </row>
    <row r="27" spans="1:10" x14ac:dyDescent="0.2">
      <c r="A27" t="str">
        <f>[5]trip_summary_region!A27</f>
        <v>01 NORTHLAND</v>
      </c>
      <c r="B27">
        <f>[5]trip_summary_region!B27</f>
        <v>3</v>
      </c>
      <c r="C27">
        <f>[5]trip_summary_region!C27</f>
        <v>2033</v>
      </c>
      <c r="D27">
        <f>[5]trip_summary_region!D27</f>
        <v>380</v>
      </c>
      <c r="E27">
        <f>[5]trip_summary_region!E27</f>
        <v>1743</v>
      </c>
      <c r="F27">
        <f>[5]trip_summary_region!F27</f>
        <v>42.854037658999999</v>
      </c>
      <c r="G27">
        <f>[5]trip_summary_region!G27</f>
        <v>616.53674136999996</v>
      </c>
      <c r="H27">
        <f>[5]trip_summary_region!H27</f>
        <v>13.507451356000001</v>
      </c>
      <c r="I27" t="str">
        <f>[5]trip_summary_region!I27</f>
        <v>Light Vehicle Passenger</v>
      </c>
      <c r="J27" t="str">
        <f>[5]trip_summary_region!J27</f>
        <v>2032/33</v>
      </c>
    </row>
    <row r="28" spans="1:10" x14ac:dyDescent="0.2">
      <c r="A28" t="str">
        <f>[5]trip_summary_region!A28</f>
        <v>01 NORTHLAND</v>
      </c>
      <c r="B28">
        <f>[5]trip_summary_region!B28</f>
        <v>3</v>
      </c>
      <c r="C28">
        <f>[5]trip_summary_region!C28</f>
        <v>2038</v>
      </c>
      <c r="D28">
        <f>[5]trip_summary_region!D28</f>
        <v>380</v>
      </c>
      <c r="E28">
        <f>[5]trip_summary_region!E28</f>
        <v>1743</v>
      </c>
      <c r="F28">
        <f>[5]trip_summary_region!F28</f>
        <v>41.417989953999999</v>
      </c>
      <c r="G28">
        <f>[5]trip_summary_region!G28</f>
        <v>608.74768255000004</v>
      </c>
      <c r="H28">
        <f>[5]trip_summary_region!H28</f>
        <v>13.192181435</v>
      </c>
      <c r="I28" t="str">
        <f>[5]trip_summary_region!I28</f>
        <v>Light Vehicle Passenger</v>
      </c>
      <c r="J28" t="str">
        <f>[5]trip_summary_region!J28</f>
        <v>2037/38</v>
      </c>
    </row>
    <row r="29" spans="1:10" x14ac:dyDescent="0.2">
      <c r="A29" t="str">
        <f>[5]trip_summary_region!A29</f>
        <v>01 NORTHLAND</v>
      </c>
      <c r="B29">
        <f>[5]trip_summary_region!B29</f>
        <v>3</v>
      </c>
      <c r="C29">
        <f>[5]trip_summary_region!C29</f>
        <v>2043</v>
      </c>
      <c r="D29">
        <f>[5]trip_summary_region!D29</f>
        <v>380</v>
      </c>
      <c r="E29">
        <f>[5]trip_summary_region!E29</f>
        <v>1743</v>
      </c>
      <c r="F29">
        <f>[5]trip_summary_region!F29</f>
        <v>40.110688994</v>
      </c>
      <c r="G29">
        <f>[5]trip_summary_region!G29</f>
        <v>599.76318430000003</v>
      </c>
      <c r="H29">
        <f>[5]trip_summary_region!H29</f>
        <v>12.875185608000001</v>
      </c>
      <c r="I29" t="str">
        <f>[5]trip_summary_region!I29</f>
        <v>Light Vehicle Passenger</v>
      </c>
      <c r="J29" t="str">
        <f>[5]trip_summary_region!J29</f>
        <v>2042/43</v>
      </c>
    </row>
    <row r="30" spans="1:10" x14ac:dyDescent="0.2">
      <c r="A30" t="str">
        <f>[5]trip_summary_region!A30</f>
        <v>01 NORTHLAND</v>
      </c>
      <c r="B30">
        <f>[5]trip_summary_region!B30</f>
        <v>4</v>
      </c>
      <c r="C30">
        <f>[5]trip_summary_region!C30</f>
        <v>2013</v>
      </c>
      <c r="D30">
        <f>[5]trip_summary_region!D30</f>
        <v>4</v>
      </c>
      <c r="E30">
        <f>[5]trip_summary_region!E30</f>
        <v>6</v>
      </c>
      <c r="F30">
        <f>[5]trip_summary_region!F30</f>
        <v>0.18126348840000001</v>
      </c>
      <c r="G30">
        <f>[5]trip_summary_region!G30</f>
        <v>0.75976041549999995</v>
      </c>
      <c r="H30">
        <f>[5]trip_summary_region!H30</f>
        <v>2.5131369800000001E-2</v>
      </c>
      <c r="I30" t="s">
        <v>116</v>
      </c>
      <c r="J30" t="str">
        <f>[5]trip_summary_region!J30</f>
        <v>2012/13</v>
      </c>
    </row>
    <row r="31" spans="1:10" x14ac:dyDescent="0.2">
      <c r="A31" t="str">
        <f>[5]trip_summary_region!A31</f>
        <v>01 NORTHLAND</v>
      </c>
      <c r="B31">
        <f>[5]trip_summary_region!B31</f>
        <v>4</v>
      </c>
      <c r="C31">
        <f>[5]trip_summary_region!C31</f>
        <v>2018</v>
      </c>
      <c r="D31">
        <f>[5]trip_summary_region!D31</f>
        <v>4</v>
      </c>
      <c r="E31">
        <f>[5]trip_summary_region!E31</f>
        <v>6</v>
      </c>
      <c r="F31">
        <f>[5]trip_summary_region!F31</f>
        <v>0.1728324074</v>
      </c>
      <c r="G31">
        <f>[5]trip_summary_region!G31</f>
        <v>0.72084069399999995</v>
      </c>
      <c r="H31">
        <f>[5]trip_summary_region!H31</f>
        <v>2.3381072199999998E-2</v>
      </c>
      <c r="I31" t="s">
        <v>116</v>
      </c>
      <c r="J31" t="str">
        <f>[5]trip_summary_region!J31</f>
        <v>2017/18</v>
      </c>
    </row>
    <row r="32" spans="1:10" x14ac:dyDescent="0.2">
      <c r="A32" t="str">
        <f>[5]trip_summary_region!A32</f>
        <v>01 NORTHLAND</v>
      </c>
      <c r="B32">
        <f>[5]trip_summary_region!B32</f>
        <v>4</v>
      </c>
      <c r="C32">
        <f>[5]trip_summary_region!C32</f>
        <v>2023</v>
      </c>
      <c r="D32">
        <f>[5]trip_summary_region!D32</f>
        <v>4</v>
      </c>
      <c r="E32">
        <f>[5]trip_summary_region!E32</f>
        <v>6</v>
      </c>
      <c r="F32">
        <f>[5]trip_summary_region!F32</f>
        <v>0.17403427390000001</v>
      </c>
      <c r="G32">
        <f>[5]trip_summary_region!G32</f>
        <v>0.80620093960000005</v>
      </c>
      <c r="H32">
        <f>[5]trip_summary_region!H32</f>
        <v>2.4233445100000001E-2</v>
      </c>
      <c r="I32" t="s">
        <v>116</v>
      </c>
      <c r="J32" t="str">
        <f>[5]trip_summary_region!J32</f>
        <v>2022/23</v>
      </c>
    </row>
    <row r="33" spans="1:10" x14ac:dyDescent="0.2">
      <c r="A33" t="str">
        <f>[5]trip_summary_region!A33</f>
        <v>01 NORTHLAND</v>
      </c>
      <c r="B33">
        <f>[5]trip_summary_region!B33</f>
        <v>4</v>
      </c>
      <c r="C33">
        <f>[5]trip_summary_region!C33</f>
        <v>2028</v>
      </c>
      <c r="D33">
        <f>[5]trip_summary_region!D33</f>
        <v>4</v>
      </c>
      <c r="E33">
        <f>[5]trip_summary_region!E33</f>
        <v>6</v>
      </c>
      <c r="F33">
        <f>[5]trip_summary_region!F33</f>
        <v>0.1750242803</v>
      </c>
      <c r="G33">
        <f>[5]trip_summary_region!G33</f>
        <v>0.93070394209999996</v>
      </c>
      <c r="H33">
        <f>[5]trip_summary_region!H33</f>
        <v>2.5646444300000001E-2</v>
      </c>
      <c r="I33" t="s">
        <v>116</v>
      </c>
      <c r="J33" t="str">
        <f>[5]trip_summary_region!J33</f>
        <v>2027/28</v>
      </c>
    </row>
    <row r="34" spans="1:10" x14ac:dyDescent="0.2">
      <c r="A34" t="str">
        <f>[5]trip_summary_region!A34</f>
        <v>01 NORTHLAND</v>
      </c>
      <c r="B34">
        <f>[5]trip_summary_region!B34</f>
        <v>4</v>
      </c>
      <c r="C34">
        <f>[5]trip_summary_region!C34</f>
        <v>2033</v>
      </c>
      <c r="D34">
        <f>[5]trip_summary_region!D34</f>
        <v>4</v>
      </c>
      <c r="E34">
        <f>[5]trip_summary_region!E34</f>
        <v>6</v>
      </c>
      <c r="F34">
        <f>[5]trip_summary_region!F34</f>
        <v>0.16511348770000001</v>
      </c>
      <c r="G34">
        <f>[5]trip_summary_region!G34</f>
        <v>1.0030765751999999</v>
      </c>
      <c r="H34">
        <f>[5]trip_summary_region!H34</f>
        <v>2.5531852800000001E-2</v>
      </c>
      <c r="I34" t="s">
        <v>116</v>
      </c>
      <c r="J34" t="str">
        <f>[5]trip_summary_region!J34</f>
        <v>2032/33</v>
      </c>
    </row>
    <row r="35" spans="1:10" x14ac:dyDescent="0.2">
      <c r="A35" t="str">
        <f>[5]trip_summary_region!A35</f>
        <v>01 NORTHLAND</v>
      </c>
      <c r="B35">
        <f>[5]trip_summary_region!B35</f>
        <v>4</v>
      </c>
      <c r="C35">
        <f>[5]trip_summary_region!C35</f>
        <v>2038</v>
      </c>
      <c r="D35">
        <f>[5]trip_summary_region!D35</f>
        <v>4</v>
      </c>
      <c r="E35">
        <f>[5]trip_summary_region!E35</f>
        <v>6</v>
      </c>
      <c r="F35">
        <f>[5]trip_summary_region!F35</f>
        <v>0.15083386909999999</v>
      </c>
      <c r="G35">
        <f>[5]trip_summary_region!G35</f>
        <v>0.97754679119999999</v>
      </c>
      <c r="H35">
        <f>[5]trip_summary_region!H35</f>
        <v>2.38078901E-2</v>
      </c>
      <c r="I35" t="s">
        <v>116</v>
      </c>
      <c r="J35" t="str">
        <f>[5]trip_summary_region!J35</f>
        <v>2037/38</v>
      </c>
    </row>
    <row r="36" spans="1:10" x14ac:dyDescent="0.2">
      <c r="A36" t="str">
        <f>[5]trip_summary_region!A36</f>
        <v>01 NORTHLAND</v>
      </c>
      <c r="B36">
        <f>[5]trip_summary_region!B36</f>
        <v>4</v>
      </c>
      <c r="C36">
        <f>[5]trip_summary_region!C36</f>
        <v>2043</v>
      </c>
      <c r="D36">
        <f>[5]trip_summary_region!D36</f>
        <v>4</v>
      </c>
      <c r="E36">
        <f>[5]trip_summary_region!E36</f>
        <v>6</v>
      </c>
      <c r="F36">
        <f>[5]trip_summary_region!F36</f>
        <v>0.1366762664</v>
      </c>
      <c r="G36">
        <f>[5]trip_summary_region!G36</f>
        <v>0.94618356910000001</v>
      </c>
      <c r="H36">
        <f>[5]trip_summary_region!H36</f>
        <v>2.2074832199999998E-2</v>
      </c>
      <c r="I36" t="s">
        <v>116</v>
      </c>
      <c r="J36" t="str">
        <f>[5]trip_summary_region!J36</f>
        <v>2042/43</v>
      </c>
    </row>
    <row r="37" spans="1:10" x14ac:dyDescent="0.2">
      <c r="A37" t="str">
        <f>[5]trip_summary_region!A37</f>
        <v>01 NORTHLAND</v>
      </c>
      <c r="B37">
        <f>[5]trip_summary_region!B37</f>
        <v>5</v>
      </c>
      <c r="C37">
        <f>[5]trip_summary_region!C37</f>
        <v>2013</v>
      </c>
      <c r="D37">
        <f>[5]trip_summary_region!D37</f>
        <v>5</v>
      </c>
      <c r="E37">
        <f>[5]trip_summary_region!E37</f>
        <v>28</v>
      </c>
      <c r="F37">
        <f>[5]trip_summary_region!F37</f>
        <v>1.4141085707000001</v>
      </c>
      <c r="G37">
        <f>[5]trip_summary_region!G37</f>
        <v>9.2423909657000003</v>
      </c>
      <c r="H37">
        <f>[5]trip_summary_region!H37</f>
        <v>0.28382488960000002</v>
      </c>
      <c r="I37" t="str">
        <f>[5]trip_summary_region!I37</f>
        <v>Motorcyclist</v>
      </c>
      <c r="J37" t="str">
        <f>[5]trip_summary_region!J37</f>
        <v>2012/13</v>
      </c>
    </row>
    <row r="38" spans="1:10" x14ac:dyDescent="0.2">
      <c r="A38" t="str">
        <f>[5]trip_summary_region!A38</f>
        <v>01 NORTHLAND</v>
      </c>
      <c r="B38">
        <f>[5]trip_summary_region!B38</f>
        <v>5</v>
      </c>
      <c r="C38">
        <f>[5]trip_summary_region!C38</f>
        <v>2018</v>
      </c>
      <c r="D38">
        <f>[5]trip_summary_region!D38</f>
        <v>5</v>
      </c>
      <c r="E38">
        <f>[5]trip_summary_region!E38</f>
        <v>28</v>
      </c>
      <c r="F38">
        <f>[5]trip_summary_region!F38</f>
        <v>1.2831617314999999</v>
      </c>
      <c r="G38">
        <f>[5]trip_summary_region!G38</f>
        <v>8.6137890520999996</v>
      </c>
      <c r="H38">
        <f>[5]trip_summary_region!H38</f>
        <v>0.26366302209999998</v>
      </c>
      <c r="I38" t="str">
        <f>[5]trip_summary_region!I38</f>
        <v>Motorcyclist</v>
      </c>
      <c r="J38" t="str">
        <f>[5]trip_summary_region!J38</f>
        <v>2017/18</v>
      </c>
    </row>
    <row r="39" spans="1:10" x14ac:dyDescent="0.2">
      <c r="A39" t="str">
        <f>[5]trip_summary_region!A39</f>
        <v>01 NORTHLAND</v>
      </c>
      <c r="B39">
        <f>[5]trip_summary_region!B39</f>
        <v>5</v>
      </c>
      <c r="C39">
        <f>[5]trip_summary_region!C39</f>
        <v>2023</v>
      </c>
      <c r="D39">
        <f>[5]trip_summary_region!D39</f>
        <v>5</v>
      </c>
      <c r="E39">
        <f>[5]trip_summary_region!E39</f>
        <v>28</v>
      </c>
      <c r="F39">
        <f>[5]trip_summary_region!F39</f>
        <v>1.2551150879999999</v>
      </c>
      <c r="G39">
        <f>[5]trip_summary_region!G39</f>
        <v>8.2723490345999995</v>
      </c>
      <c r="H39">
        <f>[5]trip_summary_region!H39</f>
        <v>0.25701676400000001</v>
      </c>
      <c r="I39" t="str">
        <f>[5]trip_summary_region!I39</f>
        <v>Motorcyclist</v>
      </c>
      <c r="J39" t="str">
        <f>[5]trip_summary_region!J39</f>
        <v>2022/23</v>
      </c>
    </row>
    <row r="40" spans="1:10" x14ac:dyDescent="0.2">
      <c r="A40" t="str">
        <f>[5]trip_summary_region!A40</f>
        <v>01 NORTHLAND</v>
      </c>
      <c r="B40">
        <f>[5]trip_summary_region!B40</f>
        <v>5</v>
      </c>
      <c r="C40">
        <f>[5]trip_summary_region!C40</f>
        <v>2028</v>
      </c>
      <c r="D40">
        <f>[5]trip_summary_region!D40</f>
        <v>5</v>
      </c>
      <c r="E40">
        <f>[5]trip_summary_region!E40</f>
        <v>28</v>
      </c>
      <c r="F40">
        <f>[5]trip_summary_region!F40</f>
        <v>1.1458003323999999</v>
      </c>
      <c r="G40">
        <f>[5]trip_summary_region!G40</f>
        <v>7.8239587547999996</v>
      </c>
      <c r="H40">
        <f>[5]trip_summary_region!H40</f>
        <v>0.24043139229999999</v>
      </c>
      <c r="I40" t="str">
        <f>[5]trip_summary_region!I40</f>
        <v>Motorcyclist</v>
      </c>
      <c r="J40" t="str">
        <f>[5]trip_summary_region!J40</f>
        <v>2027/28</v>
      </c>
    </row>
    <row r="41" spans="1:10" x14ac:dyDescent="0.2">
      <c r="A41" t="str">
        <f>[5]trip_summary_region!A41</f>
        <v>01 NORTHLAND</v>
      </c>
      <c r="B41">
        <f>[5]trip_summary_region!B41</f>
        <v>5</v>
      </c>
      <c r="C41">
        <f>[5]trip_summary_region!C41</f>
        <v>2033</v>
      </c>
      <c r="D41">
        <f>[5]trip_summary_region!D41</f>
        <v>5</v>
      </c>
      <c r="E41">
        <f>[5]trip_summary_region!E41</f>
        <v>28</v>
      </c>
      <c r="F41">
        <f>[5]trip_summary_region!F41</f>
        <v>1.0806990407999999</v>
      </c>
      <c r="G41">
        <f>[5]trip_summary_region!G41</f>
        <v>7.4618017327999997</v>
      </c>
      <c r="H41">
        <f>[5]trip_summary_region!H41</f>
        <v>0.22814738439999999</v>
      </c>
      <c r="I41" t="str">
        <f>[5]trip_summary_region!I41</f>
        <v>Motorcyclist</v>
      </c>
      <c r="J41" t="str">
        <f>[5]trip_summary_region!J41</f>
        <v>2032/33</v>
      </c>
    </row>
    <row r="42" spans="1:10" x14ac:dyDescent="0.2">
      <c r="A42" t="str">
        <f>[5]trip_summary_region!A42</f>
        <v>01 NORTHLAND</v>
      </c>
      <c r="B42">
        <f>[5]trip_summary_region!B42</f>
        <v>5</v>
      </c>
      <c r="C42">
        <f>[5]trip_summary_region!C42</f>
        <v>2038</v>
      </c>
      <c r="D42">
        <f>[5]trip_summary_region!D42</f>
        <v>5</v>
      </c>
      <c r="E42">
        <f>[5]trip_summary_region!E42</f>
        <v>28</v>
      </c>
      <c r="F42">
        <f>[5]trip_summary_region!F42</f>
        <v>1.0382334813</v>
      </c>
      <c r="G42">
        <f>[5]trip_summary_region!G42</f>
        <v>7.2477340133999997</v>
      </c>
      <c r="H42">
        <f>[5]trip_summary_region!H42</f>
        <v>0.22051541929999999</v>
      </c>
      <c r="I42" t="str">
        <f>[5]trip_summary_region!I42</f>
        <v>Motorcyclist</v>
      </c>
      <c r="J42" t="str">
        <f>[5]trip_summary_region!J42</f>
        <v>2037/38</v>
      </c>
    </row>
    <row r="43" spans="1:10" x14ac:dyDescent="0.2">
      <c r="A43" t="str">
        <f>[5]trip_summary_region!A43</f>
        <v>01 NORTHLAND</v>
      </c>
      <c r="B43">
        <f>[5]trip_summary_region!B43</f>
        <v>5</v>
      </c>
      <c r="C43">
        <f>[5]trip_summary_region!C43</f>
        <v>2043</v>
      </c>
      <c r="D43">
        <f>[5]trip_summary_region!D43</f>
        <v>5</v>
      </c>
      <c r="E43">
        <f>[5]trip_summary_region!E43</f>
        <v>28</v>
      </c>
      <c r="F43">
        <f>[5]trip_summary_region!F43</f>
        <v>0.97757925700000003</v>
      </c>
      <c r="G43">
        <f>[5]trip_summary_region!G43</f>
        <v>6.9506554740000004</v>
      </c>
      <c r="H43">
        <f>[5]trip_summary_region!H43</f>
        <v>0.2100709056</v>
      </c>
      <c r="I43" t="str">
        <f>[5]trip_summary_region!I43</f>
        <v>Motorcyclist</v>
      </c>
      <c r="J43" t="str">
        <f>[5]trip_summary_region!J43</f>
        <v>2042/43</v>
      </c>
    </row>
    <row r="44" spans="1:10" x14ac:dyDescent="0.2">
      <c r="A44" t="str">
        <f>[5]trip_summary_region!A44</f>
        <v>01 NORTHLAND</v>
      </c>
      <c r="B44">
        <f>[5]trip_summary_region!B44</f>
        <v>7</v>
      </c>
      <c r="C44">
        <f>[5]trip_summary_region!C44</f>
        <v>2013</v>
      </c>
      <c r="D44">
        <f>[5]trip_summary_region!D44</f>
        <v>50</v>
      </c>
      <c r="E44">
        <f>[5]trip_summary_region!E44</f>
        <v>135</v>
      </c>
      <c r="F44">
        <f>[5]trip_summary_region!F44</f>
        <v>3.6339219343</v>
      </c>
      <c r="G44">
        <f>[5]trip_summary_region!G44</f>
        <v>44.734594063999999</v>
      </c>
      <c r="H44">
        <f>[5]trip_summary_region!H44</f>
        <v>1.5691203781</v>
      </c>
      <c r="I44" t="str">
        <f>[5]trip_summary_region!I44</f>
        <v>Local Bus</v>
      </c>
      <c r="J44" t="str">
        <f>[5]trip_summary_region!J44</f>
        <v>2012/13</v>
      </c>
    </row>
    <row r="45" spans="1:10" x14ac:dyDescent="0.2">
      <c r="A45" t="str">
        <f>[5]trip_summary_region!A45</f>
        <v>01 NORTHLAND</v>
      </c>
      <c r="B45">
        <f>[5]trip_summary_region!B45</f>
        <v>7</v>
      </c>
      <c r="C45">
        <f>[5]trip_summary_region!C45</f>
        <v>2018</v>
      </c>
      <c r="D45">
        <f>[5]trip_summary_region!D45</f>
        <v>50</v>
      </c>
      <c r="E45">
        <f>[5]trip_summary_region!E45</f>
        <v>135</v>
      </c>
      <c r="F45">
        <f>[5]trip_summary_region!F45</f>
        <v>2.9476991101999999</v>
      </c>
      <c r="G45">
        <f>[5]trip_summary_region!G45</f>
        <v>35.365298054</v>
      </c>
      <c r="H45">
        <f>[5]trip_summary_region!H45</f>
        <v>1.2698739738</v>
      </c>
      <c r="I45" t="str">
        <f>[5]trip_summary_region!I45</f>
        <v>Local Bus</v>
      </c>
      <c r="J45" t="str">
        <f>[5]trip_summary_region!J45</f>
        <v>2017/18</v>
      </c>
    </row>
    <row r="46" spans="1:10" x14ac:dyDescent="0.2">
      <c r="A46" t="str">
        <f>[5]trip_summary_region!A46</f>
        <v>01 NORTHLAND</v>
      </c>
      <c r="B46">
        <f>[5]trip_summary_region!B46</f>
        <v>7</v>
      </c>
      <c r="C46">
        <f>[5]trip_summary_region!C46</f>
        <v>2023</v>
      </c>
      <c r="D46">
        <f>[5]trip_summary_region!D46</f>
        <v>50</v>
      </c>
      <c r="E46">
        <f>[5]trip_summary_region!E46</f>
        <v>135</v>
      </c>
      <c r="F46">
        <f>[5]trip_summary_region!F46</f>
        <v>2.6875250338000001</v>
      </c>
      <c r="G46">
        <f>[5]trip_summary_region!G46</f>
        <v>31.667425569999999</v>
      </c>
      <c r="H46">
        <f>[5]trip_summary_region!H46</f>
        <v>1.1498275158</v>
      </c>
      <c r="I46" t="str">
        <f>[5]trip_summary_region!I46</f>
        <v>Local Bus</v>
      </c>
      <c r="J46" t="str">
        <f>[5]trip_summary_region!J46</f>
        <v>2022/23</v>
      </c>
    </row>
    <row r="47" spans="1:10" x14ac:dyDescent="0.2">
      <c r="A47" t="str">
        <f>[5]trip_summary_region!A47</f>
        <v>01 NORTHLAND</v>
      </c>
      <c r="B47">
        <f>[5]trip_summary_region!B47</f>
        <v>7</v>
      </c>
      <c r="C47">
        <f>[5]trip_summary_region!C47</f>
        <v>2028</v>
      </c>
      <c r="D47">
        <f>[5]trip_summary_region!D47</f>
        <v>50</v>
      </c>
      <c r="E47">
        <f>[5]trip_summary_region!E47</f>
        <v>135</v>
      </c>
      <c r="F47">
        <f>[5]trip_summary_region!F47</f>
        <v>2.3876127337000002</v>
      </c>
      <c r="G47">
        <f>[5]trip_summary_region!G47</f>
        <v>28.427366441</v>
      </c>
      <c r="H47">
        <f>[5]trip_summary_region!H47</f>
        <v>1.0126729881000001</v>
      </c>
      <c r="I47" t="str">
        <f>[5]trip_summary_region!I47</f>
        <v>Local Bus</v>
      </c>
      <c r="J47" t="str">
        <f>[5]trip_summary_region!J47</f>
        <v>2027/28</v>
      </c>
    </row>
    <row r="48" spans="1:10" x14ac:dyDescent="0.2">
      <c r="A48" t="str">
        <f>[5]trip_summary_region!A48</f>
        <v>01 NORTHLAND</v>
      </c>
      <c r="B48">
        <f>[5]trip_summary_region!B48</f>
        <v>7</v>
      </c>
      <c r="C48">
        <f>[5]trip_summary_region!C48</f>
        <v>2033</v>
      </c>
      <c r="D48">
        <f>[5]trip_summary_region!D48</f>
        <v>50</v>
      </c>
      <c r="E48">
        <f>[5]trip_summary_region!E48</f>
        <v>135</v>
      </c>
      <c r="F48">
        <f>[5]trip_summary_region!F48</f>
        <v>2.1321704370000001</v>
      </c>
      <c r="G48">
        <f>[5]trip_summary_region!G48</f>
        <v>25.624081072999999</v>
      </c>
      <c r="H48">
        <f>[5]trip_summary_region!H48</f>
        <v>0.89759378339999996</v>
      </c>
      <c r="I48" t="str">
        <f>[5]trip_summary_region!I48</f>
        <v>Local Bus</v>
      </c>
      <c r="J48" t="str">
        <f>[5]trip_summary_region!J48</f>
        <v>2032/33</v>
      </c>
    </row>
    <row r="49" spans="1:10" x14ac:dyDescent="0.2">
      <c r="A49" t="str">
        <f>[5]trip_summary_region!A49</f>
        <v>01 NORTHLAND</v>
      </c>
      <c r="B49">
        <f>[5]trip_summary_region!B49</f>
        <v>7</v>
      </c>
      <c r="C49">
        <f>[5]trip_summary_region!C49</f>
        <v>2038</v>
      </c>
      <c r="D49">
        <f>[5]trip_summary_region!D49</f>
        <v>50</v>
      </c>
      <c r="E49">
        <f>[5]trip_summary_region!E49</f>
        <v>135</v>
      </c>
      <c r="F49">
        <f>[5]trip_summary_region!F49</f>
        <v>1.9077919666000001</v>
      </c>
      <c r="G49">
        <f>[5]trip_summary_region!G49</f>
        <v>23.373778296000001</v>
      </c>
      <c r="H49">
        <f>[5]trip_summary_region!H49</f>
        <v>0.79962345089999998</v>
      </c>
      <c r="I49" t="str">
        <f>[5]trip_summary_region!I49</f>
        <v>Local Bus</v>
      </c>
      <c r="J49" t="str">
        <f>[5]trip_summary_region!J49</f>
        <v>2037/38</v>
      </c>
    </row>
    <row r="50" spans="1:10" x14ac:dyDescent="0.2">
      <c r="A50" t="str">
        <f>[5]trip_summary_region!A50</f>
        <v>01 NORTHLAND</v>
      </c>
      <c r="B50">
        <f>[5]trip_summary_region!B50</f>
        <v>7</v>
      </c>
      <c r="C50">
        <f>[5]trip_summary_region!C50</f>
        <v>2043</v>
      </c>
      <c r="D50">
        <f>[5]trip_summary_region!D50</f>
        <v>50</v>
      </c>
      <c r="E50">
        <f>[5]trip_summary_region!E50</f>
        <v>135</v>
      </c>
      <c r="F50">
        <f>[5]trip_summary_region!F50</f>
        <v>1.7081827898999999</v>
      </c>
      <c r="G50">
        <f>[5]trip_summary_region!G50</f>
        <v>21.369433756999999</v>
      </c>
      <c r="H50">
        <f>[5]trip_summary_region!H50</f>
        <v>0.7128539519</v>
      </c>
      <c r="I50" t="str">
        <f>[5]trip_summary_region!I50</f>
        <v>Local Bus</v>
      </c>
      <c r="J50" t="str">
        <f>[5]trip_summary_region!J50</f>
        <v>2042/43</v>
      </c>
    </row>
    <row r="51" spans="1:10" x14ac:dyDescent="0.2">
      <c r="A51" t="str">
        <f>[5]trip_summary_region!A51</f>
        <v>01 NORTHLAND</v>
      </c>
      <c r="B51">
        <f>[5]trip_summary_region!B51</f>
        <v>8</v>
      </c>
      <c r="C51">
        <f>[5]trip_summary_region!C51</f>
        <v>2013</v>
      </c>
      <c r="D51">
        <f>[5]trip_summary_region!D51</f>
        <v>2</v>
      </c>
      <c r="E51">
        <f>[5]trip_summary_region!E51</f>
        <v>3</v>
      </c>
      <c r="F51">
        <f>[5]trip_summary_region!F51</f>
        <v>4.69171767E-2</v>
      </c>
      <c r="G51">
        <f>[5]trip_summary_region!G51</f>
        <v>0</v>
      </c>
      <c r="H51">
        <f>[5]trip_summary_region!H51</f>
        <v>1.43058123E-2</v>
      </c>
      <c r="I51" t="str">
        <f>[5]trip_summary_region!I51</f>
        <v>Local Ferry</v>
      </c>
      <c r="J51" t="str">
        <f>[5]trip_summary_region!J51</f>
        <v>2012/13</v>
      </c>
    </row>
    <row r="52" spans="1:10" x14ac:dyDescent="0.2">
      <c r="A52" t="str">
        <f>[5]trip_summary_region!A52</f>
        <v>01 NORTHLAND</v>
      </c>
      <c r="B52">
        <f>[5]trip_summary_region!B52</f>
        <v>8</v>
      </c>
      <c r="C52">
        <f>[5]trip_summary_region!C52</f>
        <v>2018</v>
      </c>
      <c r="D52">
        <f>[5]trip_summary_region!D52</f>
        <v>2</v>
      </c>
      <c r="E52">
        <f>[5]trip_summary_region!E52</f>
        <v>3</v>
      </c>
      <c r="F52">
        <f>[5]trip_summary_region!F52</f>
        <v>4.7155710599999998E-2</v>
      </c>
      <c r="G52">
        <f>[5]trip_summary_region!G52</f>
        <v>0</v>
      </c>
      <c r="H52">
        <f>[5]trip_summary_region!H52</f>
        <v>1.35304052E-2</v>
      </c>
      <c r="I52" t="str">
        <f>[5]trip_summary_region!I52</f>
        <v>Local Ferry</v>
      </c>
      <c r="J52" t="str">
        <f>[5]trip_summary_region!J52</f>
        <v>2017/18</v>
      </c>
    </row>
    <row r="53" spans="1:10" x14ac:dyDescent="0.2">
      <c r="A53" t="str">
        <f>[5]trip_summary_region!A53</f>
        <v>01 NORTHLAND</v>
      </c>
      <c r="B53">
        <f>[5]trip_summary_region!B53</f>
        <v>8</v>
      </c>
      <c r="C53">
        <f>[5]trip_summary_region!C53</f>
        <v>2023</v>
      </c>
      <c r="D53">
        <f>[5]trip_summary_region!D53</f>
        <v>2</v>
      </c>
      <c r="E53">
        <f>[5]trip_summary_region!E53</f>
        <v>3</v>
      </c>
      <c r="F53">
        <f>[5]trip_summary_region!F53</f>
        <v>4.7227851699999997E-2</v>
      </c>
      <c r="G53">
        <f>[5]trip_summary_region!G53</f>
        <v>0</v>
      </c>
      <c r="H53">
        <f>[5]trip_summary_region!H53</f>
        <v>1.24993151E-2</v>
      </c>
      <c r="I53" t="str">
        <f>[5]trip_summary_region!I53</f>
        <v>Local Ferry</v>
      </c>
      <c r="J53" t="str">
        <f>[5]trip_summary_region!J53</f>
        <v>2022/23</v>
      </c>
    </row>
    <row r="54" spans="1:10" x14ac:dyDescent="0.2">
      <c r="A54" t="str">
        <f>[5]trip_summary_region!A54</f>
        <v>01 NORTHLAND</v>
      </c>
      <c r="B54">
        <f>[5]trip_summary_region!B54</f>
        <v>8</v>
      </c>
      <c r="C54">
        <f>[5]trip_summary_region!C54</f>
        <v>2028</v>
      </c>
      <c r="D54">
        <f>[5]trip_summary_region!D54</f>
        <v>2</v>
      </c>
      <c r="E54">
        <f>[5]trip_summary_region!E54</f>
        <v>3</v>
      </c>
      <c r="F54">
        <f>[5]trip_summary_region!F54</f>
        <v>4.6518637100000003E-2</v>
      </c>
      <c r="G54">
        <f>[5]trip_summary_region!G54</f>
        <v>0</v>
      </c>
      <c r="H54">
        <f>[5]trip_summary_region!H54</f>
        <v>1.15638372E-2</v>
      </c>
      <c r="I54" t="str">
        <f>[5]trip_summary_region!I54</f>
        <v>Local Ferry</v>
      </c>
      <c r="J54" t="str">
        <f>[5]trip_summary_region!J54</f>
        <v>2027/28</v>
      </c>
    </row>
    <row r="55" spans="1:10" x14ac:dyDescent="0.2">
      <c r="A55" t="str">
        <f>[5]trip_summary_region!A55</f>
        <v>01 NORTHLAND</v>
      </c>
      <c r="B55">
        <f>[5]trip_summary_region!B55</f>
        <v>8</v>
      </c>
      <c r="C55">
        <f>[5]trip_summary_region!C55</f>
        <v>2033</v>
      </c>
      <c r="D55">
        <f>[5]trip_summary_region!D55</f>
        <v>2</v>
      </c>
      <c r="E55">
        <f>[5]trip_summary_region!E55</f>
        <v>3</v>
      </c>
      <c r="F55">
        <f>[5]trip_summary_region!F55</f>
        <v>4.2824268399999997E-2</v>
      </c>
      <c r="G55">
        <f>[5]trip_summary_region!G55</f>
        <v>0</v>
      </c>
      <c r="H55">
        <f>[5]trip_summary_region!H55</f>
        <v>1.0238669800000001E-2</v>
      </c>
      <c r="I55" t="str">
        <f>[5]trip_summary_region!I55</f>
        <v>Local Ferry</v>
      </c>
      <c r="J55" t="str">
        <f>[5]trip_summary_region!J55</f>
        <v>2032/33</v>
      </c>
    </row>
    <row r="56" spans="1:10" x14ac:dyDescent="0.2">
      <c r="A56" t="str">
        <f>[5]trip_summary_region!A56</f>
        <v>01 NORTHLAND</v>
      </c>
      <c r="B56">
        <f>[5]trip_summary_region!B56</f>
        <v>8</v>
      </c>
      <c r="C56">
        <f>[5]trip_summary_region!C56</f>
        <v>2038</v>
      </c>
      <c r="D56">
        <f>[5]trip_summary_region!D56</f>
        <v>2</v>
      </c>
      <c r="E56">
        <f>[5]trip_summary_region!E56</f>
        <v>3</v>
      </c>
      <c r="F56">
        <f>[5]trip_summary_region!F56</f>
        <v>3.6977945800000002E-2</v>
      </c>
      <c r="G56">
        <f>[5]trip_summary_region!G56</f>
        <v>0</v>
      </c>
      <c r="H56">
        <f>[5]trip_summary_region!H56</f>
        <v>8.6433477999999994E-3</v>
      </c>
      <c r="I56" t="str">
        <f>[5]trip_summary_region!I56</f>
        <v>Local Ferry</v>
      </c>
      <c r="J56" t="str">
        <f>[5]trip_summary_region!J56</f>
        <v>2037/38</v>
      </c>
    </row>
    <row r="57" spans="1:10" x14ac:dyDescent="0.2">
      <c r="A57" t="str">
        <f>[5]trip_summary_region!A57</f>
        <v>01 NORTHLAND</v>
      </c>
      <c r="B57">
        <f>[5]trip_summary_region!B57</f>
        <v>8</v>
      </c>
      <c r="C57">
        <f>[5]trip_summary_region!C57</f>
        <v>2043</v>
      </c>
      <c r="D57">
        <f>[5]trip_summary_region!D57</f>
        <v>2</v>
      </c>
      <c r="E57">
        <f>[5]trip_summary_region!E57</f>
        <v>3</v>
      </c>
      <c r="F57">
        <f>[5]trip_summary_region!F57</f>
        <v>3.1208928800000001E-2</v>
      </c>
      <c r="G57">
        <f>[5]trip_summary_region!G57</f>
        <v>0</v>
      </c>
      <c r="H57">
        <f>[5]trip_summary_region!H57</f>
        <v>7.1877215E-3</v>
      </c>
      <c r="I57" t="str">
        <f>[5]trip_summary_region!I57</f>
        <v>Local Ferry</v>
      </c>
      <c r="J57" t="str">
        <f>[5]trip_summary_region!J57</f>
        <v>2042/43</v>
      </c>
    </row>
    <row r="58" spans="1:10" x14ac:dyDescent="0.2">
      <c r="A58" t="str">
        <f>[5]trip_summary_region!A58</f>
        <v>01 NORTHLAND</v>
      </c>
      <c r="B58">
        <f>[5]trip_summary_region!B58</f>
        <v>9</v>
      </c>
      <c r="C58">
        <f>[5]trip_summary_region!C58</f>
        <v>2013</v>
      </c>
      <c r="D58">
        <f>[5]trip_summary_region!D58</f>
        <v>2</v>
      </c>
      <c r="E58">
        <f>[5]trip_summary_region!E58</f>
        <v>3</v>
      </c>
      <c r="F58">
        <f>[5]trip_summary_region!F58</f>
        <v>0.1184310407</v>
      </c>
      <c r="G58">
        <f>[5]trip_summary_region!G58</f>
        <v>0</v>
      </c>
      <c r="H58">
        <f>[5]trip_summary_region!H58</f>
        <v>0</v>
      </c>
      <c r="I58" t="str">
        <f>[5]trip_summary_region!I58</f>
        <v>Other Household Travel</v>
      </c>
      <c r="J58" t="str">
        <f>[5]trip_summary_region!J58</f>
        <v>2012/13</v>
      </c>
    </row>
    <row r="59" spans="1:10" x14ac:dyDescent="0.2">
      <c r="A59" t="str">
        <f>[5]trip_summary_region!A59</f>
        <v>01 NORTHLAND</v>
      </c>
      <c r="B59">
        <f>[5]trip_summary_region!B59</f>
        <v>9</v>
      </c>
      <c r="C59">
        <f>[5]trip_summary_region!C59</f>
        <v>2018</v>
      </c>
      <c r="D59">
        <f>[5]trip_summary_region!D59</f>
        <v>2</v>
      </c>
      <c r="E59">
        <f>[5]trip_summary_region!E59</f>
        <v>3</v>
      </c>
      <c r="F59">
        <f>[5]trip_summary_region!F59</f>
        <v>0.1202875133</v>
      </c>
      <c r="G59">
        <f>[5]trip_summary_region!G59</f>
        <v>0</v>
      </c>
      <c r="H59">
        <f>[5]trip_summary_region!H59</f>
        <v>0</v>
      </c>
      <c r="I59" t="str">
        <f>[5]trip_summary_region!I59</f>
        <v>Other Household Travel</v>
      </c>
      <c r="J59" t="str">
        <f>[5]trip_summary_region!J59</f>
        <v>2017/18</v>
      </c>
    </row>
    <row r="60" spans="1:10" x14ac:dyDescent="0.2">
      <c r="A60" t="str">
        <f>[5]trip_summary_region!A60</f>
        <v>01 NORTHLAND</v>
      </c>
      <c r="B60">
        <f>[5]trip_summary_region!B60</f>
        <v>9</v>
      </c>
      <c r="C60">
        <f>[5]trip_summary_region!C60</f>
        <v>2023</v>
      </c>
      <c r="D60">
        <f>[5]trip_summary_region!D60</f>
        <v>2</v>
      </c>
      <c r="E60">
        <f>[5]trip_summary_region!E60</f>
        <v>3</v>
      </c>
      <c r="F60">
        <f>[5]trip_summary_region!F60</f>
        <v>0.1156731498</v>
      </c>
      <c r="G60">
        <f>[5]trip_summary_region!G60</f>
        <v>0</v>
      </c>
      <c r="H60">
        <f>[5]trip_summary_region!H60</f>
        <v>0</v>
      </c>
      <c r="I60" t="str">
        <f>[5]trip_summary_region!I60</f>
        <v>Other Household Travel</v>
      </c>
      <c r="J60" t="str">
        <f>[5]trip_summary_region!J60</f>
        <v>2022/23</v>
      </c>
    </row>
    <row r="61" spans="1:10" x14ac:dyDescent="0.2">
      <c r="A61" t="str">
        <f>[5]trip_summary_region!A61</f>
        <v>01 NORTHLAND</v>
      </c>
      <c r="B61">
        <f>[5]trip_summary_region!B61</f>
        <v>9</v>
      </c>
      <c r="C61">
        <f>[5]trip_summary_region!C61</f>
        <v>2028</v>
      </c>
      <c r="D61">
        <f>[5]trip_summary_region!D61</f>
        <v>2</v>
      </c>
      <c r="E61">
        <f>[5]trip_summary_region!E61</f>
        <v>3</v>
      </c>
      <c r="F61">
        <f>[5]trip_summary_region!F61</f>
        <v>0.1118567536</v>
      </c>
      <c r="G61">
        <f>[5]trip_summary_region!G61</f>
        <v>0</v>
      </c>
      <c r="H61">
        <f>[5]trip_summary_region!H61</f>
        <v>0</v>
      </c>
      <c r="I61" t="str">
        <f>[5]trip_summary_region!I61</f>
        <v>Other Household Travel</v>
      </c>
      <c r="J61" t="str">
        <f>[5]trip_summary_region!J61</f>
        <v>2027/28</v>
      </c>
    </row>
    <row r="62" spans="1:10" x14ac:dyDescent="0.2">
      <c r="A62" t="str">
        <f>[5]trip_summary_region!A62</f>
        <v>01 NORTHLAND</v>
      </c>
      <c r="B62">
        <f>[5]trip_summary_region!B62</f>
        <v>9</v>
      </c>
      <c r="C62">
        <f>[5]trip_summary_region!C62</f>
        <v>2033</v>
      </c>
      <c r="D62">
        <f>[5]trip_summary_region!D62</f>
        <v>2</v>
      </c>
      <c r="E62">
        <f>[5]trip_summary_region!E62</f>
        <v>3</v>
      </c>
      <c r="F62">
        <f>[5]trip_summary_region!F62</f>
        <v>0.10673383810000001</v>
      </c>
      <c r="G62">
        <f>[5]trip_summary_region!G62</f>
        <v>0</v>
      </c>
      <c r="H62">
        <f>[5]trip_summary_region!H62</f>
        <v>0</v>
      </c>
      <c r="I62" t="str">
        <f>[5]trip_summary_region!I62</f>
        <v>Other Household Travel</v>
      </c>
      <c r="J62" t="str">
        <f>[5]trip_summary_region!J62</f>
        <v>2032/33</v>
      </c>
    </row>
    <row r="63" spans="1:10" x14ac:dyDescent="0.2">
      <c r="A63" t="str">
        <f>[5]trip_summary_region!A63</f>
        <v>01 NORTHLAND</v>
      </c>
      <c r="B63">
        <f>[5]trip_summary_region!B63</f>
        <v>9</v>
      </c>
      <c r="C63">
        <f>[5]trip_summary_region!C63</f>
        <v>2038</v>
      </c>
      <c r="D63">
        <f>[5]trip_summary_region!D63</f>
        <v>2</v>
      </c>
      <c r="E63">
        <f>[5]trip_summary_region!E63</f>
        <v>3</v>
      </c>
      <c r="F63">
        <f>[5]trip_summary_region!F63</f>
        <v>0.1004058888</v>
      </c>
      <c r="G63">
        <f>[5]trip_summary_region!G63</f>
        <v>0</v>
      </c>
      <c r="H63">
        <f>[5]trip_summary_region!H63</f>
        <v>0</v>
      </c>
      <c r="I63" t="str">
        <f>[5]trip_summary_region!I63</f>
        <v>Other Household Travel</v>
      </c>
      <c r="J63" t="str">
        <f>[5]trip_summary_region!J63</f>
        <v>2037/38</v>
      </c>
    </row>
    <row r="64" spans="1:10" x14ac:dyDescent="0.2">
      <c r="A64" t="str">
        <f>[5]trip_summary_region!A64</f>
        <v>01 NORTHLAND</v>
      </c>
      <c r="B64">
        <f>[5]trip_summary_region!B64</f>
        <v>9</v>
      </c>
      <c r="C64">
        <f>[5]trip_summary_region!C64</f>
        <v>2043</v>
      </c>
      <c r="D64">
        <f>[5]trip_summary_region!D64</f>
        <v>2</v>
      </c>
      <c r="E64">
        <f>[5]trip_summary_region!E64</f>
        <v>3</v>
      </c>
      <c r="F64">
        <f>[5]trip_summary_region!F64</f>
        <v>9.3674162599999999E-2</v>
      </c>
      <c r="G64">
        <f>[5]trip_summary_region!G64</f>
        <v>0</v>
      </c>
      <c r="H64">
        <f>[5]trip_summary_region!H64</f>
        <v>0</v>
      </c>
      <c r="I64" t="str">
        <f>[5]trip_summary_region!I64</f>
        <v>Other Household Travel</v>
      </c>
      <c r="J64" t="str">
        <f>[5]trip_summary_region!J64</f>
        <v>2042/43</v>
      </c>
    </row>
    <row r="65" spans="1:10" x14ac:dyDescent="0.2">
      <c r="A65" t="str">
        <f>[5]trip_summary_region!A65</f>
        <v>01 NORTHLAND</v>
      </c>
      <c r="B65">
        <f>[5]trip_summary_region!B65</f>
        <v>10</v>
      </c>
      <c r="C65">
        <f>[5]trip_summary_region!C65</f>
        <v>2013</v>
      </c>
      <c r="D65">
        <f>[5]trip_summary_region!D65</f>
        <v>5</v>
      </c>
      <c r="E65">
        <f>[5]trip_summary_region!E65</f>
        <v>8</v>
      </c>
      <c r="F65">
        <f>[5]trip_summary_region!F65</f>
        <v>0.226285661</v>
      </c>
      <c r="G65">
        <f>[5]trip_summary_region!G65</f>
        <v>0</v>
      </c>
      <c r="H65">
        <f>[5]trip_summary_region!H65</f>
        <v>0.25491621720000002</v>
      </c>
      <c r="I65" t="str">
        <f>[5]trip_summary_region!I65</f>
        <v>Air/Non-Local PT</v>
      </c>
      <c r="J65" t="str">
        <f>[5]trip_summary_region!J65</f>
        <v>2012/13</v>
      </c>
    </row>
    <row r="66" spans="1:10" x14ac:dyDescent="0.2">
      <c r="A66" t="str">
        <f>[5]trip_summary_region!A66</f>
        <v>01 NORTHLAND</v>
      </c>
      <c r="B66">
        <f>[5]trip_summary_region!B66</f>
        <v>10</v>
      </c>
      <c r="C66">
        <f>[5]trip_summary_region!C66</f>
        <v>2018</v>
      </c>
      <c r="D66">
        <f>[5]trip_summary_region!D66</f>
        <v>5</v>
      </c>
      <c r="E66">
        <f>[5]trip_summary_region!E66</f>
        <v>8</v>
      </c>
      <c r="F66">
        <f>[5]trip_summary_region!F66</f>
        <v>0.22746041880000001</v>
      </c>
      <c r="G66">
        <f>[5]trip_summary_region!G66</f>
        <v>0</v>
      </c>
      <c r="H66">
        <f>[5]trip_summary_region!H66</f>
        <v>0.26841467499999999</v>
      </c>
      <c r="I66" t="str">
        <f>[5]trip_summary_region!I66</f>
        <v>Air/Non-Local PT</v>
      </c>
      <c r="J66" t="str">
        <f>[5]trip_summary_region!J66</f>
        <v>2017/18</v>
      </c>
    </row>
    <row r="67" spans="1:10" x14ac:dyDescent="0.2">
      <c r="A67" t="str">
        <f>[5]trip_summary_region!A67</f>
        <v>01 NORTHLAND</v>
      </c>
      <c r="B67">
        <f>[5]trip_summary_region!B67</f>
        <v>10</v>
      </c>
      <c r="C67">
        <f>[5]trip_summary_region!C67</f>
        <v>2023</v>
      </c>
      <c r="D67">
        <f>[5]trip_summary_region!D67</f>
        <v>5</v>
      </c>
      <c r="E67">
        <f>[5]trip_summary_region!E67</f>
        <v>8</v>
      </c>
      <c r="F67">
        <f>[5]trip_summary_region!F67</f>
        <v>0.25390046509999997</v>
      </c>
      <c r="G67">
        <f>[5]trip_summary_region!G67</f>
        <v>0</v>
      </c>
      <c r="H67">
        <f>[5]trip_summary_region!H67</f>
        <v>0.30396755050000002</v>
      </c>
      <c r="I67" t="str">
        <f>[5]trip_summary_region!I67</f>
        <v>Air/Non-Local PT</v>
      </c>
      <c r="J67" t="str">
        <f>[5]trip_summary_region!J67</f>
        <v>2022/23</v>
      </c>
    </row>
    <row r="68" spans="1:10" x14ac:dyDescent="0.2">
      <c r="A68" t="str">
        <f>[5]trip_summary_region!A68</f>
        <v>01 NORTHLAND</v>
      </c>
      <c r="B68">
        <f>[5]trip_summary_region!B68</f>
        <v>10</v>
      </c>
      <c r="C68">
        <f>[5]trip_summary_region!C68</f>
        <v>2028</v>
      </c>
      <c r="D68">
        <f>[5]trip_summary_region!D68</f>
        <v>5</v>
      </c>
      <c r="E68">
        <f>[5]trip_summary_region!E68</f>
        <v>8</v>
      </c>
      <c r="F68">
        <f>[5]trip_summary_region!F68</f>
        <v>0.28283219180000002</v>
      </c>
      <c r="G68">
        <f>[5]trip_summary_region!G68</f>
        <v>0</v>
      </c>
      <c r="H68">
        <f>[5]trip_summary_region!H68</f>
        <v>0.3380793265</v>
      </c>
      <c r="I68" t="str">
        <f>[5]trip_summary_region!I68</f>
        <v>Air/Non-Local PT</v>
      </c>
      <c r="J68" t="str">
        <f>[5]trip_summary_region!J68</f>
        <v>2027/28</v>
      </c>
    </row>
    <row r="69" spans="1:10" x14ac:dyDescent="0.2">
      <c r="A69" t="str">
        <f>[5]trip_summary_region!A69</f>
        <v>01 NORTHLAND</v>
      </c>
      <c r="B69">
        <f>[5]trip_summary_region!B69</f>
        <v>10</v>
      </c>
      <c r="C69">
        <f>[5]trip_summary_region!C69</f>
        <v>2033</v>
      </c>
      <c r="D69">
        <f>[5]trip_summary_region!D69</f>
        <v>5</v>
      </c>
      <c r="E69">
        <f>[5]trip_summary_region!E69</f>
        <v>8</v>
      </c>
      <c r="F69">
        <f>[5]trip_summary_region!F69</f>
        <v>0.29143216840000002</v>
      </c>
      <c r="G69">
        <f>[5]trip_summary_region!G69</f>
        <v>0</v>
      </c>
      <c r="H69">
        <f>[5]trip_summary_region!H69</f>
        <v>0.34594059719999998</v>
      </c>
      <c r="I69" t="str">
        <f>[5]trip_summary_region!I69</f>
        <v>Air/Non-Local PT</v>
      </c>
      <c r="J69" t="str">
        <f>[5]trip_summary_region!J69</f>
        <v>2032/33</v>
      </c>
    </row>
    <row r="70" spans="1:10" x14ac:dyDescent="0.2">
      <c r="A70" t="str">
        <f>[5]trip_summary_region!A70</f>
        <v>01 NORTHLAND</v>
      </c>
      <c r="B70">
        <f>[5]trip_summary_region!B70</f>
        <v>10</v>
      </c>
      <c r="C70">
        <f>[5]trip_summary_region!C70</f>
        <v>2038</v>
      </c>
      <c r="D70">
        <f>[5]trip_summary_region!D70</f>
        <v>5</v>
      </c>
      <c r="E70">
        <f>[5]trip_summary_region!E70</f>
        <v>8</v>
      </c>
      <c r="F70">
        <f>[5]trip_summary_region!F70</f>
        <v>0.27332971820000002</v>
      </c>
      <c r="G70">
        <f>[5]trip_summary_region!G70</f>
        <v>0</v>
      </c>
      <c r="H70">
        <f>[5]trip_summary_region!H70</f>
        <v>0.32345904889999999</v>
      </c>
      <c r="I70" t="str">
        <f>[5]trip_summary_region!I70</f>
        <v>Air/Non-Local PT</v>
      </c>
      <c r="J70" t="str">
        <f>[5]trip_summary_region!J70</f>
        <v>2037/38</v>
      </c>
    </row>
    <row r="71" spans="1:10" x14ac:dyDescent="0.2">
      <c r="A71" t="str">
        <f>[5]trip_summary_region!A71</f>
        <v>01 NORTHLAND</v>
      </c>
      <c r="B71">
        <f>[5]trip_summary_region!B71</f>
        <v>10</v>
      </c>
      <c r="C71">
        <f>[5]trip_summary_region!C71</f>
        <v>2043</v>
      </c>
      <c r="D71">
        <f>[5]trip_summary_region!D71</f>
        <v>5</v>
      </c>
      <c r="E71">
        <f>[5]trip_summary_region!E71</f>
        <v>8</v>
      </c>
      <c r="F71">
        <f>[5]trip_summary_region!F71</f>
        <v>0.25328874019999997</v>
      </c>
      <c r="G71">
        <f>[5]trip_summary_region!G71</f>
        <v>0</v>
      </c>
      <c r="H71">
        <f>[5]trip_summary_region!H71</f>
        <v>0.2977514678</v>
      </c>
      <c r="I71" t="str">
        <f>[5]trip_summary_region!I71</f>
        <v>Air/Non-Local PT</v>
      </c>
      <c r="J71" t="str">
        <f>[5]trip_summary_region!J71</f>
        <v>2042/43</v>
      </c>
    </row>
    <row r="72" spans="1:10" x14ac:dyDescent="0.2">
      <c r="A72" t="str">
        <f>[5]trip_summary_region!A72</f>
        <v>01 NORTHLAND</v>
      </c>
      <c r="B72">
        <f>[5]trip_summary_region!B72</f>
        <v>11</v>
      </c>
      <c r="C72">
        <f>[5]trip_summary_region!C72</f>
        <v>2013</v>
      </c>
      <c r="D72">
        <f>[5]trip_summary_region!D72</f>
        <v>13</v>
      </c>
      <c r="E72">
        <f>[5]trip_summary_region!E72</f>
        <v>59</v>
      </c>
      <c r="F72">
        <f>[5]trip_summary_region!F72</f>
        <v>2.0613233212000002</v>
      </c>
      <c r="G72">
        <f>[5]trip_summary_region!G72</f>
        <v>34.810730239000002</v>
      </c>
      <c r="H72">
        <f>[5]trip_summary_region!H72</f>
        <v>0.70164482120000005</v>
      </c>
      <c r="I72" t="str">
        <f>[5]trip_summary_region!I72</f>
        <v>Non-Household Travel</v>
      </c>
      <c r="J72" t="str">
        <f>[5]trip_summary_region!J72</f>
        <v>2012/13</v>
      </c>
    </row>
    <row r="73" spans="1:10" x14ac:dyDescent="0.2">
      <c r="A73" t="str">
        <f>[5]trip_summary_region!A73</f>
        <v>01 NORTHLAND</v>
      </c>
      <c r="B73">
        <f>[5]trip_summary_region!B73</f>
        <v>11</v>
      </c>
      <c r="C73">
        <f>[5]trip_summary_region!C73</f>
        <v>2018</v>
      </c>
      <c r="D73">
        <f>[5]trip_summary_region!D73</f>
        <v>13</v>
      </c>
      <c r="E73">
        <f>[5]trip_summary_region!E73</f>
        <v>59</v>
      </c>
      <c r="F73">
        <f>[5]trip_summary_region!F73</f>
        <v>1.9771562667</v>
      </c>
      <c r="G73">
        <f>[5]trip_summary_region!G73</f>
        <v>30.694657217</v>
      </c>
      <c r="H73">
        <f>[5]trip_summary_region!H73</f>
        <v>0.64581224159999995</v>
      </c>
      <c r="I73" t="str">
        <f>[5]trip_summary_region!I73</f>
        <v>Non-Household Travel</v>
      </c>
      <c r="J73" t="str">
        <f>[5]trip_summary_region!J73</f>
        <v>2017/18</v>
      </c>
    </row>
    <row r="74" spans="1:10" x14ac:dyDescent="0.2">
      <c r="A74" t="str">
        <f>[5]trip_summary_region!A74</f>
        <v>01 NORTHLAND</v>
      </c>
      <c r="B74">
        <f>[5]trip_summary_region!B74</f>
        <v>11</v>
      </c>
      <c r="C74">
        <f>[5]trip_summary_region!C74</f>
        <v>2023</v>
      </c>
      <c r="D74">
        <f>[5]trip_summary_region!D74</f>
        <v>13</v>
      </c>
      <c r="E74">
        <f>[5]trip_summary_region!E74</f>
        <v>59</v>
      </c>
      <c r="F74">
        <f>[5]trip_summary_region!F74</f>
        <v>2.1717087018000001</v>
      </c>
      <c r="G74">
        <f>[5]trip_summary_region!G74</f>
        <v>31.937431672999999</v>
      </c>
      <c r="H74">
        <f>[5]trip_summary_region!H74</f>
        <v>0.69419684790000002</v>
      </c>
      <c r="I74" t="str">
        <f>[5]trip_summary_region!I74</f>
        <v>Non-Household Travel</v>
      </c>
      <c r="J74" t="str">
        <f>[5]trip_summary_region!J74</f>
        <v>2022/23</v>
      </c>
    </row>
    <row r="75" spans="1:10" x14ac:dyDescent="0.2">
      <c r="A75" t="str">
        <f>[5]trip_summary_region!A75</f>
        <v>01 NORTHLAND</v>
      </c>
      <c r="B75">
        <f>[5]trip_summary_region!B75</f>
        <v>11</v>
      </c>
      <c r="C75">
        <f>[5]trip_summary_region!C75</f>
        <v>2028</v>
      </c>
      <c r="D75">
        <f>[5]trip_summary_region!D75</f>
        <v>13</v>
      </c>
      <c r="E75">
        <f>[5]trip_summary_region!E75</f>
        <v>59</v>
      </c>
      <c r="F75">
        <f>[5]trip_summary_region!F75</f>
        <v>2.4171894323999998</v>
      </c>
      <c r="G75">
        <f>[5]trip_summary_region!G75</f>
        <v>34.862234856000001</v>
      </c>
      <c r="H75">
        <f>[5]trip_summary_region!H75</f>
        <v>0.77311352450000004</v>
      </c>
      <c r="I75" t="str">
        <f>[5]trip_summary_region!I75</f>
        <v>Non-Household Travel</v>
      </c>
      <c r="J75" t="str">
        <f>[5]trip_summary_region!J75</f>
        <v>2027/28</v>
      </c>
    </row>
    <row r="76" spans="1:10" x14ac:dyDescent="0.2">
      <c r="A76" t="str">
        <f>[5]trip_summary_region!A76</f>
        <v>01 NORTHLAND</v>
      </c>
      <c r="B76">
        <f>[5]trip_summary_region!B76</f>
        <v>11</v>
      </c>
      <c r="C76">
        <f>[5]trip_summary_region!C76</f>
        <v>2033</v>
      </c>
      <c r="D76">
        <f>[5]trip_summary_region!D76</f>
        <v>13</v>
      </c>
      <c r="E76">
        <f>[5]trip_summary_region!E76</f>
        <v>59</v>
      </c>
      <c r="F76">
        <f>[5]trip_summary_region!F76</f>
        <v>2.5691577934000001</v>
      </c>
      <c r="G76">
        <f>[5]trip_summary_region!G76</f>
        <v>36.880153968999998</v>
      </c>
      <c r="H76">
        <f>[5]trip_summary_region!H76</f>
        <v>0.82461171060000005</v>
      </c>
      <c r="I76" t="str">
        <f>[5]trip_summary_region!I76</f>
        <v>Non-Household Travel</v>
      </c>
      <c r="J76" t="str">
        <f>[5]trip_summary_region!J76</f>
        <v>2032/33</v>
      </c>
    </row>
    <row r="77" spans="1:10" x14ac:dyDescent="0.2">
      <c r="A77" t="str">
        <f>[5]trip_summary_region!A77</f>
        <v>01 NORTHLAND</v>
      </c>
      <c r="B77">
        <f>[5]trip_summary_region!B77</f>
        <v>11</v>
      </c>
      <c r="C77">
        <f>[5]trip_summary_region!C77</f>
        <v>2038</v>
      </c>
      <c r="D77">
        <f>[5]trip_summary_region!D77</f>
        <v>13</v>
      </c>
      <c r="E77">
        <f>[5]trip_summary_region!E77</f>
        <v>59</v>
      </c>
      <c r="F77">
        <f>[5]trip_summary_region!F77</f>
        <v>2.4771679297000002</v>
      </c>
      <c r="G77">
        <f>[5]trip_summary_region!G77</f>
        <v>36.017185161</v>
      </c>
      <c r="H77">
        <f>[5]trip_summary_region!H77</f>
        <v>0.80043873160000001</v>
      </c>
      <c r="I77" t="str">
        <f>[5]trip_summary_region!I77</f>
        <v>Non-Household Travel</v>
      </c>
      <c r="J77" t="str">
        <f>[5]trip_summary_region!J77</f>
        <v>2037/38</v>
      </c>
    </row>
    <row r="78" spans="1:10" x14ac:dyDescent="0.2">
      <c r="A78" t="str">
        <f>[5]trip_summary_region!A78</f>
        <v>01 NORTHLAND</v>
      </c>
      <c r="B78">
        <f>[5]trip_summary_region!B78</f>
        <v>11</v>
      </c>
      <c r="C78">
        <f>[5]trip_summary_region!C78</f>
        <v>2043</v>
      </c>
      <c r="D78">
        <f>[5]trip_summary_region!D78</f>
        <v>13</v>
      </c>
      <c r="E78">
        <f>[5]trip_summary_region!E78</f>
        <v>59</v>
      </c>
      <c r="F78">
        <f>[5]trip_summary_region!F78</f>
        <v>2.3643960980999998</v>
      </c>
      <c r="G78">
        <f>[5]trip_summary_region!G78</f>
        <v>35.148747821000001</v>
      </c>
      <c r="H78">
        <f>[5]trip_summary_region!H78</f>
        <v>0.77206449850000003</v>
      </c>
      <c r="I78" t="str">
        <f>[5]trip_summary_region!I78</f>
        <v>Non-Household Travel</v>
      </c>
      <c r="J78" t="str">
        <f>[5]trip_summary_region!J78</f>
        <v>2042/43</v>
      </c>
    </row>
    <row r="79" spans="1:10" x14ac:dyDescent="0.2">
      <c r="A79" t="str">
        <f>[5]trip_summary_region!A79</f>
        <v>02 AUCKLAND</v>
      </c>
      <c r="B79">
        <f>[5]trip_summary_region!B79</f>
        <v>0</v>
      </c>
      <c r="C79">
        <f>[5]trip_summary_region!C79</f>
        <v>2013</v>
      </c>
      <c r="D79">
        <f>[5]trip_summary_region!D79</f>
        <v>1541</v>
      </c>
      <c r="E79">
        <f>[5]trip_summary_region!E79</f>
        <v>5702</v>
      </c>
      <c r="F79">
        <f>[5]trip_summary_region!F79</f>
        <v>324.81096006000001</v>
      </c>
      <c r="G79">
        <f>[5]trip_summary_region!G79</f>
        <v>294.55939388000002</v>
      </c>
      <c r="H79">
        <f>[5]trip_summary_region!H79</f>
        <v>73.381071999</v>
      </c>
      <c r="I79" t="str">
        <f>[5]trip_summary_region!I79</f>
        <v>Pedestrian</v>
      </c>
      <c r="J79" t="str">
        <f>[5]trip_summary_region!J79</f>
        <v>2012/13</v>
      </c>
    </row>
    <row r="80" spans="1:10" x14ac:dyDescent="0.2">
      <c r="A80" t="str">
        <f>[5]trip_summary_region!A80</f>
        <v>02 AUCKLAND</v>
      </c>
      <c r="B80">
        <f>[5]trip_summary_region!B80</f>
        <v>0</v>
      </c>
      <c r="C80">
        <f>[5]trip_summary_region!C80</f>
        <v>2018</v>
      </c>
      <c r="D80">
        <f>[5]trip_summary_region!D80</f>
        <v>1541</v>
      </c>
      <c r="E80">
        <f>[5]trip_summary_region!E80</f>
        <v>5702</v>
      </c>
      <c r="F80">
        <f>[5]trip_summary_region!F80</f>
        <v>378.35663090999998</v>
      </c>
      <c r="G80">
        <f>[5]trip_summary_region!G80</f>
        <v>342.14627918999997</v>
      </c>
      <c r="H80">
        <f>[5]trip_summary_region!H80</f>
        <v>85.066334768000004</v>
      </c>
      <c r="I80" t="str">
        <f>[5]trip_summary_region!I80</f>
        <v>Pedestrian</v>
      </c>
      <c r="J80" t="str">
        <f>[5]trip_summary_region!J80</f>
        <v>2017/18</v>
      </c>
    </row>
    <row r="81" spans="1:10" x14ac:dyDescent="0.2">
      <c r="A81" t="str">
        <f>[5]trip_summary_region!A81</f>
        <v>02 AUCKLAND</v>
      </c>
      <c r="B81">
        <f>[5]trip_summary_region!B81</f>
        <v>0</v>
      </c>
      <c r="C81">
        <f>[5]trip_summary_region!C81</f>
        <v>2023</v>
      </c>
      <c r="D81">
        <f>[5]trip_summary_region!D81</f>
        <v>1541</v>
      </c>
      <c r="E81">
        <f>[5]trip_summary_region!E81</f>
        <v>5702</v>
      </c>
      <c r="F81">
        <f>[5]trip_summary_region!F81</f>
        <v>377.54142388000002</v>
      </c>
      <c r="G81">
        <f>[5]trip_summary_region!G81</f>
        <v>339.64112280000001</v>
      </c>
      <c r="H81">
        <f>[5]trip_summary_region!H81</f>
        <v>84.651509806000007</v>
      </c>
      <c r="I81" t="str">
        <f>[5]trip_summary_region!I81</f>
        <v>Pedestrian</v>
      </c>
      <c r="J81" t="str">
        <f>[5]trip_summary_region!J81</f>
        <v>2022/23</v>
      </c>
    </row>
    <row r="82" spans="1:10" x14ac:dyDescent="0.2">
      <c r="A82" t="str">
        <f>[5]trip_summary_region!A82</f>
        <v>02 AUCKLAND</v>
      </c>
      <c r="B82">
        <f>[5]trip_summary_region!B82</f>
        <v>0</v>
      </c>
      <c r="C82">
        <f>[5]trip_summary_region!C82</f>
        <v>2028</v>
      </c>
      <c r="D82">
        <f>[5]trip_summary_region!D82</f>
        <v>1541</v>
      </c>
      <c r="E82">
        <f>[5]trip_summary_region!E82</f>
        <v>5702</v>
      </c>
      <c r="F82">
        <f>[5]trip_summary_region!F82</f>
        <v>392.27071245000002</v>
      </c>
      <c r="G82">
        <f>[5]trip_summary_region!G82</f>
        <v>350.86382373999999</v>
      </c>
      <c r="H82">
        <f>[5]trip_summary_region!H82</f>
        <v>87.950722189000004</v>
      </c>
      <c r="I82" t="str">
        <f>[5]trip_summary_region!I82</f>
        <v>Pedestrian</v>
      </c>
      <c r="J82" t="str">
        <f>[5]trip_summary_region!J82</f>
        <v>2027/28</v>
      </c>
    </row>
    <row r="83" spans="1:10" x14ac:dyDescent="0.2">
      <c r="A83" t="str">
        <f>[5]trip_summary_region!A83</f>
        <v>02 AUCKLAND</v>
      </c>
      <c r="B83">
        <f>[5]trip_summary_region!B83</f>
        <v>0</v>
      </c>
      <c r="C83">
        <f>[5]trip_summary_region!C83</f>
        <v>2033</v>
      </c>
      <c r="D83">
        <f>[5]trip_summary_region!D83</f>
        <v>1541</v>
      </c>
      <c r="E83">
        <f>[5]trip_summary_region!E83</f>
        <v>5702</v>
      </c>
      <c r="F83">
        <f>[5]trip_summary_region!F83</f>
        <v>402.95570027000002</v>
      </c>
      <c r="G83">
        <f>[5]trip_summary_region!G83</f>
        <v>358.90277834</v>
      </c>
      <c r="H83">
        <f>[5]trip_summary_region!H83</f>
        <v>90.451915920000005</v>
      </c>
      <c r="I83" t="str">
        <f>[5]trip_summary_region!I83</f>
        <v>Pedestrian</v>
      </c>
      <c r="J83" t="str">
        <f>[5]trip_summary_region!J83</f>
        <v>2032/33</v>
      </c>
    </row>
    <row r="84" spans="1:10" x14ac:dyDescent="0.2">
      <c r="A84" t="str">
        <f>[5]trip_summary_region!A84</f>
        <v>02 AUCKLAND</v>
      </c>
      <c r="B84">
        <f>[5]trip_summary_region!B84</f>
        <v>0</v>
      </c>
      <c r="C84">
        <f>[5]trip_summary_region!C84</f>
        <v>2038</v>
      </c>
      <c r="D84">
        <f>[5]trip_summary_region!D84</f>
        <v>1541</v>
      </c>
      <c r="E84">
        <f>[5]trip_summary_region!E84</f>
        <v>5702</v>
      </c>
      <c r="F84">
        <f>[5]trip_summary_region!F84</f>
        <v>412.53105502</v>
      </c>
      <c r="G84">
        <f>[5]trip_summary_region!G84</f>
        <v>367.55161035999998</v>
      </c>
      <c r="H84">
        <f>[5]trip_summary_region!H84</f>
        <v>92.994817022000007</v>
      </c>
      <c r="I84" t="str">
        <f>[5]trip_summary_region!I84</f>
        <v>Pedestrian</v>
      </c>
      <c r="J84" t="str">
        <f>[5]trip_summary_region!J84</f>
        <v>2037/38</v>
      </c>
    </row>
    <row r="85" spans="1:10" x14ac:dyDescent="0.2">
      <c r="A85" t="str">
        <f>[5]trip_summary_region!A85</f>
        <v>02 AUCKLAND</v>
      </c>
      <c r="B85">
        <f>[5]trip_summary_region!B85</f>
        <v>0</v>
      </c>
      <c r="C85">
        <f>[5]trip_summary_region!C85</f>
        <v>2043</v>
      </c>
      <c r="D85">
        <f>[5]trip_summary_region!D85</f>
        <v>1541</v>
      </c>
      <c r="E85">
        <f>[5]trip_summary_region!E85</f>
        <v>5702</v>
      </c>
      <c r="F85">
        <f>[5]trip_summary_region!F85</f>
        <v>418.58699025999999</v>
      </c>
      <c r="G85">
        <f>[5]trip_summary_region!G85</f>
        <v>373.36967542999997</v>
      </c>
      <c r="H85">
        <f>[5]trip_summary_region!H85</f>
        <v>94.762005275999996</v>
      </c>
      <c r="I85" t="str">
        <f>[5]trip_summary_region!I85</f>
        <v>Pedestrian</v>
      </c>
      <c r="J85" t="str">
        <f>[5]trip_summary_region!J85</f>
        <v>2042/43</v>
      </c>
    </row>
    <row r="86" spans="1:10" x14ac:dyDescent="0.2">
      <c r="A86" t="str">
        <f>[5]trip_summary_region!A86</f>
        <v>02 AUCKLAND</v>
      </c>
      <c r="B86">
        <f>[5]trip_summary_region!B86</f>
        <v>1</v>
      </c>
      <c r="C86">
        <f>[5]trip_summary_region!C86</f>
        <v>2013</v>
      </c>
      <c r="D86">
        <f>[5]trip_summary_region!D86</f>
        <v>49</v>
      </c>
      <c r="E86">
        <f>[5]trip_summary_region!E86</f>
        <v>125</v>
      </c>
      <c r="F86">
        <f>[5]trip_summary_region!F86</f>
        <v>7.0506319707999996</v>
      </c>
      <c r="G86">
        <f>[5]trip_summary_region!G86</f>
        <v>55.843008154000003</v>
      </c>
      <c r="H86">
        <f>[5]trip_summary_region!H86</f>
        <v>4.3659429593999999</v>
      </c>
      <c r="I86" t="str">
        <f>[5]trip_summary_region!I86</f>
        <v>Cyclist</v>
      </c>
      <c r="J86" t="str">
        <f>[5]trip_summary_region!J86</f>
        <v>2012/13</v>
      </c>
    </row>
    <row r="87" spans="1:10" x14ac:dyDescent="0.2">
      <c r="A87" t="str">
        <f>[5]trip_summary_region!A87</f>
        <v>02 AUCKLAND</v>
      </c>
      <c r="B87">
        <f>[5]trip_summary_region!B87</f>
        <v>1</v>
      </c>
      <c r="C87">
        <f>[5]trip_summary_region!C87</f>
        <v>2018</v>
      </c>
      <c r="D87">
        <f>[5]trip_summary_region!D87</f>
        <v>49</v>
      </c>
      <c r="E87">
        <f>[5]trip_summary_region!E87</f>
        <v>125</v>
      </c>
      <c r="F87">
        <f>[5]trip_summary_region!F87</f>
        <v>8.4046914219000008</v>
      </c>
      <c r="G87">
        <f>[5]trip_summary_region!G87</f>
        <v>69.554132730999996</v>
      </c>
      <c r="H87">
        <f>[5]trip_summary_region!H87</f>
        <v>5.3852527687</v>
      </c>
      <c r="I87" t="str">
        <f>[5]trip_summary_region!I87</f>
        <v>Cyclist</v>
      </c>
      <c r="J87" t="str">
        <f>[5]trip_summary_region!J87</f>
        <v>2017/18</v>
      </c>
    </row>
    <row r="88" spans="1:10" x14ac:dyDescent="0.2">
      <c r="A88" t="str">
        <f>[5]trip_summary_region!A88</f>
        <v>02 AUCKLAND</v>
      </c>
      <c r="B88">
        <f>[5]trip_summary_region!B88</f>
        <v>1</v>
      </c>
      <c r="C88">
        <f>[5]trip_summary_region!C88</f>
        <v>2023</v>
      </c>
      <c r="D88">
        <f>[5]trip_summary_region!D88</f>
        <v>49</v>
      </c>
      <c r="E88">
        <f>[5]trip_summary_region!E88</f>
        <v>125</v>
      </c>
      <c r="F88">
        <f>[5]trip_summary_region!F88</f>
        <v>8.5384516923000007</v>
      </c>
      <c r="G88">
        <f>[5]trip_summary_region!G88</f>
        <v>72.501759723000006</v>
      </c>
      <c r="H88">
        <f>[5]trip_summary_region!H88</f>
        <v>5.5588972455999999</v>
      </c>
      <c r="I88" t="str">
        <f>[5]trip_summary_region!I88</f>
        <v>Cyclist</v>
      </c>
      <c r="J88" t="str">
        <f>[5]trip_summary_region!J88</f>
        <v>2022/23</v>
      </c>
    </row>
    <row r="89" spans="1:10" x14ac:dyDescent="0.2">
      <c r="A89" t="str">
        <f>[5]trip_summary_region!A89</f>
        <v>02 AUCKLAND</v>
      </c>
      <c r="B89">
        <f>[5]trip_summary_region!B89</f>
        <v>1</v>
      </c>
      <c r="C89">
        <f>[5]trip_summary_region!C89</f>
        <v>2028</v>
      </c>
      <c r="D89">
        <f>[5]trip_summary_region!D89</f>
        <v>49</v>
      </c>
      <c r="E89">
        <f>[5]trip_summary_region!E89</f>
        <v>125</v>
      </c>
      <c r="F89">
        <f>[5]trip_summary_region!F89</f>
        <v>9.0929885669000008</v>
      </c>
      <c r="G89">
        <f>[5]trip_summary_region!G89</f>
        <v>79.077059535999993</v>
      </c>
      <c r="H89">
        <f>[5]trip_summary_region!H89</f>
        <v>6.0601217518999997</v>
      </c>
      <c r="I89" t="str">
        <f>[5]trip_summary_region!I89</f>
        <v>Cyclist</v>
      </c>
      <c r="J89" t="str">
        <f>[5]trip_summary_region!J89</f>
        <v>2027/28</v>
      </c>
    </row>
    <row r="90" spans="1:10" x14ac:dyDescent="0.2">
      <c r="A90" t="str">
        <f>[5]trip_summary_region!A90</f>
        <v>02 AUCKLAND</v>
      </c>
      <c r="B90">
        <f>[5]trip_summary_region!B90</f>
        <v>1</v>
      </c>
      <c r="C90">
        <f>[5]trip_summary_region!C90</f>
        <v>2033</v>
      </c>
      <c r="D90">
        <f>[5]trip_summary_region!D90</f>
        <v>49</v>
      </c>
      <c r="E90">
        <f>[5]trip_summary_region!E90</f>
        <v>125</v>
      </c>
      <c r="F90">
        <f>[5]trip_summary_region!F90</f>
        <v>9.5751436711999993</v>
      </c>
      <c r="G90">
        <f>[5]trip_summary_region!G90</f>
        <v>86.793581868999993</v>
      </c>
      <c r="H90">
        <f>[5]trip_summary_region!H90</f>
        <v>6.6281924452999998</v>
      </c>
      <c r="I90" t="str">
        <f>[5]trip_summary_region!I90</f>
        <v>Cyclist</v>
      </c>
      <c r="J90" t="str">
        <f>[5]trip_summary_region!J90</f>
        <v>2032/33</v>
      </c>
    </row>
    <row r="91" spans="1:10" x14ac:dyDescent="0.2">
      <c r="A91" t="str">
        <f>[5]trip_summary_region!A91</f>
        <v>02 AUCKLAND</v>
      </c>
      <c r="B91">
        <f>[5]trip_summary_region!B91</f>
        <v>1</v>
      </c>
      <c r="C91">
        <f>[5]trip_summary_region!C91</f>
        <v>2038</v>
      </c>
      <c r="D91">
        <f>[5]trip_summary_region!D91</f>
        <v>49</v>
      </c>
      <c r="E91">
        <f>[5]trip_summary_region!E91</f>
        <v>125</v>
      </c>
      <c r="F91">
        <f>[5]trip_summary_region!F91</f>
        <v>10.318749950000001</v>
      </c>
      <c r="G91">
        <f>[5]trip_summary_region!G91</f>
        <v>97.377299633999996</v>
      </c>
      <c r="H91">
        <f>[5]trip_summary_region!H91</f>
        <v>7.3930133093999997</v>
      </c>
      <c r="I91" t="str">
        <f>[5]trip_summary_region!I91</f>
        <v>Cyclist</v>
      </c>
      <c r="J91" t="str">
        <f>[5]trip_summary_region!J91</f>
        <v>2037/38</v>
      </c>
    </row>
    <row r="92" spans="1:10" x14ac:dyDescent="0.2">
      <c r="A92" t="str">
        <f>[5]trip_summary_region!A92</f>
        <v>02 AUCKLAND</v>
      </c>
      <c r="B92">
        <f>[5]trip_summary_region!B92</f>
        <v>1</v>
      </c>
      <c r="C92">
        <f>[5]trip_summary_region!C92</f>
        <v>2043</v>
      </c>
      <c r="D92">
        <f>[5]trip_summary_region!D92</f>
        <v>49</v>
      </c>
      <c r="E92">
        <f>[5]trip_summary_region!E92</f>
        <v>125</v>
      </c>
      <c r="F92">
        <f>[5]trip_summary_region!F92</f>
        <v>11.047654407</v>
      </c>
      <c r="G92">
        <f>[5]trip_summary_region!G92</f>
        <v>107.99120861</v>
      </c>
      <c r="H92">
        <f>[5]trip_summary_region!H92</f>
        <v>8.1609261405000009</v>
      </c>
      <c r="I92" t="str">
        <f>[5]trip_summary_region!I92</f>
        <v>Cyclist</v>
      </c>
      <c r="J92" t="str">
        <f>[5]trip_summary_region!J92</f>
        <v>2042/43</v>
      </c>
    </row>
    <row r="93" spans="1:10" x14ac:dyDescent="0.2">
      <c r="A93" t="str">
        <f>[5]trip_summary_region!A93</f>
        <v>02 AUCKLAND</v>
      </c>
      <c r="B93">
        <f>[5]trip_summary_region!B93</f>
        <v>2</v>
      </c>
      <c r="C93">
        <f>[5]trip_summary_region!C93</f>
        <v>2013</v>
      </c>
      <c r="D93">
        <f>[5]trip_summary_region!D93</f>
        <v>2765</v>
      </c>
      <c r="E93">
        <f>[5]trip_summary_region!E93</f>
        <v>18286</v>
      </c>
      <c r="F93">
        <f>[5]trip_summary_region!F93</f>
        <v>981.24355252999999</v>
      </c>
      <c r="G93">
        <f>[5]trip_summary_region!G93</f>
        <v>9374.4733825999992</v>
      </c>
      <c r="H93">
        <f>[5]trip_summary_region!H93</f>
        <v>295.36669345000001</v>
      </c>
      <c r="I93" t="str">
        <f>[5]trip_summary_region!I93</f>
        <v>Light Vehicle Driver</v>
      </c>
      <c r="J93" t="str">
        <f>[5]trip_summary_region!J93</f>
        <v>2012/13</v>
      </c>
    </row>
    <row r="94" spans="1:10" x14ac:dyDescent="0.2">
      <c r="A94" t="str">
        <f>[5]trip_summary_region!A94</f>
        <v>02 AUCKLAND</v>
      </c>
      <c r="B94">
        <f>[5]trip_summary_region!B94</f>
        <v>2</v>
      </c>
      <c r="C94">
        <f>[5]trip_summary_region!C94</f>
        <v>2018</v>
      </c>
      <c r="D94">
        <f>[5]trip_summary_region!D94</f>
        <v>2765</v>
      </c>
      <c r="E94">
        <f>[5]trip_summary_region!E94</f>
        <v>18286</v>
      </c>
      <c r="F94">
        <f>[5]trip_summary_region!F94</f>
        <v>1178.5075670000001</v>
      </c>
      <c r="G94">
        <f>[5]trip_summary_region!G94</f>
        <v>11346.306594</v>
      </c>
      <c r="H94">
        <f>[5]trip_summary_region!H94</f>
        <v>356.64929530000001</v>
      </c>
      <c r="I94" t="str">
        <f>[5]trip_summary_region!I94</f>
        <v>Light Vehicle Driver</v>
      </c>
      <c r="J94" t="str">
        <f>[5]trip_summary_region!J94</f>
        <v>2017/18</v>
      </c>
    </row>
    <row r="95" spans="1:10" x14ac:dyDescent="0.2">
      <c r="A95" t="str">
        <f>[5]trip_summary_region!A95</f>
        <v>02 AUCKLAND</v>
      </c>
      <c r="B95">
        <f>[5]trip_summary_region!B95</f>
        <v>2</v>
      </c>
      <c r="C95">
        <f>[5]trip_summary_region!C95</f>
        <v>2023</v>
      </c>
      <c r="D95">
        <f>[5]trip_summary_region!D95</f>
        <v>2765</v>
      </c>
      <c r="E95">
        <f>[5]trip_summary_region!E95</f>
        <v>18286</v>
      </c>
      <c r="F95">
        <f>[5]trip_summary_region!F95</f>
        <v>1186.3189405999999</v>
      </c>
      <c r="G95">
        <f>[5]trip_summary_region!G95</f>
        <v>11427.259187</v>
      </c>
      <c r="H95">
        <f>[5]trip_summary_region!H95</f>
        <v>358.80491393</v>
      </c>
      <c r="I95" t="str">
        <f>[5]trip_summary_region!I95</f>
        <v>Light Vehicle Driver</v>
      </c>
      <c r="J95" t="str">
        <f>[5]trip_summary_region!J95</f>
        <v>2022/23</v>
      </c>
    </row>
    <row r="96" spans="1:10" x14ac:dyDescent="0.2">
      <c r="A96" t="str">
        <f>[5]trip_summary_region!A96</f>
        <v>02 AUCKLAND</v>
      </c>
      <c r="B96">
        <f>[5]trip_summary_region!B96</f>
        <v>2</v>
      </c>
      <c r="C96">
        <f>[5]trip_summary_region!C96</f>
        <v>2028</v>
      </c>
      <c r="D96">
        <f>[5]trip_summary_region!D96</f>
        <v>2765</v>
      </c>
      <c r="E96">
        <f>[5]trip_summary_region!E96</f>
        <v>18286</v>
      </c>
      <c r="F96">
        <f>[5]trip_summary_region!F96</f>
        <v>1269.2684030999999</v>
      </c>
      <c r="G96">
        <f>[5]trip_summary_region!G96</f>
        <v>12291.857877</v>
      </c>
      <c r="H96">
        <f>[5]trip_summary_region!H96</f>
        <v>384.02838402999998</v>
      </c>
      <c r="I96" t="str">
        <f>[5]trip_summary_region!I96</f>
        <v>Light Vehicle Driver</v>
      </c>
      <c r="J96" t="str">
        <f>[5]trip_summary_region!J96</f>
        <v>2027/28</v>
      </c>
    </row>
    <row r="97" spans="1:10" x14ac:dyDescent="0.2">
      <c r="A97" t="str">
        <f>[5]trip_summary_region!A97</f>
        <v>02 AUCKLAND</v>
      </c>
      <c r="B97">
        <f>[5]trip_summary_region!B97</f>
        <v>2</v>
      </c>
      <c r="C97">
        <f>[5]trip_summary_region!C97</f>
        <v>2033</v>
      </c>
      <c r="D97">
        <f>[5]trip_summary_region!D97</f>
        <v>2765</v>
      </c>
      <c r="E97">
        <f>[5]trip_summary_region!E97</f>
        <v>18286</v>
      </c>
      <c r="F97">
        <f>[5]trip_summary_region!F97</f>
        <v>1347.3383454</v>
      </c>
      <c r="G97">
        <f>[5]trip_summary_region!G97</f>
        <v>13107.91568</v>
      </c>
      <c r="H97">
        <f>[5]trip_summary_region!H97</f>
        <v>407.99497768999998</v>
      </c>
      <c r="I97" t="str">
        <f>[5]trip_summary_region!I97</f>
        <v>Light Vehicle Driver</v>
      </c>
      <c r="J97" t="str">
        <f>[5]trip_summary_region!J97</f>
        <v>2032/33</v>
      </c>
    </row>
    <row r="98" spans="1:10" x14ac:dyDescent="0.2">
      <c r="A98" t="str">
        <f>[5]trip_summary_region!A98</f>
        <v>02 AUCKLAND</v>
      </c>
      <c r="B98">
        <f>[5]trip_summary_region!B98</f>
        <v>2</v>
      </c>
      <c r="C98">
        <f>[5]trip_summary_region!C98</f>
        <v>2038</v>
      </c>
      <c r="D98">
        <f>[5]trip_summary_region!D98</f>
        <v>2765</v>
      </c>
      <c r="E98">
        <f>[5]trip_summary_region!E98</f>
        <v>18286</v>
      </c>
      <c r="F98">
        <f>[5]trip_summary_region!F98</f>
        <v>1422.0167128999999</v>
      </c>
      <c r="G98">
        <f>[5]trip_summary_region!G98</f>
        <v>13880.377645</v>
      </c>
      <c r="H98">
        <f>[5]trip_summary_region!H98</f>
        <v>431.21460239999999</v>
      </c>
      <c r="I98" t="str">
        <f>[5]trip_summary_region!I98</f>
        <v>Light Vehicle Driver</v>
      </c>
      <c r="J98" t="str">
        <f>[5]trip_summary_region!J98</f>
        <v>2037/38</v>
      </c>
    </row>
    <row r="99" spans="1:10" x14ac:dyDescent="0.2">
      <c r="A99" t="str">
        <f>[5]trip_summary_region!A99</f>
        <v>02 AUCKLAND</v>
      </c>
      <c r="B99">
        <f>[5]trip_summary_region!B99</f>
        <v>2</v>
      </c>
      <c r="C99">
        <f>[5]trip_summary_region!C99</f>
        <v>2043</v>
      </c>
      <c r="D99">
        <f>[5]trip_summary_region!D99</f>
        <v>2765</v>
      </c>
      <c r="E99">
        <f>[5]trip_summary_region!E99</f>
        <v>18286</v>
      </c>
      <c r="F99">
        <f>[5]trip_summary_region!F99</f>
        <v>1488.2035705999999</v>
      </c>
      <c r="G99">
        <f>[5]trip_summary_region!G99</f>
        <v>14572.244902</v>
      </c>
      <c r="H99">
        <f>[5]trip_summary_region!H99</f>
        <v>451.90883186999997</v>
      </c>
      <c r="I99" t="str">
        <f>[5]trip_summary_region!I99</f>
        <v>Light Vehicle Driver</v>
      </c>
      <c r="J99" t="str">
        <f>[5]trip_summary_region!J99</f>
        <v>2042/43</v>
      </c>
    </row>
    <row r="100" spans="1:10" x14ac:dyDescent="0.2">
      <c r="A100" t="str">
        <f>[5]trip_summary_region!A100</f>
        <v>02 AUCKLAND</v>
      </c>
      <c r="B100">
        <f>[5]trip_summary_region!B100</f>
        <v>3</v>
      </c>
      <c r="C100">
        <f>[5]trip_summary_region!C100</f>
        <v>2013</v>
      </c>
      <c r="D100">
        <f>[5]trip_summary_region!D100</f>
        <v>2092</v>
      </c>
      <c r="E100">
        <f>[5]trip_summary_region!E100</f>
        <v>9587</v>
      </c>
      <c r="F100">
        <f>[5]trip_summary_region!F100</f>
        <v>488.06073574999999</v>
      </c>
      <c r="G100">
        <f>[5]trip_summary_region!G100</f>
        <v>4814.6436660999998</v>
      </c>
      <c r="H100">
        <f>[5]trip_summary_region!H100</f>
        <v>145.42645436999999</v>
      </c>
      <c r="I100" t="str">
        <f>[5]trip_summary_region!I100</f>
        <v>Light Vehicle Passenger</v>
      </c>
      <c r="J100" t="str">
        <f>[5]trip_summary_region!J100</f>
        <v>2012/13</v>
      </c>
    </row>
    <row r="101" spans="1:10" x14ac:dyDescent="0.2">
      <c r="A101" t="str">
        <f>[5]trip_summary_region!A101</f>
        <v>02 AUCKLAND</v>
      </c>
      <c r="B101">
        <f>[5]trip_summary_region!B101</f>
        <v>3</v>
      </c>
      <c r="C101">
        <f>[5]trip_summary_region!C101</f>
        <v>2018</v>
      </c>
      <c r="D101">
        <f>[5]trip_summary_region!D101</f>
        <v>2092</v>
      </c>
      <c r="E101">
        <f>[5]trip_summary_region!E101</f>
        <v>9587</v>
      </c>
      <c r="F101">
        <f>[5]trip_summary_region!F101</f>
        <v>559.84114346000001</v>
      </c>
      <c r="G101">
        <f>[5]trip_summary_region!G101</f>
        <v>5623.5282719999996</v>
      </c>
      <c r="H101">
        <f>[5]trip_summary_region!H101</f>
        <v>168.25076633</v>
      </c>
      <c r="I101" t="str">
        <f>[5]trip_summary_region!I101</f>
        <v>Light Vehicle Passenger</v>
      </c>
      <c r="J101" t="str">
        <f>[5]trip_summary_region!J101</f>
        <v>2017/18</v>
      </c>
    </row>
    <row r="102" spans="1:10" x14ac:dyDescent="0.2">
      <c r="A102" t="str">
        <f>[5]trip_summary_region!A102</f>
        <v>02 AUCKLAND</v>
      </c>
      <c r="B102">
        <f>[5]trip_summary_region!B102</f>
        <v>3</v>
      </c>
      <c r="C102">
        <f>[5]trip_summary_region!C102</f>
        <v>2023</v>
      </c>
      <c r="D102">
        <f>[5]trip_summary_region!D102</f>
        <v>2092</v>
      </c>
      <c r="E102">
        <f>[5]trip_summary_region!E102</f>
        <v>9587</v>
      </c>
      <c r="F102">
        <f>[5]trip_summary_region!F102</f>
        <v>557.95609408999997</v>
      </c>
      <c r="G102">
        <f>[5]trip_summary_region!G102</f>
        <v>5652.8861268999999</v>
      </c>
      <c r="H102">
        <f>[5]trip_summary_region!H102</f>
        <v>167.71438401</v>
      </c>
      <c r="I102" t="str">
        <f>[5]trip_summary_region!I102</f>
        <v>Light Vehicle Passenger</v>
      </c>
      <c r="J102" t="str">
        <f>[5]trip_summary_region!J102</f>
        <v>2022/23</v>
      </c>
    </row>
    <row r="103" spans="1:10" x14ac:dyDescent="0.2">
      <c r="A103" t="str">
        <f>[5]trip_summary_region!A103</f>
        <v>02 AUCKLAND</v>
      </c>
      <c r="B103">
        <f>[5]trip_summary_region!B103</f>
        <v>3</v>
      </c>
      <c r="C103">
        <f>[5]trip_summary_region!C103</f>
        <v>2028</v>
      </c>
      <c r="D103">
        <f>[5]trip_summary_region!D103</f>
        <v>2092</v>
      </c>
      <c r="E103">
        <f>[5]trip_summary_region!E103</f>
        <v>9587</v>
      </c>
      <c r="F103">
        <f>[5]trip_summary_region!F103</f>
        <v>590.44803548000004</v>
      </c>
      <c r="G103">
        <f>[5]trip_summary_region!G103</f>
        <v>6047.8683154999999</v>
      </c>
      <c r="H103">
        <f>[5]trip_summary_region!H103</f>
        <v>177.52069161</v>
      </c>
      <c r="I103" t="str">
        <f>[5]trip_summary_region!I103</f>
        <v>Light Vehicle Passenger</v>
      </c>
      <c r="J103" t="str">
        <f>[5]trip_summary_region!J103</f>
        <v>2027/28</v>
      </c>
    </row>
    <row r="104" spans="1:10" x14ac:dyDescent="0.2">
      <c r="A104" t="str">
        <f>[5]trip_summary_region!A104</f>
        <v>02 AUCKLAND</v>
      </c>
      <c r="B104">
        <f>[5]trip_summary_region!B104</f>
        <v>3</v>
      </c>
      <c r="C104">
        <f>[5]trip_summary_region!C104</f>
        <v>2033</v>
      </c>
      <c r="D104">
        <f>[5]trip_summary_region!D104</f>
        <v>2092</v>
      </c>
      <c r="E104">
        <f>[5]trip_summary_region!E104</f>
        <v>9587</v>
      </c>
      <c r="F104">
        <f>[5]trip_summary_region!F104</f>
        <v>621.10611399000004</v>
      </c>
      <c r="G104">
        <f>[5]trip_summary_region!G104</f>
        <v>6395.0218324999996</v>
      </c>
      <c r="H104">
        <f>[5]trip_summary_region!H104</f>
        <v>186.41211493</v>
      </c>
      <c r="I104" t="str">
        <f>[5]trip_summary_region!I104</f>
        <v>Light Vehicle Passenger</v>
      </c>
      <c r="J104" t="str">
        <f>[5]trip_summary_region!J104</f>
        <v>2032/33</v>
      </c>
    </row>
    <row r="105" spans="1:10" x14ac:dyDescent="0.2">
      <c r="A105" t="str">
        <f>[5]trip_summary_region!A105</f>
        <v>02 AUCKLAND</v>
      </c>
      <c r="B105">
        <f>[5]trip_summary_region!B105</f>
        <v>3</v>
      </c>
      <c r="C105">
        <f>[5]trip_summary_region!C105</f>
        <v>2038</v>
      </c>
      <c r="D105">
        <f>[5]trip_summary_region!D105</f>
        <v>2092</v>
      </c>
      <c r="E105">
        <f>[5]trip_summary_region!E105</f>
        <v>9587</v>
      </c>
      <c r="F105">
        <f>[5]trip_summary_region!F105</f>
        <v>649.48164191000001</v>
      </c>
      <c r="G105">
        <f>[5]trip_summary_region!G105</f>
        <v>6742.7096505</v>
      </c>
      <c r="H105">
        <f>[5]trip_summary_region!H105</f>
        <v>195.21828092999999</v>
      </c>
      <c r="I105" t="str">
        <f>[5]trip_summary_region!I105</f>
        <v>Light Vehicle Passenger</v>
      </c>
      <c r="J105" t="str">
        <f>[5]trip_summary_region!J105</f>
        <v>2037/38</v>
      </c>
    </row>
    <row r="106" spans="1:10" x14ac:dyDescent="0.2">
      <c r="A106" t="str">
        <f>[5]trip_summary_region!A106</f>
        <v>02 AUCKLAND</v>
      </c>
      <c r="B106">
        <f>[5]trip_summary_region!B106</f>
        <v>3</v>
      </c>
      <c r="C106">
        <f>[5]trip_summary_region!C106</f>
        <v>2043</v>
      </c>
      <c r="D106">
        <f>[5]trip_summary_region!D106</f>
        <v>2092</v>
      </c>
      <c r="E106">
        <f>[5]trip_summary_region!E106</f>
        <v>9587</v>
      </c>
      <c r="F106">
        <f>[5]trip_summary_region!F106</f>
        <v>675.18984021999995</v>
      </c>
      <c r="G106">
        <f>[5]trip_summary_region!G106</f>
        <v>7053.9001761</v>
      </c>
      <c r="H106">
        <f>[5]trip_summary_region!H106</f>
        <v>203.12944512000001</v>
      </c>
      <c r="I106" t="str">
        <f>[5]trip_summary_region!I106</f>
        <v>Light Vehicle Passenger</v>
      </c>
      <c r="J106" t="str">
        <f>[5]trip_summary_region!J106</f>
        <v>2042/43</v>
      </c>
    </row>
    <row r="107" spans="1:10" x14ac:dyDescent="0.2">
      <c r="A107" t="str">
        <f>[5]trip_summary_region!A107</f>
        <v>02 AUCKLAND</v>
      </c>
      <c r="B107">
        <f>[5]trip_summary_region!B107</f>
        <v>4</v>
      </c>
      <c r="C107">
        <f>[5]trip_summary_region!C107</f>
        <v>2013</v>
      </c>
      <c r="D107">
        <f>[5]trip_summary_region!D107</f>
        <v>54</v>
      </c>
      <c r="E107">
        <f>[5]trip_summary_region!E107</f>
        <v>94</v>
      </c>
      <c r="F107">
        <f>[5]trip_summary_region!F107</f>
        <v>6.0232688673999997</v>
      </c>
      <c r="G107">
        <f>[5]trip_summary_region!G107</f>
        <v>41.157157814999998</v>
      </c>
      <c r="H107">
        <f>[5]trip_summary_region!H107</f>
        <v>1.9131795197999999</v>
      </c>
      <c r="I107" t="s">
        <v>116</v>
      </c>
      <c r="J107" t="str">
        <f>[5]trip_summary_region!J107</f>
        <v>2012/13</v>
      </c>
    </row>
    <row r="108" spans="1:10" x14ac:dyDescent="0.2">
      <c r="A108" t="str">
        <f>[5]trip_summary_region!A108</f>
        <v>02 AUCKLAND</v>
      </c>
      <c r="B108">
        <f>[5]trip_summary_region!B108</f>
        <v>4</v>
      </c>
      <c r="C108">
        <f>[5]trip_summary_region!C108</f>
        <v>2018</v>
      </c>
      <c r="D108">
        <f>[5]trip_summary_region!D108</f>
        <v>54</v>
      </c>
      <c r="E108">
        <f>[5]trip_summary_region!E108</f>
        <v>94</v>
      </c>
      <c r="F108">
        <f>[5]trip_summary_region!F108</f>
        <v>7.7766894449999997</v>
      </c>
      <c r="G108">
        <f>[5]trip_summary_region!G108</f>
        <v>54.044127932999999</v>
      </c>
      <c r="H108">
        <f>[5]trip_summary_region!H108</f>
        <v>2.4740584694000001</v>
      </c>
      <c r="I108" t="s">
        <v>116</v>
      </c>
      <c r="J108" t="str">
        <f>[5]trip_summary_region!J108</f>
        <v>2017/18</v>
      </c>
    </row>
    <row r="109" spans="1:10" x14ac:dyDescent="0.2">
      <c r="A109" t="str">
        <f>[5]trip_summary_region!A109</f>
        <v>02 AUCKLAND</v>
      </c>
      <c r="B109">
        <f>[5]trip_summary_region!B109</f>
        <v>4</v>
      </c>
      <c r="C109">
        <f>[5]trip_summary_region!C109</f>
        <v>2023</v>
      </c>
      <c r="D109">
        <f>[5]trip_summary_region!D109</f>
        <v>54</v>
      </c>
      <c r="E109">
        <f>[5]trip_summary_region!E109</f>
        <v>94</v>
      </c>
      <c r="F109">
        <f>[5]trip_summary_region!F109</f>
        <v>8.7690258763000006</v>
      </c>
      <c r="G109">
        <f>[5]trip_summary_region!G109</f>
        <v>63.944659346000002</v>
      </c>
      <c r="H109">
        <f>[5]trip_summary_region!H109</f>
        <v>2.8060037959000002</v>
      </c>
      <c r="I109" t="s">
        <v>116</v>
      </c>
      <c r="J109" t="str">
        <f>[5]trip_summary_region!J109</f>
        <v>2022/23</v>
      </c>
    </row>
    <row r="110" spans="1:10" x14ac:dyDescent="0.2">
      <c r="A110" t="str">
        <f>[5]trip_summary_region!A110</f>
        <v>02 AUCKLAND</v>
      </c>
      <c r="B110">
        <f>[5]trip_summary_region!B110</f>
        <v>4</v>
      </c>
      <c r="C110">
        <f>[5]trip_summary_region!C110</f>
        <v>2028</v>
      </c>
      <c r="D110">
        <f>[5]trip_summary_region!D110</f>
        <v>54</v>
      </c>
      <c r="E110">
        <f>[5]trip_summary_region!E110</f>
        <v>94</v>
      </c>
      <c r="F110">
        <f>[5]trip_summary_region!F110</f>
        <v>10.077282658</v>
      </c>
      <c r="G110">
        <f>[5]trip_summary_region!G110</f>
        <v>77.114565757999998</v>
      </c>
      <c r="H110">
        <f>[5]trip_summary_region!H110</f>
        <v>3.2630976306999999</v>
      </c>
      <c r="I110" t="s">
        <v>116</v>
      </c>
      <c r="J110" t="str">
        <f>[5]trip_summary_region!J110</f>
        <v>2027/28</v>
      </c>
    </row>
    <row r="111" spans="1:10" x14ac:dyDescent="0.2">
      <c r="A111" t="str">
        <f>[5]trip_summary_region!A111</f>
        <v>02 AUCKLAND</v>
      </c>
      <c r="B111">
        <f>[5]trip_summary_region!B111</f>
        <v>4</v>
      </c>
      <c r="C111">
        <f>[5]trip_summary_region!C111</f>
        <v>2033</v>
      </c>
      <c r="D111">
        <f>[5]trip_summary_region!D111</f>
        <v>54</v>
      </c>
      <c r="E111">
        <f>[5]trip_summary_region!E111</f>
        <v>94</v>
      </c>
      <c r="F111">
        <f>[5]trip_summary_region!F111</f>
        <v>11.293465664999999</v>
      </c>
      <c r="G111">
        <f>[5]trip_summary_region!G111</f>
        <v>89.255331509000001</v>
      </c>
      <c r="H111">
        <f>[5]trip_summary_region!H111</f>
        <v>3.6894239995000002</v>
      </c>
      <c r="I111" t="s">
        <v>116</v>
      </c>
      <c r="J111" t="str">
        <f>[5]trip_summary_region!J111</f>
        <v>2032/33</v>
      </c>
    </row>
    <row r="112" spans="1:10" x14ac:dyDescent="0.2">
      <c r="A112" t="str">
        <f>[5]trip_summary_region!A112</f>
        <v>02 AUCKLAND</v>
      </c>
      <c r="B112">
        <f>[5]trip_summary_region!B112</f>
        <v>4</v>
      </c>
      <c r="C112">
        <f>[5]trip_summary_region!C112</f>
        <v>2038</v>
      </c>
      <c r="D112">
        <f>[5]trip_summary_region!D112</f>
        <v>54</v>
      </c>
      <c r="E112">
        <f>[5]trip_summary_region!E112</f>
        <v>94</v>
      </c>
      <c r="F112">
        <f>[5]trip_summary_region!F112</f>
        <v>12.365525685</v>
      </c>
      <c r="G112">
        <f>[5]trip_summary_region!G112</f>
        <v>99.976288936000003</v>
      </c>
      <c r="H112">
        <f>[5]trip_summary_region!H112</f>
        <v>4.0597558075000002</v>
      </c>
      <c r="I112" t="s">
        <v>116</v>
      </c>
      <c r="J112" t="str">
        <f>[5]trip_summary_region!J112</f>
        <v>2037/38</v>
      </c>
    </row>
    <row r="113" spans="1:10" x14ac:dyDescent="0.2">
      <c r="A113" t="str">
        <f>[5]trip_summary_region!A113</f>
        <v>02 AUCKLAND</v>
      </c>
      <c r="B113">
        <f>[5]trip_summary_region!B113</f>
        <v>4</v>
      </c>
      <c r="C113">
        <f>[5]trip_summary_region!C113</f>
        <v>2043</v>
      </c>
      <c r="D113">
        <f>[5]trip_summary_region!D113</f>
        <v>54</v>
      </c>
      <c r="E113">
        <f>[5]trip_summary_region!E113</f>
        <v>94</v>
      </c>
      <c r="F113">
        <f>[5]trip_summary_region!F113</f>
        <v>13.379728389</v>
      </c>
      <c r="G113">
        <f>[5]trip_summary_region!G113</f>
        <v>109.97842145</v>
      </c>
      <c r="H113">
        <f>[5]trip_summary_region!H113</f>
        <v>4.4053079104000004</v>
      </c>
      <c r="I113" t="s">
        <v>116</v>
      </c>
      <c r="J113" t="str">
        <f>[5]trip_summary_region!J113</f>
        <v>2042/43</v>
      </c>
    </row>
    <row r="114" spans="1:10" x14ac:dyDescent="0.2">
      <c r="A114" t="str">
        <f>[5]trip_summary_region!A114</f>
        <v>02 AUCKLAND</v>
      </c>
      <c r="B114">
        <f>[5]trip_summary_region!B114</f>
        <v>5</v>
      </c>
      <c r="C114">
        <f>[5]trip_summary_region!C114</f>
        <v>2013</v>
      </c>
      <c r="D114">
        <f>[5]trip_summary_region!D114</f>
        <v>15</v>
      </c>
      <c r="E114">
        <f>[5]trip_summary_region!E114</f>
        <v>69</v>
      </c>
      <c r="F114">
        <f>[5]trip_summary_region!F114</f>
        <v>4.1170216905999997</v>
      </c>
      <c r="G114">
        <f>[5]trip_summary_region!G114</f>
        <v>43.570185572</v>
      </c>
      <c r="H114">
        <f>[5]trip_summary_region!H114</f>
        <v>1.5334409518000001</v>
      </c>
      <c r="I114" t="str">
        <f>[5]trip_summary_region!I114</f>
        <v>Motorcyclist</v>
      </c>
      <c r="J114" t="str">
        <f>[5]trip_summary_region!J114</f>
        <v>2012/13</v>
      </c>
    </row>
    <row r="115" spans="1:10" x14ac:dyDescent="0.2">
      <c r="A115" t="str">
        <f>[5]trip_summary_region!A115</f>
        <v>02 AUCKLAND</v>
      </c>
      <c r="B115">
        <f>[5]trip_summary_region!B115</f>
        <v>5</v>
      </c>
      <c r="C115">
        <f>[5]trip_summary_region!C115</f>
        <v>2018</v>
      </c>
      <c r="D115">
        <f>[5]trip_summary_region!D115</f>
        <v>15</v>
      </c>
      <c r="E115">
        <f>[5]trip_summary_region!E115</f>
        <v>69</v>
      </c>
      <c r="F115">
        <f>[5]trip_summary_region!F115</f>
        <v>5.0545336453000003</v>
      </c>
      <c r="G115">
        <f>[5]trip_summary_region!G115</f>
        <v>53.812978743999999</v>
      </c>
      <c r="H115">
        <f>[5]trip_summary_region!H115</f>
        <v>1.9080436639</v>
      </c>
      <c r="I115" t="str">
        <f>[5]trip_summary_region!I115</f>
        <v>Motorcyclist</v>
      </c>
      <c r="J115" t="str">
        <f>[5]trip_summary_region!J115</f>
        <v>2017/18</v>
      </c>
    </row>
    <row r="116" spans="1:10" x14ac:dyDescent="0.2">
      <c r="A116" t="str">
        <f>[5]trip_summary_region!A116</f>
        <v>02 AUCKLAND</v>
      </c>
      <c r="B116">
        <f>[5]trip_summary_region!B116</f>
        <v>5</v>
      </c>
      <c r="C116">
        <f>[5]trip_summary_region!C116</f>
        <v>2023</v>
      </c>
      <c r="D116">
        <f>[5]trip_summary_region!D116</f>
        <v>15</v>
      </c>
      <c r="E116">
        <f>[5]trip_summary_region!E116</f>
        <v>69</v>
      </c>
      <c r="F116">
        <f>[5]trip_summary_region!F116</f>
        <v>5.3517868892999996</v>
      </c>
      <c r="G116">
        <f>[5]trip_summary_region!G116</f>
        <v>54.652051385999997</v>
      </c>
      <c r="H116">
        <f>[5]trip_summary_region!H116</f>
        <v>1.9848851192999999</v>
      </c>
      <c r="I116" t="str">
        <f>[5]trip_summary_region!I116</f>
        <v>Motorcyclist</v>
      </c>
      <c r="J116" t="str">
        <f>[5]trip_summary_region!J116</f>
        <v>2022/23</v>
      </c>
    </row>
    <row r="117" spans="1:10" x14ac:dyDescent="0.2">
      <c r="A117" t="str">
        <f>[5]trip_summary_region!A117</f>
        <v>02 AUCKLAND</v>
      </c>
      <c r="B117">
        <f>[5]trip_summary_region!B117</f>
        <v>5</v>
      </c>
      <c r="C117">
        <f>[5]trip_summary_region!C117</f>
        <v>2028</v>
      </c>
      <c r="D117">
        <f>[5]trip_summary_region!D117</f>
        <v>15</v>
      </c>
      <c r="E117">
        <f>[5]trip_summary_region!E117</f>
        <v>69</v>
      </c>
      <c r="F117">
        <f>[5]trip_summary_region!F117</f>
        <v>6.0906354239000002</v>
      </c>
      <c r="G117">
        <f>[5]trip_summary_region!G117</f>
        <v>59.548941352999996</v>
      </c>
      <c r="H117">
        <f>[5]trip_summary_region!H117</f>
        <v>2.2011520576999999</v>
      </c>
      <c r="I117" t="str">
        <f>[5]trip_summary_region!I117</f>
        <v>Motorcyclist</v>
      </c>
      <c r="J117" t="str">
        <f>[5]trip_summary_region!J117</f>
        <v>2027/28</v>
      </c>
    </row>
    <row r="118" spans="1:10" x14ac:dyDescent="0.2">
      <c r="A118" t="str">
        <f>[5]trip_summary_region!A118</f>
        <v>02 AUCKLAND</v>
      </c>
      <c r="B118">
        <f>[5]trip_summary_region!B118</f>
        <v>5</v>
      </c>
      <c r="C118">
        <f>[5]trip_summary_region!C118</f>
        <v>2033</v>
      </c>
      <c r="D118">
        <f>[5]trip_summary_region!D118</f>
        <v>15</v>
      </c>
      <c r="E118">
        <f>[5]trip_summary_region!E118</f>
        <v>69</v>
      </c>
      <c r="F118">
        <f>[5]trip_summary_region!F118</f>
        <v>6.6667197094999997</v>
      </c>
      <c r="G118">
        <f>[5]trip_summary_region!G118</f>
        <v>63.769774656000003</v>
      </c>
      <c r="H118">
        <f>[5]trip_summary_region!H118</f>
        <v>2.3864636246000002</v>
      </c>
      <c r="I118" t="str">
        <f>[5]trip_summary_region!I118</f>
        <v>Motorcyclist</v>
      </c>
      <c r="J118" t="str">
        <f>[5]trip_summary_region!J118</f>
        <v>2032/33</v>
      </c>
    </row>
    <row r="119" spans="1:10" x14ac:dyDescent="0.2">
      <c r="A119" t="str">
        <f>[5]trip_summary_region!A119</f>
        <v>02 AUCKLAND</v>
      </c>
      <c r="B119">
        <f>[5]trip_summary_region!B119</f>
        <v>5</v>
      </c>
      <c r="C119">
        <f>[5]trip_summary_region!C119</f>
        <v>2038</v>
      </c>
      <c r="D119">
        <f>[5]trip_summary_region!D119</f>
        <v>15</v>
      </c>
      <c r="E119">
        <f>[5]trip_summary_region!E119</f>
        <v>69</v>
      </c>
      <c r="F119">
        <f>[5]trip_summary_region!F119</f>
        <v>6.8946236752000001</v>
      </c>
      <c r="G119">
        <f>[5]trip_summary_region!G119</f>
        <v>66.351752641999994</v>
      </c>
      <c r="H119">
        <f>[5]trip_summary_region!H119</f>
        <v>2.5031758833</v>
      </c>
      <c r="I119" t="str">
        <f>[5]trip_summary_region!I119</f>
        <v>Motorcyclist</v>
      </c>
      <c r="J119" t="str">
        <f>[5]trip_summary_region!J119</f>
        <v>2037/38</v>
      </c>
    </row>
    <row r="120" spans="1:10" x14ac:dyDescent="0.2">
      <c r="A120" t="str">
        <f>[5]trip_summary_region!A120</f>
        <v>02 AUCKLAND</v>
      </c>
      <c r="B120">
        <f>[5]trip_summary_region!B120</f>
        <v>5</v>
      </c>
      <c r="C120">
        <f>[5]trip_summary_region!C120</f>
        <v>2043</v>
      </c>
      <c r="D120">
        <f>[5]trip_summary_region!D120</f>
        <v>15</v>
      </c>
      <c r="E120">
        <f>[5]trip_summary_region!E120</f>
        <v>69</v>
      </c>
      <c r="F120">
        <f>[5]trip_summary_region!F120</f>
        <v>7.0601239640999998</v>
      </c>
      <c r="G120">
        <f>[5]trip_summary_region!G120</f>
        <v>68.538371632999997</v>
      </c>
      <c r="H120">
        <f>[5]trip_summary_region!H120</f>
        <v>2.6029803616999998</v>
      </c>
      <c r="I120" t="str">
        <f>[5]trip_summary_region!I120</f>
        <v>Motorcyclist</v>
      </c>
      <c r="J120" t="str">
        <f>[5]trip_summary_region!J120</f>
        <v>2042/43</v>
      </c>
    </row>
    <row r="121" spans="1:10" x14ac:dyDescent="0.2">
      <c r="A121" t="str">
        <f>[5]trip_summary_region!A121</f>
        <v>02 AUCKLAND</v>
      </c>
      <c r="B121">
        <f>[5]trip_summary_region!B121</f>
        <v>6</v>
      </c>
      <c r="C121">
        <f>[5]trip_summary_region!C121</f>
        <v>2013</v>
      </c>
      <c r="D121">
        <f>[5]trip_summary_region!D121</f>
        <v>83</v>
      </c>
      <c r="E121">
        <f>[5]trip_summary_region!E121</f>
        <v>197</v>
      </c>
      <c r="F121">
        <f>[5]trip_summary_region!F121</f>
        <v>10.588451037</v>
      </c>
      <c r="G121">
        <f>[5]trip_summary_region!G121</f>
        <v>126.27968744</v>
      </c>
      <c r="H121">
        <f>[5]trip_summary_region!H121</f>
        <v>4.2843438359999997</v>
      </c>
      <c r="I121" t="str">
        <f>[5]trip_summary_region!I121</f>
        <v>Local Train</v>
      </c>
      <c r="J121" t="str">
        <f>[5]trip_summary_region!J121</f>
        <v>2012/13</v>
      </c>
    </row>
    <row r="122" spans="1:10" x14ac:dyDescent="0.2">
      <c r="A122" t="str">
        <f>[5]trip_summary_region!A122</f>
        <v>02 AUCKLAND</v>
      </c>
      <c r="B122">
        <f>[5]trip_summary_region!B122</f>
        <v>6</v>
      </c>
      <c r="C122">
        <f>[5]trip_summary_region!C122</f>
        <v>2018</v>
      </c>
      <c r="D122">
        <f>[5]trip_summary_region!D122</f>
        <v>83</v>
      </c>
      <c r="E122">
        <f>[5]trip_summary_region!E122</f>
        <v>197</v>
      </c>
      <c r="F122">
        <f>[5]trip_summary_region!F122</f>
        <v>12.59448115</v>
      </c>
      <c r="G122">
        <f>[5]trip_summary_region!G122</f>
        <v>152.76838634999999</v>
      </c>
      <c r="H122">
        <f>[5]trip_summary_region!H122</f>
        <v>5.1771028185999999</v>
      </c>
      <c r="I122" t="str">
        <f>[5]trip_summary_region!I122</f>
        <v>Local Train</v>
      </c>
      <c r="J122" t="str">
        <f>[5]trip_summary_region!J122</f>
        <v>2017/18</v>
      </c>
    </row>
    <row r="123" spans="1:10" x14ac:dyDescent="0.2">
      <c r="A123" t="str">
        <f>[5]trip_summary_region!A123</f>
        <v>02 AUCKLAND</v>
      </c>
      <c r="B123">
        <f>[5]trip_summary_region!B123</f>
        <v>6</v>
      </c>
      <c r="C123">
        <f>[5]trip_summary_region!C123</f>
        <v>2023</v>
      </c>
      <c r="D123">
        <f>[5]trip_summary_region!D123</f>
        <v>83</v>
      </c>
      <c r="E123">
        <f>[5]trip_summary_region!E123</f>
        <v>197</v>
      </c>
      <c r="F123">
        <f>[5]trip_summary_region!F123</f>
        <v>12.675712211</v>
      </c>
      <c r="G123">
        <f>[5]trip_summary_region!G123</f>
        <v>154.57224120000001</v>
      </c>
      <c r="H123">
        <f>[5]trip_summary_region!H123</f>
        <v>5.2380729482000001</v>
      </c>
      <c r="I123" t="str">
        <f>[5]trip_summary_region!I123</f>
        <v>Local Train</v>
      </c>
      <c r="J123" t="str">
        <f>[5]trip_summary_region!J123</f>
        <v>2022/23</v>
      </c>
    </row>
    <row r="124" spans="1:10" x14ac:dyDescent="0.2">
      <c r="A124" t="str">
        <f>[5]trip_summary_region!A124</f>
        <v>02 AUCKLAND</v>
      </c>
      <c r="B124">
        <f>[5]trip_summary_region!B124</f>
        <v>6</v>
      </c>
      <c r="C124">
        <f>[5]trip_summary_region!C124</f>
        <v>2028</v>
      </c>
      <c r="D124">
        <f>[5]trip_summary_region!D124</f>
        <v>83</v>
      </c>
      <c r="E124">
        <f>[5]trip_summary_region!E124</f>
        <v>197</v>
      </c>
      <c r="F124">
        <f>[5]trip_summary_region!F124</f>
        <v>13.266622479</v>
      </c>
      <c r="G124">
        <f>[5]trip_summary_region!G124</f>
        <v>162.57925829999999</v>
      </c>
      <c r="H124">
        <f>[5]trip_summary_region!H124</f>
        <v>5.4850204829999996</v>
      </c>
      <c r="I124" t="str">
        <f>[5]trip_summary_region!I124</f>
        <v>Local Train</v>
      </c>
      <c r="J124" t="str">
        <f>[5]trip_summary_region!J124</f>
        <v>2027/28</v>
      </c>
    </row>
    <row r="125" spans="1:10" x14ac:dyDescent="0.2">
      <c r="A125" t="str">
        <f>[5]trip_summary_region!A125</f>
        <v>02 AUCKLAND</v>
      </c>
      <c r="B125">
        <f>[5]trip_summary_region!B125</f>
        <v>6</v>
      </c>
      <c r="C125">
        <f>[5]trip_summary_region!C125</f>
        <v>2033</v>
      </c>
      <c r="D125">
        <f>[5]trip_summary_region!D125</f>
        <v>83</v>
      </c>
      <c r="E125">
        <f>[5]trip_summary_region!E125</f>
        <v>197</v>
      </c>
      <c r="F125">
        <f>[5]trip_summary_region!F125</f>
        <v>13.645572839</v>
      </c>
      <c r="G125">
        <f>[5]trip_summary_region!G125</f>
        <v>168.90382101</v>
      </c>
      <c r="H125">
        <f>[5]trip_summary_region!H125</f>
        <v>5.6603076628000002</v>
      </c>
      <c r="I125" t="str">
        <f>[5]trip_summary_region!I125</f>
        <v>Local Train</v>
      </c>
      <c r="J125" t="str">
        <f>[5]trip_summary_region!J125</f>
        <v>2032/33</v>
      </c>
    </row>
    <row r="126" spans="1:10" x14ac:dyDescent="0.2">
      <c r="A126" t="str">
        <f>[5]trip_summary_region!A126</f>
        <v>02 AUCKLAND</v>
      </c>
      <c r="B126">
        <f>[5]trip_summary_region!B126</f>
        <v>6</v>
      </c>
      <c r="C126">
        <f>[5]trip_summary_region!C126</f>
        <v>2038</v>
      </c>
      <c r="D126">
        <f>[5]trip_summary_region!D126</f>
        <v>83</v>
      </c>
      <c r="E126">
        <f>[5]trip_summary_region!E126</f>
        <v>197</v>
      </c>
      <c r="F126">
        <f>[5]trip_summary_region!F126</f>
        <v>13.862134079</v>
      </c>
      <c r="G126">
        <f>[5]trip_summary_region!G126</f>
        <v>173.60056195999999</v>
      </c>
      <c r="H126">
        <f>[5]trip_summary_region!H126</f>
        <v>5.7949239210999997</v>
      </c>
      <c r="I126" t="str">
        <f>[5]trip_summary_region!I126</f>
        <v>Local Train</v>
      </c>
      <c r="J126" t="str">
        <f>[5]trip_summary_region!J126</f>
        <v>2037/38</v>
      </c>
    </row>
    <row r="127" spans="1:10" x14ac:dyDescent="0.2">
      <c r="A127" t="str">
        <f>[5]trip_summary_region!A127</f>
        <v>02 AUCKLAND</v>
      </c>
      <c r="B127">
        <f>[5]trip_summary_region!B127</f>
        <v>6</v>
      </c>
      <c r="C127">
        <f>[5]trip_summary_region!C127</f>
        <v>2043</v>
      </c>
      <c r="D127">
        <f>[5]trip_summary_region!D127</f>
        <v>83</v>
      </c>
      <c r="E127">
        <f>[5]trip_summary_region!E127</f>
        <v>197</v>
      </c>
      <c r="F127">
        <f>[5]trip_summary_region!F127</f>
        <v>13.964401064</v>
      </c>
      <c r="G127">
        <f>[5]trip_summary_region!G127</f>
        <v>177.04672131000001</v>
      </c>
      <c r="H127">
        <f>[5]trip_summary_region!H127</f>
        <v>5.8869770618999997</v>
      </c>
      <c r="I127" t="str">
        <f>[5]trip_summary_region!I127</f>
        <v>Local Train</v>
      </c>
      <c r="J127" t="str">
        <f>[5]trip_summary_region!J127</f>
        <v>2042/43</v>
      </c>
    </row>
    <row r="128" spans="1:10" x14ac:dyDescent="0.2">
      <c r="A128" t="str">
        <f>[5]trip_summary_region!A128</f>
        <v>02 AUCKLAND</v>
      </c>
      <c r="B128">
        <f>[5]trip_summary_region!B128</f>
        <v>7</v>
      </c>
      <c r="C128">
        <f>[5]trip_summary_region!C128</f>
        <v>2013</v>
      </c>
      <c r="D128">
        <f>[5]trip_summary_region!D128</f>
        <v>334</v>
      </c>
      <c r="E128">
        <f>[5]trip_summary_region!E128</f>
        <v>882</v>
      </c>
      <c r="F128">
        <f>[5]trip_summary_region!F128</f>
        <v>54.403429504999998</v>
      </c>
      <c r="G128">
        <f>[5]trip_summary_region!G128</f>
        <v>439.27566032999999</v>
      </c>
      <c r="H128">
        <f>[5]trip_summary_region!H128</f>
        <v>22.622672496</v>
      </c>
      <c r="I128" t="str">
        <f>[5]trip_summary_region!I128</f>
        <v>Local Bus</v>
      </c>
      <c r="J128" t="str">
        <f>[5]trip_summary_region!J128</f>
        <v>2012/13</v>
      </c>
    </row>
    <row r="129" spans="1:10" x14ac:dyDescent="0.2">
      <c r="A129" t="str">
        <f>[5]trip_summary_region!A129</f>
        <v>02 AUCKLAND</v>
      </c>
      <c r="B129">
        <f>[5]trip_summary_region!B129</f>
        <v>7</v>
      </c>
      <c r="C129">
        <f>[5]trip_summary_region!C129</f>
        <v>2018</v>
      </c>
      <c r="D129">
        <f>[5]trip_summary_region!D129</f>
        <v>334</v>
      </c>
      <c r="E129">
        <f>[5]trip_summary_region!E129</f>
        <v>882</v>
      </c>
      <c r="F129">
        <f>[5]trip_summary_region!F129</f>
        <v>62.495851436000002</v>
      </c>
      <c r="G129">
        <f>[5]trip_summary_region!G129</f>
        <v>512.43965706999995</v>
      </c>
      <c r="H129">
        <f>[5]trip_summary_region!H129</f>
        <v>26.321559500999999</v>
      </c>
      <c r="I129" t="str">
        <f>[5]trip_summary_region!I129</f>
        <v>Local Bus</v>
      </c>
      <c r="J129" t="str">
        <f>[5]trip_summary_region!J129</f>
        <v>2017/18</v>
      </c>
    </row>
    <row r="130" spans="1:10" x14ac:dyDescent="0.2">
      <c r="A130" t="str">
        <f>[5]trip_summary_region!A130</f>
        <v>02 AUCKLAND</v>
      </c>
      <c r="B130">
        <f>[5]trip_summary_region!B130</f>
        <v>7</v>
      </c>
      <c r="C130">
        <f>[5]trip_summary_region!C130</f>
        <v>2023</v>
      </c>
      <c r="D130">
        <f>[5]trip_summary_region!D130</f>
        <v>334</v>
      </c>
      <c r="E130">
        <f>[5]trip_summary_region!E130</f>
        <v>882</v>
      </c>
      <c r="F130">
        <f>[5]trip_summary_region!F130</f>
        <v>60.680366450000001</v>
      </c>
      <c r="G130">
        <f>[5]trip_summary_region!G130</f>
        <v>500.69665226000001</v>
      </c>
      <c r="H130">
        <f>[5]trip_summary_region!H130</f>
        <v>25.629782864999999</v>
      </c>
      <c r="I130" t="str">
        <f>[5]trip_summary_region!I130</f>
        <v>Local Bus</v>
      </c>
      <c r="J130" t="str">
        <f>[5]trip_summary_region!J130</f>
        <v>2022/23</v>
      </c>
    </row>
    <row r="131" spans="1:10" x14ac:dyDescent="0.2">
      <c r="A131" t="str">
        <f>[5]trip_summary_region!A131</f>
        <v>02 AUCKLAND</v>
      </c>
      <c r="B131">
        <f>[5]trip_summary_region!B131</f>
        <v>7</v>
      </c>
      <c r="C131">
        <f>[5]trip_summary_region!C131</f>
        <v>2028</v>
      </c>
      <c r="D131">
        <f>[5]trip_summary_region!D131</f>
        <v>334</v>
      </c>
      <c r="E131">
        <f>[5]trip_summary_region!E131</f>
        <v>882</v>
      </c>
      <c r="F131">
        <f>[5]trip_summary_region!F131</f>
        <v>60.382540472000002</v>
      </c>
      <c r="G131">
        <f>[5]trip_summary_region!G131</f>
        <v>506.64409809</v>
      </c>
      <c r="H131">
        <f>[5]trip_summary_region!H131</f>
        <v>25.669623771000001</v>
      </c>
      <c r="I131" t="str">
        <f>[5]trip_summary_region!I131</f>
        <v>Local Bus</v>
      </c>
      <c r="J131" t="str">
        <f>[5]trip_summary_region!J131</f>
        <v>2027/28</v>
      </c>
    </row>
    <row r="132" spans="1:10" x14ac:dyDescent="0.2">
      <c r="A132" t="str">
        <f>[5]trip_summary_region!A132</f>
        <v>02 AUCKLAND</v>
      </c>
      <c r="B132">
        <f>[5]trip_summary_region!B132</f>
        <v>7</v>
      </c>
      <c r="C132">
        <f>[5]trip_summary_region!C132</f>
        <v>2033</v>
      </c>
      <c r="D132">
        <f>[5]trip_summary_region!D132</f>
        <v>334</v>
      </c>
      <c r="E132">
        <f>[5]trip_summary_region!E132</f>
        <v>882</v>
      </c>
      <c r="F132">
        <f>[5]trip_summary_region!F132</f>
        <v>59.022287951999999</v>
      </c>
      <c r="G132">
        <f>[5]trip_summary_region!G132</f>
        <v>502.64275629000002</v>
      </c>
      <c r="H132">
        <f>[5]trip_summary_region!H132</f>
        <v>25.223522669000001</v>
      </c>
      <c r="I132" t="str">
        <f>[5]trip_summary_region!I132</f>
        <v>Local Bus</v>
      </c>
      <c r="J132" t="str">
        <f>[5]trip_summary_region!J132</f>
        <v>2032/33</v>
      </c>
    </row>
    <row r="133" spans="1:10" x14ac:dyDescent="0.2">
      <c r="A133" t="str">
        <f>[5]trip_summary_region!A133</f>
        <v>02 AUCKLAND</v>
      </c>
      <c r="B133">
        <f>[5]trip_summary_region!B133</f>
        <v>7</v>
      </c>
      <c r="C133">
        <f>[5]trip_summary_region!C133</f>
        <v>2038</v>
      </c>
      <c r="D133">
        <f>[5]trip_summary_region!D133</f>
        <v>334</v>
      </c>
      <c r="E133">
        <f>[5]trip_summary_region!E133</f>
        <v>882</v>
      </c>
      <c r="F133">
        <f>[5]trip_summary_region!F133</f>
        <v>57.884490976000002</v>
      </c>
      <c r="G133">
        <f>[5]trip_summary_region!G133</f>
        <v>500.86888120999998</v>
      </c>
      <c r="H133">
        <f>[5]trip_summary_region!H133</f>
        <v>24.896163360999999</v>
      </c>
      <c r="I133" t="str">
        <f>[5]trip_summary_region!I133</f>
        <v>Local Bus</v>
      </c>
      <c r="J133" t="str">
        <f>[5]trip_summary_region!J133</f>
        <v>2037/38</v>
      </c>
    </row>
    <row r="134" spans="1:10" x14ac:dyDescent="0.2">
      <c r="A134" t="str">
        <f>[5]trip_summary_region!A134</f>
        <v>02 AUCKLAND</v>
      </c>
      <c r="B134">
        <f>[5]trip_summary_region!B134</f>
        <v>7</v>
      </c>
      <c r="C134">
        <f>[5]trip_summary_region!C134</f>
        <v>2043</v>
      </c>
      <c r="D134">
        <f>[5]trip_summary_region!D134</f>
        <v>334</v>
      </c>
      <c r="E134">
        <f>[5]trip_summary_region!E134</f>
        <v>882</v>
      </c>
      <c r="F134">
        <f>[5]trip_summary_region!F134</f>
        <v>56.194005267000001</v>
      </c>
      <c r="G134">
        <f>[5]trip_summary_region!G134</f>
        <v>494.76567552</v>
      </c>
      <c r="H134">
        <f>[5]trip_summary_region!H134</f>
        <v>24.334945995999998</v>
      </c>
      <c r="I134" t="str">
        <f>[5]trip_summary_region!I134</f>
        <v>Local Bus</v>
      </c>
      <c r="J134" t="str">
        <f>[5]trip_summary_region!J134</f>
        <v>2042/43</v>
      </c>
    </row>
    <row r="135" spans="1:10" x14ac:dyDescent="0.2">
      <c r="A135" t="str">
        <f>[5]trip_summary_region!A135</f>
        <v>02 AUCKLAND</v>
      </c>
      <c r="B135">
        <f>[5]trip_summary_region!B135</f>
        <v>8</v>
      </c>
      <c r="C135">
        <f>[5]trip_summary_region!C135</f>
        <v>2013</v>
      </c>
      <c r="D135">
        <f>[5]trip_summary_region!D135</f>
        <v>33</v>
      </c>
      <c r="E135">
        <f>[5]trip_summary_region!E135</f>
        <v>75</v>
      </c>
      <c r="F135">
        <f>[5]trip_summary_region!F135</f>
        <v>4.3086283299000003</v>
      </c>
      <c r="G135">
        <f>[5]trip_summary_region!G135</f>
        <v>0</v>
      </c>
      <c r="H135">
        <f>[5]trip_summary_region!H135</f>
        <v>1.2124045342000001</v>
      </c>
      <c r="I135" t="str">
        <f>[5]trip_summary_region!I135</f>
        <v>Local Ferry</v>
      </c>
      <c r="J135" t="str">
        <f>[5]trip_summary_region!J135</f>
        <v>2012/13</v>
      </c>
    </row>
    <row r="136" spans="1:10" x14ac:dyDescent="0.2">
      <c r="A136" t="str">
        <f>[5]trip_summary_region!A136</f>
        <v>02 AUCKLAND</v>
      </c>
      <c r="B136">
        <f>[5]trip_summary_region!B136</f>
        <v>8</v>
      </c>
      <c r="C136">
        <f>[5]trip_summary_region!C136</f>
        <v>2018</v>
      </c>
      <c r="D136">
        <f>[5]trip_summary_region!D136</f>
        <v>33</v>
      </c>
      <c r="E136">
        <f>[5]trip_summary_region!E136</f>
        <v>75</v>
      </c>
      <c r="F136">
        <f>[5]trip_summary_region!F136</f>
        <v>5.3110850196000001</v>
      </c>
      <c r="G136">
        <f>[5]trip_summary_region!G136</f>
        <v>0</v>
      </c>
      <c r="H136">
        <f>[5]trip_summary_region!H136</f>
        <v>1.5033953939</v>
      </c>
      <c r="I136" t="str">
        <f>[5]trip_summary_region!I136</f>
        <v>Local Ferry</v>
      </c>
      <c r="J136" t="str">
        <f>[5]trip_summary_region!J136</f>
        <v>2017/18</v>
      </c>
    </row>
    <row r="137" spans="1:10" x14ac:dyDescent="0.2">
      <c r="A137" t="str">
        <f>[5]trip_summary_region!A137</f>
        <v>02 AUCKLAND</v>
      </c>
      <c r="B137">
        <f>[5]trip_summary_region!B137</f>
        <v>8</v>
      </c>
      <c r="C137">
        <f>[5]trip_summary_region!C137</f>
        <v>2023</v>
      </c>
      <c r="D137">
        <f>[5]trip_summary_region!D137</f>
        <v>33</v>
      </c>
      <c r="E137">
        <f>[5]trip_summary_region!E137</f>
        <v>75</v>
      </c>
      <c r="F137">
        <f>[5]trip_summary_region!F137</f>
        <v>5.5646096021</v>
      </c>
      <c r="G137">
        <f>[5]trip_summary_region!G137</f>
        <v>0</v>
      </c>
      <c r="H137">
        <f>[5]trip_summary_region!H137</f>
        <v>1.5669984149</v>
      </c>
      <c r="I137" t="str">
        <f>[5]trip_summary_region!I137</f>
        <v>Local Ferry</v>
      </c>
      <c r="J137" t="str">
        <f>[5]trip_summary_region!J137</f>
        <v>2022/23</v>
      </c>
    </row>
    <row r="138" spans="1:10" x14ac:dyDescent="0.2">
      <c r="A138" t="str">
        <f>[5]trip_summary_region!A138</f>
        <v>02 AUCKLAND</v>
      </c>
      <c r="B138">
        <f>[5]trip_summary_region!B138</f>
        <v>8</v>
      </c>
      <c r="C138">
        <f>[5]trip_summary_region!C138</f>
        <v>2028</v>
      </c>
      <c r="D138">
        <f>[5]trip_summary_region!D138</f>
        <v>33</v>
      </c>
      <c r="E138">
        <f>[5]trip_summary_region!E138</f>
        <v>75</v>
      </c>
      <c r="F138">
        <f>[5]trip_summary_region!F138</f>
        <v>5.8640151065000001</v>
      </c>
      <c r="G138">
        <f>[5]trip_summary_region!G138</f>
        <v>0</v>
      </c>
      <c r="H138">
        <f>[5]trip_summary_region!H138</f>
        <v>1.6625321825999999</v>
      </c>
      <c r="I138" t="str">
        <f>[5]trip_summary_region!I138</f>
        <v>Local Ferry</v>
      </c>
      <c r="J138" t="str">
        <f>[5]trip_summary_region!J138</f>
        <v>2027/28</v>
      </c>
    </row>
    <row r="139" spans="1:10" x14ac:dyDescent="0.2">
      <c r="A139" t="str">
        <f>[5]trip_summary_region!A139</f>
        <v>02 AUCKLAND</v>
      </c>
      <c r="B139">
        <f>[5]trip_summary_region!B139</f>
        <v>8</v>
      </c>
      <c r="C139">
        <f>[5]trip_summary_region!C139</f>
        <v>2033</v>
      </c>
      <c r="D139">
        <f>[5]trip_summary_region!D139</f>
        <v>33</v>
      </c>
      <c r="E139">
        <f>[5]trip_summary_region!E139</f>
        <v>75</v>
      </c>
      <c r="F139">
        <f>[5]trip_summary_region!F139</f>
        <v>6.0690330551000002</v>
      </c>
      <c r="G139">
        <f>[5]trip_summary_region!G139</f>
        <v>0</v>
      </c>
      <c r="H139">
        <f>[5]trip_summary_region!H139</f>
        <v>1.7331643551</v>
      </c>
      <c r="I139" t="str">
        <f>[5]trip_summary_region!I139</f>
        <v>Local Ferry</v>
      </c>
      <c r="J139" t="str">
        <f>[5]trip_summary_region!J139</f>
        <v>2032/33</v>
      </c>
    </row>
    <row r="140" spans="1:10" x14ac:dyDescent="0.2">
      <c r="A140" t="str">
        <f>[5]trip_summary_region!A140</f>
        <v>02 AUCKLAND</v>
      </c>
      <c r="B140">
        <f>[5]trip_summary_region!B140</f>
        <v>8</v>
      </c>
      <c r="C140">
        <f>[5]trip_summary_region!C140</f>
        <v>2038</v>
      </c>
      <c r="D140">
        <f>[5]trip_summary_region!D140</f>
        <v>33</v>
      </c>
      <c r="E140">
        <f>[5]trip_summary_region!E140</f>
        <v>75</v>
      </c>
      <c r="F140">
        <f>[5]trip_summary_region!F140</f>
        <v>6.3985964363000001</v>
      </c>
      <c r="G140">
        <f>[5]trip_summary_region!G140</f>
        <v>0</v>
      </c>
      <c r="H140">
        <f>[5]trip_summary_region!H140</f>
        <v>1.8372937092999999</v>
      </c>
      <c r="I140" t="str">
        <f>[5]trip_summary_region!I140</f>
        <v>Local Ferry</v>
      </c>
      <c r="J140" t="str">
        <f>[5]trip_summary_region!J140</f>
        <v>2037/38</v>
      </c>
    </row>
    <row r="141" spans="1:10" x14ac:dyDescent="0.2">
      <c r="A141" t="str">
        <f>[5]trip_summary_region!A141</f>
        <v>02 AUCKLAND</v>
      </c>
      <c r="B141">
        <f>[5]trip_summary_region!B141</f>
        <v>8</v>
      </c>
      <c r="C141">
        <f>[5]trip_summary_region!C141</f>
        <v>2043</v>
      </c>
      <c r="D141">
        <f>[5]trip_summary_region!D141</f>
        <v>33</v>
      </c>
      <c r="E141">
        <f>[5]trip_summary_region!E141</f>
        <v>75</v>
      </c>
      <c r="F141">
        <f>[5]trip_summary_region!F141</f>
        <v>6.6357903042000004</v>
      </c>
      <c r="G141">
        <f>[5]trip_summary_region!G141</f>
        <v>0</v>
      </c>
      <c r="H141">
        <f>[5]trip_summary_region!H141</f>
        <v>1.9175411344</v>
      </c>
      <c r="I141" t="str">
        <f>[5]trip_summary_region!I141</f>
        <v>Local Ferry</v>
      </c>
      <c r="J141" t="str">
        <f>[5]trip_summary_region!J141</f>
        <v>2042/43</v>
      </c>
    </row>
    <row r="142" spans="1:10" x14ac:dyDescent="0.2">
      <c r="A142" t="str">
        <f>[5]trip_summary_region!A142</f>
        <v>02 AUCKLAND</v>
      </c>
      <c r="B142">
        <f>[5]trip_summary_region!B142</f>
        <v>9</v>
      </c>
      <c r="C142">
        <f>[5]trip_summary_region!C142</f>
        <v>2013</v>
      </c>
      <c r="D142">
        <f>[5]trip_summary_region!D142</f>
        <v>21</v>
      </c>
      <c r="E142">
        <f>[5]trip_summary_region!E142</f>
        <v>52</v>
      </c>
      <c r="F142">
        <f>[5]trip_summary_region!F142</f>
        <v>2.2145179384000002</v>
      </c>
      <c r="G142">
        <f>[5]trip_summary_region!G142</f>
        <v>1.8241938706</v>
      </c>
      <c r="H142">
        <f>[5]trip_summary_region!H142</f>
        <v>2.4325058500000001</v>
      </c>
      <c r="I142" t="str">
        <f>[5]trip_summary_region!I142</f>
        <v>Other Household Travel</v>
      </c>
      <c r="J142" t="str">
        <f>[5]trip_summary_region!J142</f>
        <v>2012/13</v>
      </c>
    </row>
    <row r="143" spans="1:10" x14ac:dyDescent="0.2">
      <c r="A143" t="str">
        <f>[5]trip_summary_region!A143</f>
        <v>02 AUCKLAND</v>
      </c>
      <c r="B143">
        <f>[5]trip_summary_region!B143</f>
        <v>9</v>
      </c>
      <c r="C143">
        <f>[5]trip_summary_region!C143</f>
        <v>2018</v>
      </c>
      <c r="D143">
        <f>[5]trip_summary_region!D143</f>
        <v>21</v>
      </c>
      <c r="E143">
        <f>[5]trip_summary_region!E143</f>
        <v>52</v>
      </c>
      <c r="F143">
        <f>[5]trip_summary_region!F143</f>
        <v>2.6861294898999999</v>
      </c>
      <c r="G143">
        <f>[5]trip_summary_region!G143</f>
        <v>1.8041545906000001</v>
      </c>
      <c r="H143">
        <f>[5]trip_summary_region!H143</f>
        <v>3.1116808010999999</v>
      </c>
      <c r="I143" t="str">
        <f>[5]trip_summary_region!I143</f>
        <v>Other Household Travel</v>
      </c>
      <c r="J143" t="str">
        <f>[5]trip_summary_region!J143</f>
        <v>2017/18</v>
      </c>
    </row>
    <row r="144" spans="1:10" x14ac:dyDescent="0.2">
      <c r="A144" t="str">
        <f>[5]trip_summary_region!A144</f>
        <v>02 AUCKLAND</v>
      </c>
      <c r="B144">
        <f>[5]trip_summary_region!B144</f>
        <v>9</v>
      </c>
      <c r="C144">
        <f>[5]trip_summary_region!C144</f>
        <v>2023</v>
      </c>
      <c r="D144">
        <f>[5]trip_summary_region!D144</f>
        <v>21</v>
      </c>
      <c r="E144">
        <f>[5]trip_summary_region!E144</f>
        <v>52</v>
      </c>
      <c r="F144">
        <f>[5]trip_summary_region!F144</f>
        <v>2.7512611528000002</v>
      </c>
      <c r="G144">
        <f>[5]trip_summary_region!G144</f>
        <v>1.3832028404000001</v>
      </c>
      <c r="H144">
        <f>[5]trip_summary_region!H144</f>
        <v>3.1571566775000002</v>
      </c>
      <c r="I144" t="str">
        <f>[5]trip_summary_region!I144</f>
        <v>Other Household Travel</v>
      </c>
      <c r="J144" t="str">
        <f>[5]trip_summary_region!J144</f>
        <v>2022/23</v>
      </c>
    </row>
    <row r="145" spans="1:10" x14ac:dyDescent="0.2">
      <c r="A145" t="str">
        <f>[5]trip_summary_region!A145</f>
        <v>02 AUCKLAND</v>
      </c>
      <c r="B145">
        <f>[5]trip_summary_region!B145</f>
        <v>9</v>
      </c>
      <c r="C145">
        <f>[5]trip_summary_region!C145</f>
        <v>2028</v>
      </c>
      <c r="D145">
        <f>[5]trip_summary_region!D145</f>
        <v>21</v>
      </c>
      <c r="E145">
        <f>[5]trip_summary_region!E145</f>
        <v>52</v>
      </c>
      <c r="F145">
        <f>[5]trip_summary_region!F145</f>
        <v>3.0173034431999999</v>
      </c>
      <c r="G145">
        <f>[5]trip_summary_region!G145</f>
        <v>1.5365870468</v>
      </c>
      <c r="H145">
        <f>[5]trip_summary_region!H145</f>
        <v>3.3012372354999999</v>
      </c>
      <c r="I145" t="str">
        <f>[5]trip_summary_region!I145</f>
        <v>Other Household Travel</v>
      </c>
      <c r="J145" t="str">
        <f>[5]trip_summary_region!J145</f>
        <v>2027/28</v>
      </c>
    </row>
    <row r="146" spans="1:10" x14ac:dyDescent="0.2">
      <c r="A146" t="str">
        <f>[5]trip_summary_region!A146</f>
        <v>02 AUCKLAND</v>
      </c>
      <c r="B146">
        <f>[5]trip_summary_region!B146</f>
        <v>9</v>
      </c>
      <c r="C146">
        <f>[5]trip_summary_region!C146</f>
        <v>2033</v>
      </c>
      <c r="D146">
        <f>[5]trip_summary_region!D146</f>
        <v>21</v>
      </c>
      <c r="E146">
        <f>[5]trip_summary_region!E146</f>
        <v>52</v>
      </c>
      <c r="F146">
        <f>[5]trip_summary_region!F146</f>
        <v>3.2698787788999999</v>
      </c>
      <c r="G146">
        <f>[5]trip_summary_region!G146</f>
        <v>1.5698518249</v>
      </c>
      <c r="H146">
        <f>[5]trip_summary_region!H146</f>
        <v>3.4495114131000002</v>
      </c>
      <c r="I146" t="str">
        <f>[5]trip_summary_region!I146</f>
        <v>Other Household Travel</v>
      </c>
      <c r="J146" t="str">
        <f>[5]trip_summary_region!J146</f>
        <v>2032/33</v>
      </c>
    </row>
    <row r="147" spans="1:10" x14ac:dyDescent="0.2">
      <c r="A147" t="str">
        <f>[5]trip_summary_region!A147</f>
        <v>02 AUCKLAND</v>
      </c>
      <c r="B147">
        <f>[5]trip_summary_region!B147</f>
        <v>9</v>
      </c>
      <c r="C147">
        <f>[5]trip_summary_region!C147</f>
        <v>2038</v>
      </c>
      <c r="D147">
        <f>[5]trip_summary_region!D147</f>
        <v>21</v>
      </c>
      <c r="E147">
        <f>[5]trip_summary_region!E147</f>
        <v>52</v>
      </c>
      <c r="F147">
        <f>[5]trip_summary_region!F147</f>
        <v>3.5384276850999998</v>
      </c>
      <c r="G147">
        <f>[5]trip_summary_region!G147</f>
        <v>1.4976773827000001</v>
      </c>
      <c r="H147">
        <f>[5]trip_summary_region!H147</f>
        <v>3.6693695749000002</v>
      </c>
      <c r="I147" t="str">
        <f>[5]trip_summary_region!I147</f>
        <v>Other Household Travel</v>
      </c>
      <c r="J147" t="str">
        <f>[5]trip_summary_region!J147</f>
        <v>2037/38</v>
      </c>
    </row>
    <row r="148" spans="1:10" x14ac:dyDescent="0.2">
      <c r="A148" t="str">
        <f>[5]trip_summary_region!A148</f>
        <v>02 AUCKLAND</v>
      </c>
      <c r="B148">
        <f>[5]trip_summary_region!B148</f>
        <v>9</v>
      </c>
      <c r="C148">
        <f>[5]trip_summary_region!C148</f>
        <v>2043</v>
      </c>
      <c r="D148">
        <f>[5]trip_summary_region!D148</f>
        <v>21</v>
      </c>
      <c r="E148">
        <f>[5]trip_summary_region!E148</f>
        <v>52</v>
      </c>
      <c r="F148">
        <f>[5]trip_summary_region!F148</f>
        <v>3.7948069404</v>
      </c>
      <c r="G148">
        <f>[5]trip_summary_region!G148</f>
        <v>1.4005667673</v>
      </c>
      <c r="H148">
        <f>[5]trip_summary_region!H148</f>
        <v>3.8737816331000001</v>
      </c>
      <c r="I148" t="str">
        <f>[5]trip_summary_region!I148</f>
        <v>Other Household Travel</v>
      </c>
      <c r="J148" t="str">
        <f>[5]trip_summary_region!J148</f>
        <v>2042/43</v>
      </c>
    </row>
    <row r="149" spans="1:10" x14ac:dyDescent="0.2">
      <c r="A149" t="str">
        <f>[5]trip_summary_region!A149</f>
        <v>02 AUCKLAND</v>
      </c>
      <c r="B149">
        <f>[5]trip_summary_region!B149</f>
        <v>10</v>
      </c>
      <c r="C149">
        <f>[5]trip_summary_region!C149</f>
        <v>2013</v>
      </c>
      <c r="D149">
        <f>[5]trip_summary_region!D149</f>
        <v>46</v>
      </c>
      <c r="E149">
        <f>[5]trip_summary_region!E149</f>
        <v>52</v>
      </c>
      <c r="F149">
        <f>[5]trip_summary_region!F149</f>
        <v>2.8879196329000001</v>
      </c>
      <c r="G149">
        <f>[5]trip_summary_region!G149</f>
        <v>37.321781539</v>
      </c>
      <c r="H149">
        <f>[5]trip_summary_region!H149</f>
        <v>5.1213278228999997</v>
      </c>
      <c r="I149" t="str">
        <f>[5]trip_summary_region!I149</f>
        <v>Air/Non-Local PT</v>
      </c>
      <c r="J149" t="str">
        <f>[5]trip_summary_region!J149</f>
        <v>2012/13</v>
      </c>
    </row>
    <row r="150" spans="1:10" x14ac:dyDescent="0.2">
      <c r="A150" t="str">
        <f>[5]trip_summary_region!A150</f>
        <v>02 AUCKLAND</v>
      </c>
      <c r="B150">
        <f>[5]trip_summary_region!B150</f>
        <v>10</v>
      </c>
      <c r="C150">
        <f>[5]trip_summary_region!C150</f>
        <v>2018</v>
      </c>
      <c r="D150">
        <f>[5]trip_summary_region!D150</f>
        <v>46</v>
      </c>
      <c r="E150">
        <f>[5]trip_summary_region!E150</f>
        <v>52</v>
      </c>
      <c r="F150">
        <f>[5]trip_summary_region!F150</f>
        <v>4.0600418681999999</v>
      </c>
      <c r="G150">
        <f>[5]trip_summary_region!G150</f>
        <v>47.627391338000002</v>
      </c>
      <c r="H150">
        <f>[5]trip_summary_region!H150</f>
        <v>7.0922870394000004</v>
      </c>
      <c r="I150" t="str">
        <f>[5]trip_summary_region!I150</f>
        <v>Air/Non-Local PT</v>
      </c>
      <c r="J150" t="str">
        <f>[5]trip_summary_region!J150</f>
        <v>2017/18</v>
      </c>
    </row>
    <row r="151" spans="1:10" x14ac:dyDescent="0.2">
      <c r="A151" t="str">
        <f>[5]trip_summary_region!A151</f>
        <v>02 AUCKLAND</v>
      </c>
      <c r="B151">
        <f>[5]trip_summary_region!B151</f>
        <v>10</v>
      </c>
      <c r="C151">
        <f>[5]trip_summary_region!C151</f>
        <v>2023</v>
      </c>
      <c r="D151">
        <f>[5]trip_summary_region!D151</f>
        <v>46</v>
      </c>
      <c r="E151">
        <f>[5]trip_summary_region!E151</f>
        <v>52</v>
      </c>
      <c r="F151">
        <f>[5]trip_summary_region!F151</f>
        <v>4.6354332832000003</v>
      </c>
      <c r="G151">
        <f>[5]trip_summary_region!G151</f>
        <v>51.906815350000002</v>
      </c>
      <c r="H151">
        <f>[5]trip_summary_region!H151</f>
        <v>7.9706179388000002</v>
      </c>
      <c r="I151" t="str">
        <f>[5]trip_summary_region!I151</f>
        <v>Air/Non-Local PT</v>
      </c>
      <c r="J151" t="str">
        <f>[5]trip_summary_region!J151</f>
        <v>2022/23</v>
      </c>
    </row>
    <row r="152" spans="1:10" x14ac:dyDescent="0.2">
      <c r="A152" t="str">
        <f>[5]trip_summary_region!A152</f>
        <v>02 AUCKLAND</v>
      </c>
      <c r="B152">
        <f>[5]trip_summary_region!B152</f>
        <v>10</v>
      </c>
      <c r="C152">
        <f>[5]trip_summary_region!C152</f>
        <v>2028</v>
      </c>
      <c r="D152">
        <f>[5]trip_summary_region!D152</f>
        <v>46</v>
      </c>
      <c r="E152">
        <f>[5]trip_summary_region!E152</f>
        <v>52</v>
      </c>
      <c r="F152">
        <f>[5]trip_summary_region!F152</f>
        <v>5.4127038574000004</v>
      </c>
      <c r="G152">
        <f>[5]trip_summary_region!G152</f>
        <v>56.985051042000002</v>
      </c>
      <c r="H152">
        <f>[5]trip_summary_region!H152</f>
        <v>9.1348529507999991</v>
      </c>
      <c r="I152" t="str">
        <f>[5]trip_summary_region!I152</f>
        <v>Air/Non-Local PT</v>
      </c>
      <c r="J152" t="str">
        <f>[5]trip_summary_region!J152</f>
        <v>2027/28</v>
      </c>
    </row>
    <row r="153" spans="1:10" x14ac:dyDescent="0.2">
      <c r="A153" t="str">
        <f>[5]trip_summary_region!A153</f>
        <v>02 AUCKLAND</v>
      </c>
      <c r="B153">
        <f>[5]trip_summary_region!B153</f>
        <v>10</v>
      </c>
      <c r="C153">
        <f>[5]trip_summary_region!C153</f>
        <v>2033</v>
      </c>
      <c r="D153">
        <f>[5]trip_summary_region!D153</f>
        <v>46</v>
      </c>
      <c r="E153">
        <f>[5]trip_summary_region!E153</f>
        <v>52</v>
      </c>
      <c r="F153">
        <f>[5]trip_summary_region!F153</f>
        <v>6.2241309449999997</v>
      </c>
      <c r="G153">
        <f>[5]trip_summary_region!G153</f>
        <v>61.272674006999999</v>
      </c>
      <c r="H153">
        <f>[5]trip_summary_region!H153</f>
        <v>10.392521235</v>
      </c>
      <c r="I153" t="str">
        <f>[5]trip_summary_region!I153</f>
        <v>Air/Non-Local PT</v>
      </c>
      <c r="J153" t="str">
        <f>[5]trip_summary_region!J153</f>
        <v>2032/33</v>
      </c>
    </row>
    <row r="154" spans="1:10" x14ac:dyDescent="0.2">
      <c r="A154" t="str">
        <f>[5]trip_summary_region!A154</f>
        <v>02 AUCKLAND</v>
      </c>
      <c r="B154">
        <f>[5]trip_summary_region!B154</f>
        <v>10</v>
      </c>
      <c r="C154">
        <f>[5]trip_summary_region!C154</f>
        <v>2038</v>
      </c>
      <c r="D154">
        <f>[5]trip_summary_region!D154</f>
        <v>46</v>
      </c>
      <c r="E154">
        <f>[5]trip_summary_region!E154</f>
        <v>52</v>
      </c>
      <c r="F154">
        <f>[5]trip_summary_region!F154</f>
        <v>7.1000381161000004</v>
      </c>
      <c r="G154">
        <f>[5]trip_summary_region!G154</f>
        <v>70.133952074999996</v>
      </c>
      <c r="H154">
        <f>[5]trip_summary_region!H154</f>
        <v>11.827700292999999</v>
      </c>
      <c r="I154" t="str">
        <f>[5]trip_summary_region!I154</f>
        <v>Air/Non-Local PT</v>
      </c>
      <c r="J154" t="str">
        <f>[5]trip_summary_region!J154</f>
        <v>2037/38</v>
      </c>
    </row>
    <row r="155" spans="1:10" x14ac:dyDescent="0.2">
      <c r="A155" t="str">
        <f>[5]trip_summary_region!A155</f>
        <v>02 AUCKLAND</v>
      </c>
      <c r="B155">
        <f>[5]trip_summary_region!B155</f>
        <v>10</v>
      </c>
      <c r="C155">
        <f>[5]trip_summary_region!C155</f>
        <v>2043</v>
      </c>
      <c r="D155">
        <f>[5]trip_summary_region!D155</f>
        <v>46</v>
      </c>
      <c r="E155">
        <f>[5]trip_summary_region!E155</f>
        <v>52</v>
      </c>
      <c r="F155">
        <f>[5]trip_summary_region!F155</f>
        <v>7.9611539124000004</v>
      </c>
      <c r="G155">
        <f>[5]trip_summary_region!G155</f>
        <v>80.373990688000006</v>
      </c>
      <c r="H155">
        <f>[5]trip_summary_region!H155</f>
        <v>13.252737322</v>
      </c>
      <c r="I155" t="str">
        <f>[5]trip_summary_region!I155</f>
        <v>Air/Non-Local PT</v>
      </c>
      <c r="J155" t="str">
        <f>[5]trip_summary_region!J155</f>
        <v>2042/43</v>
      </c>
    </row>
    <row r="156" spans="1:10" x14ac:dyDescent="0.2">
      <c r="A156" t="str">
        <f>[5]trip_summary_region!A156</f>
        <v>02 AUCKLAND</v>
      </c>
      <c r="B156">
        <f>[5]trip_summary_region!B156</f>
        <v>11</v>
      </c>
      <c r="C156">
        <f>[5]trip_summary_region!C156</f>
        <v>2013</v>
      </c>
      <c r="D156">
        <f>[5]trip_summary_region!D156</f>
        <v>49</v>
      </c>
      <c r="E156">
        <f>[5]trip_summary_region!E156</f>
        <v>220</v>
      </c>
      <c r="F156">
        <f>[5]trip_summary_region!F156</f>
        <v>12.895006201999999</v>
      </c>
      <c r="G156">
        <f>[5]trip_summary_region!G156</f>
        <v>179.51641304</v>
      </c>
      <c r="H156">
        <f>[5]trip_summary_region!H156</f>
        <v>5.2074041506000004</v>
      </c>
      <c r="I156" t="str">
        <f>[5]trip_summary_region!I156</f>
        <v>Non-Household Travel</v>
      </c>
      <c r="J156" t="str">
        <f>[5]trip_summary_region!J156</f>
        <v>2012/13</v>
      </c>
    </row>
    <row r="157" spans="1:10" x14ac:dyDescent="0.2">
      <c r="A157" t="str">
        <f>[5]trip_summary_region!A157</f>
        <v>02 AUCKLAND</v>
      </c>
      <c r="B157">
        <f>[5]trip_summary_region!B157</f>
        <v>11</v>
      </c>
      <c r="C157">
        <f>[5]trip_summary_region!C157</f>
        <v>2018</v>
      </c>
      <c r="D157">
        <f>[5]trip_summary_region!D157</f>
        <v>49</v>
      </c>
      <c r="E157">
        <f>[5]trip_summary_region!E157</f>
        <v>220</v>
      </c>
      <c r="F157">
        <f>[5]trip_summary_region!F157</f>
        <v>15.349214713</v>
      </c>
      <c r="G157">
        <f>[5]trip_summary_region!G157</f>
        <v>209.27518928000001</v>
      </c>
      <c r="H157">
        <f>[5]trip_summary_region!H157</f>
        <v>6.1550699413999999</v>
      </c>
      <c r="I157" t="str">
        <f>[5]trip_summary_region!I157</f>
        <v>Non-Household Travel</v>
      </c>
      <c r="J157" t="str">
        <f>[5]trip_summary_region!J157</f>
        <v>2017/18</v>
      </c>
    </row>
    <row r="158" spans="1:10" x14ac:dyDescent="0.2">
      <c r="A158" t="str">
        <f>[5]trip_summary_region!A158</f>
        <v>02 AUCKLAND</v>
      </c>
      <c r="B158">
        <f>[5]trip_summary_region!B158</f>
        <v>11</v>
      </c>
      <c r="C158">
        <f>[5]trip_summary_region!C158</f>
        <v>2023</v>
      </c>
      <c r="D158">
        <f>[5]trip_summary_region!D158</f>
        <v>49</v>
      </c>
      <c r="E158">
        <f>[5]trip_summary_region!E158</f>
        <v>220</v>
      </c>
      <c r="F158">
        <f>[5]trip_summary_region!F158</f>
        <v>15.295279665000001</v>
      </c>
      <c r="G158">
        <f>[5]trip_summary_region!G158</f>
        <v>203.99961884000001</v>
      </c>
      <c r="H158">
        <f>[5]trip_summary_region!H158</f>
        <v>6.0673755032000001</v>
      </c>
      <c r="I158" t="str">
        <f>[5]trip_summary_region!I158</f>
        <v>Non-Household Travel</v>
      </c>
      <c r="J158" t="str">
        <f>[5]trip_summary_region!J158</f>
        <v>2022/23</v>
      </c>
    </row>
    <row r="159" spans="1:10" x14ac:dyDescent="0.2">
      <c r="A159" t="str">
        <f>[5]trip_summary_region!A159</f>
        <v>02 AUCKLAND</v>
      </c>
      <c r="B159">
        <f>[5]trip_summary_region!B159</f>
        <v>11</v>
      </c>
      <c r="C159">
        <f>[5]trip_summary_region!C159</f>
        <v>2028</v>
      </c>
      <c r="D159">
        <f>[5]trip_summary_region!D159</f>
        <v>49</v>
      </c>
      <c r="E159">
        <f>[5]trip_summary_region!E159</f>
        <v>220</v>
      </c>
      <c r="F159">
        <f>[5]trip_summary_region!F159</f>
        <v>15.942493065000001</v>
      </c>
      <c r="G159">
        <f>[5]trip_summary_region!G159</f>
        <v>208.48104644</v>
      </c>
      <c r="H159">
        <f>[5]trip_summary_region!H159</f>
        <v>6.2515370013</v>
      </c>
      <c r="I159" t="str">
        <f>[5]trip_summary_region!I159</f>
        <v>Non-Household Travel</v>
      </c>
      <c r="J159" t="str">
        <f>[5]trip_summary_region!J159</f>
        <v>2027/28</v>
      </c>
    </row>
    <row r="160" spans="1:10" x14ac:dyDescent="0.2">
      <c r="A160" t="str">
        <f>[5]trip_summary_region!A160</f>
        <v>02 AUCKLAND</v>
      </c>
      <c r="B160">
        <f>[5]trip_summary_region!B160</f>
        <v>11</v>
      </c>
      <c r="C160">
        <f>[5]trip_summary_region!C160</f>
        <v>2033</v>
      </c>
      <c r="D160">
        <f>[5]trip_summary_region!D160</f>
        <v>49</v>
      </c>
      <c r="E160">
        <f>[5]trip_summary_region!E160</f>
        <v>220</v>
      </c>
      <c r="F160">
        <f>[5]trip_summary_region!F160</f>
        <v>16.795035911999999</v>
      </c>
      <c r="G160">
        <f>[5]trip_summary_region!G160</f>
        <v>215.39122527000001</v>
      </c>
      <c r="H160">
        <f>[5]trip_summary_region!H160</f>
        <v>6.5451132958000002</v>
      </c>
      <c r="I160" t="str">
        <f>[5]trip_summary_region!I160</f>
        <v>Non-Household Travel</v>
      </c>
      <c r="J160" t="str">
        <f>[5]trip_summary_region!J160</f>
        <v>2032/33</v>
      </c>
    </row>
    <row r="161" spans="1:10" x14ac:dyDescent="0.2">
      <c r="A161" t="str">
        <f>[5]trip_summary_region!A161</f>
        <v>02 AUCKLAND</v>
      </c>
      <c r="B161">
        <f>[5]trip_summary_region!B161</f>
        <v>11</v>
      </c>
      <c r="C161">
        <f>[5]trip_summary_region!C161</f>
        <v>2038</v>
      </c>
      <c r="D161">
        <f>[5]trip_summary_region!D161</f>
        <v>49</v>
      </c>
      <c r="E161">
        <f>[5]trip_summary_region!E161</f>
        <v>220</v>
      </c>
      <c r="F161">
        <f>[5]trip_summary_region!F161</f>
        <v>17.955061572999998</v>
      </c>
      <c r="G161">
        <f>[5]trip_summary_region!G161</f>
        <v>227.04533434000001</v>
      </c>
      <c r="H161">
        <f>[5]trip_summary_region!H161</f>
        <v>6.9769022114999997</v>
      </c>
      <c r="I161" t="str">
        <f>[5]trip_summary_region!I161</f>
        <v>Non-Household Travel</v>
      </c>
      <c r="J161" t="str">
        <f>[5]trip_summary_region!J161</f>
        <v>2037/38</v>
      </c>
    </row>
    <row r="162" spans="1:10" x14ac:dyDescent="0.2">
      <c r="A162" t="str">
        <f>[5]trip_summary_region!A162</f>
        <v>02 AUCKLAND</v>
      </c>
      <c r="B162">
        <f>[5]trip_summary_region!B162</f>
        <v>11</v>
      </c>
      <c r="C162">
        <f>[5]trip_summary_region!C162</f>
        <v>2043</v>
      </c>
      <c r="D162">
        <f>[5]trip_summary_region!D162</f>
        <v>49</v>
      </c>
      <c r="E162">
        <f>[5]trip_summary_region!E162</f>
        <v>220</v>
      </c>
      <c r="F162">
        <f>[5]trip_summary_region!F162</f>
        <v>19.085940609000001</v>
      </c>
      <c r="G162">
        <f>[5]trip_summary_region!G162</f>
        <v>238.39953797000001</v>
      </c>
      <c r="H162">
        <f>[5]trip_summary_region!H162</f>
        <v>7.4062663757999996</v>
      </c>
      <c r="I162" t="str">
        <f>[5]trip_summary_region!I162</f>
        <v>Non-Household Travel</v>
      </c>
      <c r="J162" t="str">
        <f>[5]trip_summary_region!J162</f>
        <v>2042/43</v>
      </c>
    </row>
    <row r="163" spans="1:10" x14ac:dyDescent="0.2">
      <c r="A163" t="str">
        <f>[5]trip_summary_region!A163</f>
        <v>03 WAIKATO</v>
      </c>
      <c r="B163">
        <f>[5]trip_summary_region!B163</f>
        <v>0</v>
      </c>
      <c r="C163">
        <f>[5]trip_summary_region!C163</f>
        <v>2013</v>
      </c>
      <c r="D163">
        <f>[5]trip_summary_region!D163</f>
        <v>628</v>
      </c>
      <c r="E163">
        <f>[5]trip_summary_region!E163</f>
        <v>2089</v>
      </c>
      <c r="F163">
        <f>[5]trip_summary_region!F163</f>
        <v>68.689195601999998</v>
      </c>
      <c r="G163">
        <f>[5]trip_summary_region!G163</f>
        <v>52.675735545000002</v>
      </c>
      <c r="H163">
        <f>[5]trip_summary_region!H163</f>
        <v>13.69170819</v>
      </c>
      <c r="I163" t="str">
        <f>[5]trip_summary_region!I163</f>
        <v>Pedestrian</v>
      </c>
      <c r="J163" t="str">
        <f>[5]trip_summary_region!J163</f>
        <v>2012/13</v>
      </c>
    </row>
    <row r="164" spans="1:10" x14ac:dyDescent="0.2">
      <c r="A164" t="str">
        <f>[5]trip_summary_region!A164</f>
        <v>03 WAIKATO</v>
      </c>
      <c r="B164">
        <f>[5]trip_summary_region!B164</f>
        <v>0</v>
      </c>
      <c r="C164">
        <f>[5]trip_summary_region!C164</f>
        <v>2018</v>
      </c>
      <c r="D164">
        <f>[5]trip_summary_region!D164</f>
        <v>628</v>
      </c>
      <c r="E164">
        <f>[5]trip_summary_region!E164</f>
        <v>2089</v>
      </c>
      <c r="F164">
        <f>[5]trip_summary_region!F164</f>
        <v>77.477468924999997</v>
      </c>
      <c r="G164">
        <f>[5]trip_summary_region!G164</f>
        <v>59.053394075</v>
      </c>
      <c r="H164">
        <f>[5]trip_summary_region!H164</f>
        <v>15.269363514</v>
      </c>
      <c r="I164" t="str">
        <f>[5]trip_summary_region!I164</f>
        <v>Pedestrian</v>
      </c>
      <c r="J164" t="str">
        <f>[5]trip_summary_region!J164</f>
        <v>2017/18</v>
      </c>
    </row>
    <row r="165" spans="1:10" x14ac:dyDescent="0.2">
      <c r="A165" t="str">
        <f>[5]trip_summary_region!A165</f>
        <v>03 WAIKATO</v>
      </c>
      <c r="B165">
        <f>[5]trip_summary_region!B165</f>
        <v>0</v>
      </c>
      <c r="C165">
        <f>[5]trip_summary_region!C165</f>
        <v>2023</v>
      </c>
      <c r="D165">
        <f>[5]trip_summary_region!D165</f>
        <v>628</v>
      </c>
      <c r="E165">
        <f>[5]trip_summary_region!E165</f>
        <v>2089</v>
      </c>
      <c r="F165">
        <f>[5]trip_summary_region!F165</f>
        <v>82.685328600000005</v>
      </c>
      <c r="G165">
        <f>[5]trip_summary_region!G165</f>
        <v>62.690442572999999</v>
      </c>
      <c r="H165">
        <f>[5]trip_summary_region!H165</f>
        <v>16.189625360000001</v>
      </c>
      <c r="I165" t="str">
        <f>[5]trip_summary_region!I165</f>
        <v>Pedestrian</v>
      </c>
      <c r="J165" t="str">
        <f>[5]trip_summary_region!J165</f>
        <v>2022/23</v>
      </c>
    </row>
    <row r="166" spans="1:10" x14ac:dyDescent="0.2">
      <c r="A166" t="str">
        <f>[5]trip_summary_region!A166</f>
        <v>03 WAIKATO</v>
      </c>
      <c r="B166">
        <f>[5]trip_summary_region!B166</f>
        <v>0</v>
      </c>
      <c r="C166">
        <f>[5]trip_summary_region!C166</f>
        <v>2028</v>
      </c>
      <c r="D166">
        <f>[5]trip_summary_region!D166</f>
        <v>628</v>
      </c>
      <c r="E166">
        <f>[5]trip_summary_region!E166</f>
        <v>2089</v>
      </c>
      <c r="F166">
        <f>[5]trip_summary_region!F166</f>
        <v>88.844293397000001</v>
      </c>
      <c r="G166">
        <f>[5]trip_summary_region!G166</f>
        <v>66.420171280000005</v>
      </c>
      <c r="H166">
        <f>[5]trip_summary_region!H166</f>
        <v>17.120858340000002</v>
      </c>
      <c r="I166" t="str">
        <f>[5]trip_summary_region!I166</f>
        <v>Pedestrian</v>
      </c>
      <c r="J166" t="str">
        <f>[5]trip_summary_region!J166</f>
        <v>2027/28</v>
      </c>
    </row>
    <row r="167" spans="1:10" x14ac:dyDescent="0.2">
      <c r="A167" t="str">
        <f>[5]trip_summary_region!A167</f>
        <v>03 WAIKATO</v>
      </c>
      <c r="B167">
        <f>[5]trip_summary_region!B167</f>
        <v>0</v>
      </c>
      <c r="C167">
        <f>[5]trip_summary_region!C167</f>
        <v>2033</v>
      </c>
      <c r="D167">
        <f>[5]trip_summary_region!D167</f>
        <v>628</v>
      </c>
      <c r="E167">
        <f>[5]trip_summary_region!E167</f>
        <v>2089</v>
      </c>
      <c r="F167">
        <f>[5]trip_summary_region!F167</f>
        <v>94.012953396</v>
      </c>
      <c r="G167">
        <f>[5]trip_summary_region!G167</f>
        <v>69.153630092</v>
      </c>
      <c r="H167">
        <f>[5]trip_summary_region!H167</f>
        <v>17.844610328000002</v>
      </c>
      <c r="I167" t="str">
        <f>[5]trip_summary_region!I167</f>
        <v>Pedestrian</v>
      </c>
      <c r="J167" t="str">
        <f>[5]trip_summary_region!J167</f>
        <v>2032/33</v>
      </c>
    </row>
    <row r="168" spans="1:10" x14ac:dyDescent="0.2">
      <c r="A168" t="str">
        <f>[5]trip_summary_region!A168</f>
        <v>03 WAIKATO</v>
      </c>
      <c r="B168">
        <f>[5]trip_summary_region!B168</f>
        <v>0</v>
      </c>
      <c r="C168">
        <f>[5]trip_summary_region!C168</f>
        <v>2038</v>
      </c>
      <c r="D168">
        <f>[5]trip_summary_region!D168</f>
        <v>628</v>
      </c>
      <c r="E168">
        <f>[5]trip_summary_region!E168</f>
        <v>2089</v>
      </c>
      <c r="F168">
        <f>[5]trip_summary_region!F168</f>
        <v>98.726638777000005</v>
      </c>
      <c r="G168">
        <f>[5]trip_summary_region!G168</f>
        <v>71.819578628000002</v>
      </c>
      <c r="H168">
        <f>[5]trip_summary_region!H168</f>
        <v>18.498591344000001</v>
      </c>
      <c r="I168" t="str">
        <f>[5]trip_summary_region!I168</f>
        <v>Pedestrian</v>
      </c>
      <c r="J168" t="str">
        <f>[5]trip_summary_region!J168</f>
        <v>2037/38</v>
      </c>
    </row>
    <row r="169" spans="1:10" x14ac:dyDescent="0.2">
      <c r="A169" t="str">
        <f>[5]trip_summary_region!A169</f>
        <v>03 WAIKATO</v>
      </c>
      <c r="B169">
        <f>[5]trip_summary_region!B169</f>
        <v>0</v>
      </c>
      <c r="C169">
        <f>[5]trip_summary_region!C169</f>
        <v>2043</v>
      </c>
      <c r="D169">
        <f>[5]trip_summary_region!D169</f>
        <v>628</v>
      </c>
      <c r="E169">
        <f>[5]trip_summary_region!E169</f>
        <v>2089</v>
      </c>
      <c r="F169">
        <f>[5]trip_summary_region!F169</f>
        <v>102.79374092</v>
      </c>
      <c r="G169">
        <f>[5]trip_summary_region!G169</f>
        <v>73.886317947999999</v>
      </c>
      <c r="H169">
        <f>[5]trip_summary_region!H169</f>
        <v>19.008473043999999</v>
      </c>
      <c r="I169" t="str">
        <f>[5]trip_summary_region!I169</f>
        <v>Pedestrian</v>
      </c>
      <c r="J169" t="str">
        <f>[5]trip_summary_region!J169</f>
        <v>2042/43</v>
      </c>
    </row>
    <row r="170" spans="1:10" x14ac:dyDescent="0.2">
      <c r="A170" t="str">
        <f>[5]trip_summary_region!A170</f>
        <v>03 WAIKATO</v>
      </c>
      <c r="B170">
        <f>[5]trip_summary_region!B170</f>
        <v>1</v>
      </c>
      <c r="C170">
        <f>[5]trip_summary_region!C170</f>
        <v>2013</v>
      </c>
      <c r="D170">
        <f>[5]trip_summary_region!D170</f>
        <v>60</v>
      </c>
      <c r="E170">
        <f>[5]trip_summary_region!E170</f>
        <v>183</v>
      </c>
      <c r="F170">
        <f>[5]trip_summary_region!F170</f>
        <v>5.8956498267999997</v>
      </c>
      <c r="G170">
        <f>[5]trip_summary_region!G170</f>
        <v>21.829422874999999</v>
      </c>
      <c r="H170">
        <f>[5]trip_summary_region!H170</f>
        <v>1.7805943500000001</v>
      </c>
      <c r="I170" t="str">
        <f>[5]trip_summary_region!I170</f>
        <v>Cyclist</v>
      </c>
      <c r="J170" t="str">
        <f>[5]trip_summary_region!J170</f>
        <v>2012/13</v>
      </c>
    </row>
    <row r="171" spans="1:10" x14ac:dyDescent="0.2">
      <c r="A171" t="str">
        <f>[5]trip_summary_region!A171</f>
        <v>03 WAIKATO</v>
      </c>
      <c r="B171">
        <f>[5]trip_summary_region!B171</f>
        <v>1</v>
      </c>
      <c r="C171">
        <f>[5]trip_summary_region!C171</f>
        <v>2018</v>
      </c>
      <c r="D171">
        <f>[5]trip_summary_region!D171</f>
        <v>60</v>
      </c>
      <c r="E171">
        <f>[5]trip_summary_region!E171</f>
        <v>183</v>
      </c>
      <c r="F171">
        <f>[5]trip_summary_region!F171</f>
        <v>6.6558277756999997</v>
      </c>
      <c r="G171">
        <f>[5]trip_summary_region!G171</f>
        <v>24.274784031999999</v>
      </c>
      <c r="H171">
        <f>[5]trip_summary_region!H171</f>
        <v>2.034019486</v>
      </c>
      <c r="I171" t="str">
        <f>[5]trip_summary_region!I171</f>
        <v>Cyclist</v>
      </c>
      <c r="J171" t="str">
        <f>[5]trip_summary_region!J171</f>
        <v>2017/18</v>
      </c>
    </row>
    <row r="172" spans="1:10" x14ac:dyDescent="0.2">
      <c r="A172" t="str">
        <f>[5]trip_summary_region!A172</f>
        <v>03 WAIKATO</v>
      </c>
      <c r="B172">
        <f>[5]trip_summary_region!B172</f>
        <v>1</v>
      </c>
      <c r="C172">
        <f>[5]trip_summary_region!C172</f>
        <v>2023</v>
      </c>
      <c r="D172">
        <f>[5]trip_summary_region!D172</f>
        <v>60</v>
      </c>
      <c r="E172">
        <f>[5]trip_summary_region!E172</f>
        <v>183</v>
      </c>
      <c r="F172">
        <f>[5]trip_summary_region!F172</f>
        <v>7.2762665024000004</v>
      </c>
      <c r="G172">
        <f>[5]trip_summary_region!G172</f>
        <v>25.670477012999999</v>
      </c>
      <c r="H172">
        <f>[5]trip_summary_region!H172</f>
        <v>2.2164086065999999</v>
      </c>
      <c r="I172" t="str">
        <f>[5]trip_summary_region!I172</f>
        <v>Cyclist</v>
      </c>
      <c r="J172" t="str">
        <f>[5]trip_summary_region!J172</f>
        <v>2022/23</v>
      </c>
    </row>
    <row r="173" spans="1:10" x14ac:dyDescent="0.2">
      <c r="A173" t="str">
        <f>[5]trip_summary_region!A173</f>
        <v>03 WAIKATO</v>
      </c>
      <c r="B173">
        <f>[5]trip_summary_region!B173</f>
        <v>1</v>
      </c>
      <c r="C173">
        <f>[5]trip_summary_region!C173</f>
        <v>2028</v>
      </c>
      <c r="D173">
        <f>[5]trip_summary_region!D173</f>
        <v>60</v>
      </c>
      <c r="E173">
        <f>[5]trip_summary_region!E173</f>
        <v>183</v>
      </c>
      <c r="F173">
        <f>[5]trip_summary_region!F173</f>
        <v>7.8152054329</v>
      </c>
      <c r="G173">
        <f>[5]trip_summary_region!G173</f>
        <v>26.714640275000001</v>
      </c>
      <c r="H173">
        <f>[5]trip_summary_region!H173</f>
        <v>2.3641233980999998</v>
      </c>
      <c r="I173" t="str">
        <f>[5]trip_summary_region!I173</f>
        <v>Cyclist</v>
      </c>
      <c r="J173" t="str">
        <f>[5]trip_summary_region!J173</f>
        <v>2027/28</v>
      </c>
    </row>
    <row r="174" spans="1:10" x14ac:dyDescent="0.2">
      <c r="A174" t="str">
        <f>[5]trip_summary_region!A174</f>
        <v>03 WAIKATO</v>
      </c>
      <c r="B174">
        <f>[5]trip_summary_region!B174</f>
        <v>1</v>
      </c>
      <c r="C174">
        <f>[5]trip_summary_region!C174</f>
        <v>2033</v>
      </c>
      <c r="D174">
        <f>[5]trip_summary_region!D174</f>
        <v>60</v>
      </c>
      <c r="E174">
        <f>[5]trip_summary_region!E174</f>
        <v>183</v>
      </c>
      <c r="F174">
        <f>[5]trip_summary_region!F174</f>
        <v>8.3755920436999993</v>
      </c>
      <c r="G174">
        <f>[5]trip_summary_region!G174</f>
        <v>27.683568758</v>
      </c>
      <c r="H174">
        <f>[5]trip_summary_region!H174</f>
        <v>2.5238708483000001</v>
      </c>
      <c r="I174" t="str">
        <f>[5]trip_summary_region!I174</f>
        <v>Cyclist</v>
      </c>
      <c r="J174" t="str">
        <f>[5]trip_summary_region!J174</f>
        <v>2032/33</v>
      </c>
    </row>
    <row r="175" spans="1:10" x14ac:dyDescent="0.2">
      <c r="A175" t="str">
        <f>[5]trip_summary_region!A175</f>
        <v>03 WAIKATO</v>
      </c>
      <c r="B175">
        <f>[5]trip_summary_region!B175</f>
        <v>1</v>
      </c>
      <c r="C175">
        <f>[5]trip_summary_region!C175</f>
        <v>2038</v>
      </c>
      <c r="D175">
        <f>[5]trip_summary_region!D175</f>
        <v>60</v>
      </c>
      <c r="E175">
        <f>[5]trip_summary_region!E175</f>
        <v>183</v>
      </c>
      <c r="F175">
        <f>[5]trip_summary_region!F175</f>
        <v>9.0778970890000004</v>
      </c>
      <c r="G175">
        <f>[5]trip_summary_region!G175</f>
        <v>28.752894631</v>
      </c>
      <c r="H175">
        <f>[5]trip_summary_region!H175</f>
        <v>2.7419804357999999</v>
      </c>
      <c r="I175" t="str">
        <f>[5]trip_summary_region!I175</f>
        <v>Cyclist</v>
      </c>
      <c r="J175" t="str">
        <f>[5]trip_summary_region!J175</f>
        <v>2037/38</v>
      </c>
    </row>
    <row r="176" spans="1:10" x14ac:dyDescent="0.2">
      <c r="A176" t="str">
        <f>[5]trip_summary_region!A176</f>
        <v>03 WAIKATO</v>
      </c>
      <c r="B176">
        <f>[5]trip_summary_region!B176</f>
        <v>1</v>
      </c>
      <c r="C176">
        <f>[5]trip_summary_region!C176</f>
        <v>2043</v>
      </c>
      <c r="D176">
        <f>[5]trip_summary_region!D176</f>
        <v>60</v>
      </c>
      <c r="E176">
        <f>[5]trip_summary_region!E176</f>
        <v>183</v>
      </c>
      <c r="F176">
        <f>[5]trip_summary_region!F176</f>
        <v>9.8050515016999995</v>
      </c>
      <c r="G176">
        <f>[5]trip_summary_region!G176</f>
        <v>29.695336135000002</v>
      </c>
      <c r="H176">
        <f>[5]trip_summary_region!H176</f>
        <v>2.9710620366999998</v>
      </c>
      <c r="I176" t="str">
        <f>[5]trip_summary_region!I176</f>
        <v>Cyclist</v>
      </c>
      <c r="J176" t="str">
        <f>[5]trip_summary_region!J176</f>
        <v>2042/43</v>
      </c>
    </row>
    <row r="177" spans="1:10" x14ac:dyDescent="0.2">
      <c r="A177" t="str">
        <f>[5]trip_summary_region!A177</f>
        <v>03 WAIKATO</v>
      </c>
      <c r="B177">
        <f>[5]trip_summary_region!B177</f>
        <v>2</v>
      </c>
      <c r="C177">
        <f>[5]trip_summary_region!C177</f>
        <v>2013</v>
      </c>
      <c r="D177">
        <f>[5]trip_summary_region!D177</f>
        <v>1302</v>
      </c>
      <c r="E177">
        <f>[5]trip_summary_region!E177</f>
        <v>9074</v>
      </c>
      <c r="F177">
        <f>[5]trip_summary_region!F177</f>
        <v>305.41478153000003</v>
      </c>
      <c r="G177">
        <f>[5]trip_summary_region!G177</f>
        <v>3709.9843593000001</v>
      </c>
      <c r="H177">
        <f>[5]trip_summary_region!H177</f>
        <v>82.274552721999996</v>
      </c>
      <c r="I177" t="str">
        <f>[5]trip_summary_region!I177</f>
        <v>Light Vehicle Driver</v>
      </c>
      <c r="J177" t="str">
        <f>[5]trip_summary_region!J177</f>
        <v>2012/13</v>
      </c>
    </row>
    <row r="178" spans="1:10" x14ac:dyDescent="0.2">
      <c r="A178" t="str">
        <f>[5]trip_summary_region!A178</f>
        <v>03 WAIKATO</v>
      </c>
      <c r="B178">
        <f>[5]trip_summary_region!B178</f>
        <v>2</v>
      </c>
      <c r="C178">
        <f>[5]trip_summary_region!C178</f>
        <v>2018</v>
      </c>
      <c r="D178">
        <f>[5]trip_summary_region!D178</f>
        <v>1302</v>
      </c>
      <c r="E178">
        <f>[5]trip_summary_region!E178</f>
        <v>9074</v>
      </c>
      <c r="F178">
        <f>[5]trip_summary_region!F178</f>
        <v>357.39801752</v>
      </c>
      <c r="G178">
        <f>[5]trip_summary_region!G178</f>
        <v>4343.5554576000004</v>
      </c>
      <c r="H178">
        <f>[5]trip_summary_region!H178</f>
        <v>96.329362552000006</v>
      </c>
      <c r="I178" t="str">
        <f>[5]trip_summary_region!I178</f>
        <v>Light Vehicle Driver</v>
      </c>
      <c r="J178" t="str">
        <f>[5]trip_summary_region!J178</f>
        <v>2017/18</v>
      </c>
    </row>
    <row r="179" spans="1:10" x14ac:dyDescent="0.2">
      <c r="A179" t="str">
        <f>[5]trip_summary_region!A179</f>
        <v>03 WAIKATO</v>
      </c>
      <c r="B179">
        <f>[5]trip_summary_region!B179</f>
        <v>2</v>
      </c>
      <c r="C179">
        <f>[5]trip_summary_region!C179</f>
        <v>2023</v>
      </c>
      <c r="D179">
        <f>[5]trip_summary_region!D179</f>
        <v>1302</v>
      </c>
      <c r="E179">
        <f>[5]trip_summary_region!E179</f>
        <v>9074</v>
      </c>
      <c r="F179">
        <f>[5]trip_summary_region!F179</f>
        <v>385.64827931000002</v>
      </c>
      <c r="G179">
        <f>[5]trip_summary_region!G179</f>
        <v>4689.3432284999999</v>
      </c>
      <c r="H179">
        <f>[5]trip_summary_region!H179</f>
        <v>103.82647897</v>
      </c>
      <c r="I179" t="str">
        <f>[5]trip_summary_region!I179</f>
        <v>Light Vehicle Driver</v>
      </c>
      <c r="J179" t="str">
        <f>[5]trip_summary_region!J179</f>
        <v>2022/23</v>
      </c>
    </row>
    <row r="180" spans="1:10" x14ac:dyDescent="0.2">
      <c r="A180" t="str">
        <f>[5]trip_summary_region!A180</f>
        <v>03 WAIKATO</v>
      </c>
      <c r="B180">
        <f>[5]trip_summary_region!B180</f>
        <v>2</v>
      </c>
      <c r="C180">
        <f>[5]trip_summary_region!C180</f>
        <v>2028</v>
      </c>
      <c r="D180">
        <f>[5]trip_summary_region!D180</f>
        <v>1302</v>
      </c>
      <c r="E180">
        <f>[5]trip_summary_region!E180</f>
        <v>9074</v>
      </c>
      <c r="F180">
        <f>[5]trip_summary_region!F180</f>
        <v>421.97454600999998</v>
      </c>
      <c r="G180">
        <f>[5]trip_summary_region!G180</f>
        <v>5140.4926567000002</v>
      </c>
      <c r="H180">
        <f>[5]trip_summary_region!H180</f>
        <v>113.57895027000001</v>
      </c>
      <c r="I180" t="str">
        <f>[5]trip_summary_region!I180</f>
        <v>Light Vehicle Driver</v>
      </c>
      <c r="J180" t="str">
        <f>[5]trip_summary_region!J180</f>
        <v>2027/28</v>
      </c>
    </row>
    <row r="181" spans="1:10" x14ac:dyDescent="0.2">
      <c r="A181" t="str">
        <f>[5]trip_summary_region!A181</f>
        <v>03 WAIKATO</v>
      </c>
      <c r="B181">
        <f>[5]trip_summary_region!B181</f>
        <v>2</v>
      </c>
      <c r="C181">
        <f>[5]trip_summary_region!C181</f>
        <v>2033</v>
      </c>
      <c r="D181">
        <f>[5]trip_summary_region!D181</f>
        <v>1302</v>
      </c>
      <c r="E181">
        <f>[5]trip_summary_region!E181</f>
        <v>9074</v>
      </c>
      <c r="F181">
        <f>[5]trip_summary_region!F181</f>
        <v>454.96527090000001</v>
      </c>
      <c r="G181">
        <f>[5]trip_summary_region!G181</f>
        <v>5548.5474339000002</v>
      </c>
      <c r="H181">
        <f>[5]trip_summary_region!H181</f>
        <v>122.39502364000001</v>
      </c>
      <c r="I181" t="str">
        <f>[5]trip_summary_region!I181</f>
        <v>Light Vehicle Driver</v>
      </c>
      <c r="J181" t="str">
        <f>[5]trip_summary_region!J181</f>
        <v>2032/33</v>
      </c>
    </row>
    <row r="182" spans="1:10" x14ac:dyDescent="0.2">
      <c r="A182" t="str">
        <f>[5]trip_summary_region!A182</f>
        <v>03 WAIKATO</v>
      </c>
      <c r="B182">
        <f>[5]trip_summary_region!B182</f>
        <v>2</v>
      </c>
      <c r="C182">
        <f>[5]trip_summary_region!C182</f>
        <v>2038</v>
      </c>
      <c r="D182">
        <f>[5]trip_summary_region!D182</f>
        <v>1302</v>
      </c>
      <c r="E182">
        <f>[5]trip_summary_region!E182</f>
        <v>9074</v>
      </c>
      <c r="F182">
        <f>[5]trip_summary_region!F182</f>
        <v>484.90380269000002</v>
      </c>
      <c r="G182">
        <f>[5]trip_summary_region!G182</f>
        <v>5907.0401615000001</v>
      </c>
      <c r="H182">
        <f>[5]trip_summary_region!H182</f>
        <v>130.25871015999999</v>
      </c>
      <c r="I182" t="str">
        <f>[5]trip_summary_region!I182</f>
        <v>Light Vehicle Driver</v>
      </c>
      <c r="J182" t="str">
        <f>[5]trip_summary_region!J182</f>
        <v>2037/38</v>
      </c>
    </row>
    <row r="183" spans="1:10" x14ac:dyDescent="0.2">
      <c r="A183" t="str">
        <f>[5]trip_summary_region!A183</f>
        <v>03 WAIKATO</v>
      </c>
      <c r="B183">
        <f>[5]trip_summary_region!B183</f>
        <v>2</v>
      </c>
      <c r="C183">
        <f>[5]trip_summary_region!C183</f>
        <v>2043</v>
      </c>
      <c r="D183">
        <f>[5]trip_summary_region!D183</f>
        <v>1302</v>
      </c>
      <c r="E183">
        <f>[5]trip_summary_region!E183</f>
        <v>9074</v>
      </c>
      <c r="F183">
        <f>[5]trip_summary_region!F183</f>
        <v>511.11804837</v>
      </c>
      <c r="G183">
        <f>[5]trip_summary_region!G183</f>
        <v>6215.4401115000001</v>
      </c>
      <c r="H183">
        <f>[5]trip_summary_region!H183</f>
        <v>137.07093180999999</v>
      </c>
      <c r="I183" t="str">
        <f>[5]trip_summary_region!I183</f>
        <v>Light Vehicle Driver</v>
      </c>
      <c r="J183" t="str">
        <f>[5]trip_summary_region!J183</f>
        <v>2042/43</v>
      </c>
    </row>
    <row r="184" spans="1:10" x14ac:dyDescent="0.2">
      <c r="A184" t="str">
        <f>[5]trip_summary_region!A184</f>
        <v>03 WAIKATO</v>
      </c>
      <c r="B184">
        <f>[5]trip_summary_region!B184</f>
        <v>3</v>
      </c>
      <c r="C184">
        <f>[5]trip_summary_region!C184</f>
        <v>2013</v>
      </c>
      <c r="D184">
        <f>[5]trip_summary_region!D184</f>
        <v>931</v>
      </c>
      <c r="E184">
        <f>[5]trip_summary_region!E184</f>
        <v>4349</v>
      </c>
      <c r="F184">
        <f>[5]trip_summary_region!F184</f>
        <v>139.07206360000001</v>
      </c>
      <c r="G184">
        <f>[5]trip_summary_region!G184</f>
        <v>1955.0668243</v>
      </c>
      <c r="H184">
        <f>[5]trip_summary_region!H184</f>
        <v>42.037273755000001</v>
      </c>
      <c r="I184" t="str">
        <f>[5]trip_summary_region!I184</f>
        <v>Light Vehicle Passenger</v>
      </c>
      <c r="J184" t="str">
        <f>[5]trip_summary_region!J184</f>
        <v>2012/13</v>
      </c>
    </row>
    <row r="185" spans="1:10" x14ac:dyDescent="0.2">
      <c r="A185" t="str">
        <f>[5]trip_summary_region!A185</f>
        <v>03 WAIKATO</v>
      </c>
      <c r="B185">
        <f>[5]trip_summary_region!B185</f>
        <v>3</v>
      </c>
      <c r="C185">
        <f>[5]trip_summary_region!C185</f>
        <v>2018</v>
      </c>
      <c r="D185">
        <f>[5]trip_summary_region!D185</f>
        <v>931</v>
      </c>
      <c r="E185">
        <f>[5]trip_summary_region!E185</f>
        <v>4349</v>
      </c>
      <c r="F185">
        <f>[5]trip_summary_region!F185</f>
        <v>152.70590949999999</v>
      </c>
      <c r="G185">
        <f>[5]trip_summary_region!G185</f>
        <v>2197.6002308000002</v>
      </c>
      <c r="H185">
        <f>[5]trip_summary_region!H185</f>
        <v>46.909844634000002</v>
      </c>
      <c r="I185" t="str">
        <f>[5]trip_summary_region!I185</f>
        <v>Light Vehicle Passenger</v>
      </c>
      <c r="J185" t="str">
        <f>[5]trip_summary_region!J185</f>
        <v>2017/18</v>
      </c>
    </row>
    <row r="186" spans="1:10" x14ac:dyDescent="0.2">
      <c r="A186" t="str">
        <f>[5]trip_summary_region!A186</f>
        <v>03 WAIKATO</v>
      </c>
      <c r="B186">
        <f>[5]trip_summary_region!B186</f>
        <v>3</v>
      </c>
      <c r="C186">
        <f>[5]trip_summary_region!C186</f>
        <v>2023</v>
      </c>
      <c r="D186">
        <f>[5]trip_summary_region!D186</f>
        <v>931</v>
      </c>
      <c r="E186">
        <f>[5]trip_summary_region!E186</f>
        <v>4349</v>
      </c>
      <c r="F186">
        <f>[5]trip_summary_region!F186</f>
        <v>164.17498388000001</v>
      </c>
      <c r="G186">
        <f>[5]trip_summary_region!G186</f>
        <v>2378.6851882000001</v>
      </c>
      <c r="H186">
        <f>[5]trip_summary_region!H186</f>
        <v>50.663472050999999</v>
      </c>
      <c r="I186" t="str">
        <f>[5]trip_summary_region!I186</f>
        <v>Light Vehicle Passenger</v>
      </c>
      <c r="J186" t="str">
        <f>[5]trip_summary_region!J186</f>
        <v>2022/23</v>
      </c>
    </row>
    <row r="187" spans="1:10" x14ac:dyDescent="0.2">
      <c r="A187" t="str">
        <f>[5]trip_summary_region!A187</f>
        <v>03 WAIKATO</v>
      </c>
      <c r="B187">
        <f>[5]trip_summary_region!B187</f>
        <v>3</v>
      </c>
      <c r="C187">
        <f>[5]trip_summary_region!C187</f>
        <v>2028</v>
      </c>
      <c r="D187">
        <f>[5]trip_summary_region!D187</f>
        <v>931</v>
      </c>
      <c r="E187">
        <f>[5]trip_summary_region!E187</f>
        <v>4349</v>
      </c>
      <c r="F187">
        <f>[5]trip_summary_region!F187</f>
        <v>177.09094365000001</v>
      </c>
      <c r="G187">
        <f>[5]trip_summary_region!G187</f>
        <v>2575.8605008</v>
      </c>
      <c r="H187">
        <f>[5]trip_summary_region!H187</f>
        <v>54.768188852000002</v>
      </c>
      <c r="I187" t="str">
        <f>[5]trip_summary_region!I187</f>
        <v>Light Vehicle Passenger</v>
      </c>
      <c r="J187" t="str">
        <f>[5]trip_summary_region!J187</f>
        <v>2027/28</v>
      </c>
    </row>
    <row r="188" spans="1:10" x14ac:dyDescent="0.2">
      <c r="A188" t="str">
        <f>[5]trip_summary_region!A188</f>
        <v>03 WAIKATO</v>
      </c>
      <c r="B188">
        <f>[5]trip_summary_region!B188</f>
        <v>3</v>
      </c>
      <c r="C188">
        <f>[5]trip_summary_region!C188</f>
        <v>2033</v>
      </c>
      <c r="D188">
        <f>[5]trip_summary_region!D188</f>
        <v>931</v>
      </c>
      <c r="E188">
        <f>[5]trip_summary_region!E188</f>
        <v>4349</v>
      </c>
      <c r="F188">
        <f>[5]trip_summary_region!F188</f>
        <v>188.96772576999999</v>
      </c>
      <c r="G188">
        <f>[5]trip_summary_region!G188</f>
        <v>2752.2911417</v>
      </c>
      <c r="H188">
        <f>[5]trip_summary_region!H188</f>
        <v>58.464072839000004</v>
      </c>
      <c r="I188" t="str">
        <f>[5]trip_summary_region!I188</f>
        <v>Light Vehicle Passenger</v>
      </c>
      <c r="J188" t="str">
        <f>[5]trip_summary_region!J188</f>
        <v>2032/33</v>
      </c>
    </row>
    <row r="189" spans="1:10" x14ac:dyDescent="0.2">
      <c r="A189" t="str">
        <f>[5]trip_summary_region!A189</f>
        <v>03 WAIKATO</v>
      </c>
      <c r="B189">
        <f>[5]trip_summary_region!B189</f>
        <v>3</v>
      </c>
      <c r="C189">
        <f>[5]trip_summary_region!C189</f>
        <v>2038</v>
      </c>
      <c r="D189">
        <f>[5]trip_summary_region!D189</f>
        <v>931</v>
      </c>
      <c r="E189">
        <f>[5]trip_summary_region!E189</f>
        <v>4349</v>
      </c>
      <c r="F189">
        <f>[5]trip_summary_region!F189</f>
        <v>199.6338792</v>
      </c>
      <c r="G189">
        <f>[5]trip_summary_region!G189</f>
        <v>2904.4295310000002</v>
      </c>
      <c r="H189">
        <f>[5]trip_summary_region!H189</f>
        <v>61.721851053999998</v>
      </c>
      <c r="I189" t="str">
        <f>[5]trip_summary_region!I189</f>
        <v>Light Vehicle Passenger</v>
      </c>
      <c r="J189" t="str">
        <f>[5]trip_summary_region!J189</f>
        <v>2037/38</v>
      </c>
    </row>
    <row r="190" spans="1:10" x14ac:dyDescent="0.2">
      <c r="A190" t="str">
        <f>[5]trip_summary_region!A190</f>
        <v>03 WAIKATO</v>
      </c>
      <c r="B190">
        <f>[5]trip_summary_region!B190</f>
        <v>3</v>
      </c>
      <c r="C190">
        <f>[5]trip_summary_region!C190</f>
        <v>2043</v>
      </c>
      <c r="D190">
        <f>[5]trip_summary_region!D190</f>
        <v>931</v>
      </c>
      <c r="E190">
        <f>[5]trip_summary_region!E190</f>
        <v>4349</v>
      </c>
      <c r="F190">
        <f>[5]trip_summary_region!F190</f>
        <v>208.83891847000001</v>
      </c>
      <c r="G190">
        <f>[5]trip_summary_region!G190</f>
        <v>3028.7773551999999</v>
      </c>
      <c r="H190">
        <f>[5]trip_summary_region!H190</f>
        <v>64.450670747999993</v>
      </c>
      <c r="I190" t="str">
        <f>[5]trip_summary_region!I190</f>
        <v>Light Vehicle Passenger</v>
      </c>
      <c r="J190" t="str">
        <f>[5]trip_summary_region!J190</f>
        <v>2042/43</v>
      </c>
    </row>
    <row r="191" spans="1:10" x14ac:dyDescent="0.2">
      <c r="A191" t="str">
        <f>[5]trip_summary_region!A191</f>
        <v>03 WAIKATO</v>
      </c>
      <c r="B191">
        <f>[5]trip_summary_region!B191</f>
        <v>4</v>
      </c>
      <c r="C191">
        <f>[5]trip_summary_region!C191</f>
        <v>2013</v>
      </c>
      <c r="D191">
        <f>[5]trip_summary_region!D191</f>
        <v>13</v>
      </c>
      <c r="E191">
        <f>[5]trip_summary_region!E191</f>
        <v>20</v>
      </c>
      <c r="F191">
        <f>[5]trip_summary_region!F191</f>
        <v>0.69122996950000004</v>
      </c>
      <c r="G191">
        <f>[5]trip_summary_region!G191</f>
        <v>2.4426175743999998</v>
      </c>
      <c r="H191">
        <f>[5]trip_summary_region!H191</f>
        <v>0.1633822556</v>
      </c>
      <c r="I191" t="s">
        <v>116</v>
      </c>
      <c r="J191" t="str">
        <f>[5]trip_summary_region!J191</f>
        <v>2012/13</v>
      </c>
    </row>
    <row r="192" spans="1:10" x14ac:dyDescent="0.2">
      <c r="A192" t="str">
        <f>[5]trip_summary_region!A192</f>
        <v>03 WAIKATO</v>
      </c>
      <c r="B192">
        <f>[5]trip_summary_region!B192</f>
        <v>4</v>
      </c>
      <c r="C192">
        <f>[5]trip_summary_region!C192</f>
        <v>2018</v>
      </c>
      <c r="D192">
        <f>[5]trip_summary_region!D192</f>
        <v>13</v>
      </c>
      <c r="E192">
        <f>[5]trip_summary_region!E192</f>
        <v>20</v>
      </c>
      <c r="F192">
        <f>[5]trip_summary_region!F192</f>
        <v>0.90802271059999995</v>
      </c>
      <c r="G192">
        <f>[5]trip_summary_region!G192</f>
        <v>3.3921897734000002</v>
      </c>
      <c r="H192">
        <f>[5]trip_summary_region!H192</f>
        <v>0.22047853789999999</v>
      </c>
      <c r="I192" t="s">
        <v>116</v>
      </c>
      <c r="J192" t="str">
        <f>[5]trip_summary_region!J192</f>
        <v>2017/18</v>
      </c>
    </row>
    <row r="193" spans="1:10" x14ac:dyDescent="0.2">
      <c r="A193" t="str">
        <f>[5]trip_summary_region!A193</f>
        <v>03 WAIKATO</v>
      </c>
      <c r="B193">
        <f>[5]trip_summary_region!B193</f>
        <v>4</v>
      </c>
      <c r="C193">
        <f>[5]trip_summary_region!C193</f>
        <v>2023</v>
      </c>
      <c r="D193">
        <f>[5]trip_summary_region!D193</f>
        <v>13</v>
      </c>
      <c r="E193">
        <f>[5]trip_summary_region!E193</f>
        <v>20</v>
      </c>
      <c r="F193">
        <f>[5]trip_summary_region!F193</f>
        <v>1.0281455984000001</v>
      </c>
      <c r="G193">
        <f>[5]trip_summary_region!G193</f>
        <v>3.9944006884999999</v>
      </c>
      <c r="H193">
        <f>[5]trip_summary_region!H193</f>
        <v>0.25424422569999999</v>
      </c>
      <c r="I193" t="s">
        <v>116</v>
      </c>
      <c r="J193" t="str">
        <f>[5]trip_summary_region!J193</f>
        <v>2022/23</v>
      </c>
    </row>
    <row r="194" spans="1:10" x14ac:dyDescent="0.2">
      <c r="A194" t="str">
        <f>[5]trip_summary_region!A194</f>
        <v>03 WAIKATO</v>
      </c>
      <c r="B194">
        <f>[5]trip_summary_region!B194</f>
        <v>4</v>
      </c>
      <c r="C194">
        <f>[5]trip_summary_region!C194</f>
        <v>2028</v>
      </c>
      <c r="D194">
        <f>[5]trip_summary_region!D194</f>
        <v>13</v>
      </c>
      <c r="E194">
        <f>[5]trip_summary_region!E194</f>
        <v>20</v>
      </c>
      <c r="F194">
        <f>[5]trip_summary_region!F194</f>
        <v>1.1180348716999999</v>
      </c>
      <c r="G194">
        <f>[5]trip_summary_region!G194</f>
        <v>4.6186236064999999</v>
      </c>
      <c r="H194">
        <f>[5]trip_summary_region!H194</f>
        <v>0.28614889669999999</v>
      </c>
      <c r="I194" t="s">
        <v>116</v>
      </c>
      <c r="J194" t="str">
        <f>[5]trip_summary_region!J194</f>
        <v>2027/28</v>
      </c>
    </row>
    <row r="195" spans="1:10" x14ac:dyDescent="0.2">
      <c r="A195" t="str">
        <f>[5]trip_summary_region!A195</f>
        <v>03 WAIKATO</v>
      </c>
      <c r="B195">
        <f>[5]trip_summary_region!B195</f>
        <v>4</v>
      </c>
      <c r="C195">
        <f>[5]trip_summary_region!C195</f>
        <v>2033</v>
      </c>
      <c r="D195">
        <f>[5]trip_summary_region!D195</f>
        <v>13</v>
      </c>
      <c r="E195">
        <f>[5]trip_summary_region!E195</f>
        <v>20</v>
      </c>
      <c r="F195">
        <f>[5]trip_summary_region!F195</f>
        <v>1.1835895395</v>
      </c>
      <c r="G195">
        <f>[5]trip_summary_region!G195</f>
        <v>5.1394591243000001</v>
      </c>
      <c r="H195">
        <f>[5]trip_summary_region!H195</f>
        <v>0.31059747300000001</v>
      </c>
      <c r="I195" t="s">
        <v>116</v>
      </c>
      <c r="J195" t="str">
        <f>[5]trip_summary_region!J195</f>
        <v>2032/33</v>
      </c>
    </row>
    <row r="196" spans="1:10" x14ac:dyDescent="0.2">
      <c r="A196" t="str">
        <f>[5]trip_summary_region!A196</f>
        <v>03 WAIKATO</v>
      </c>
      <c r="B196">
        <f>[5]trip_summary_region!B196</f>
        <v>4</v>
      </c>
      <c r="C196">
        <f>[5]trip_summary_region!C196</f>
        <v>2038</v>
      </c>
      <c r="D196">
        <f>[5]trip_summary_region!D196</f>
        <v>13</v>
      </c>
      <c r="E196">
        <f>[5]trip_summary_region!E196</f>
        <v>20</v>
      </c>
      <c r="F196">
        <f>[5]trip_summary_region!F196</f>
        <v>1.2295843244</v>
      </c>
      <c r="G196">
        <f>[5]trip_summary_region!G196</f>
        <v>5.5417410549000001</v>
      </c>
      <c r="H196">
        <f>[5]trip_summary_region!H196</f>
        <v>0.32520575839999999</v>
      </c>
      <c r="I196" t="s">
        <v>116</v>
      </c>
      <c r="J196" t="str">
        <f>[5]trip_summary_region!J196</f>
        <v>2037/38</v>
      </c>
    </row>
    <row r="197" spans="1:10" x14ac:dyDescent="0.2">
      <c r="A197" t="str">
        <f>[5]trip_summary_region!A197</f>
        <v>03 WAIKATO</v>
      </c>
      <c r="B197">
        <f>[5]trip_summary_region!B197</f>
        <v>4</v>
      </c>
      <c r="C197">
        <f>[5]trip_summary_region!C197</f>
        <v>2043</v>
      </c>
      <c r="D197">
        <f>[5]trip_summary_region!D197</f>
        <v>13</v>
      </c>
      <c r="E197">
        <f>[5]trip_summary_region!E197</f>
        <v>20</v>
      </c>
      <c r="F197">
        <f>[5]trip_summary_region!F197</f>
        <v>1.2623509158999999</v>
      </c>
      <c r="G197">
        <f>[5]trip_summary_region!G197</f>
        <v>5.9011988817000001</v>
      </c>
      <c r="H197">
        <f>[5]trip_summary_region!H197</f>
        <v>0.3362769041</v>
      </c>
      <c r="I197" t="s">
        <v>116</v>
      </c>
      <c r="J197" t="str">
        <f>[5]trip_summary_region!J197</f>
        <v>2042/43</v>
      </c>
    </row>
    <row r="198" spans="1:10" x14ac:dyDescent="0.2">
      <c r="A198" t="str">
        <f>[5]trip_summary_region!A198</f>
        <v>03 WAIKATO</v>
      </c>
      <c r="B198">
        <f>[5]trip_summary_region!B198</f>
        <v>5</v>
      </c>
      <c r="C198">
        <f>[5]trip_summary_region!C198</f>
        <v>2013</v>
      </c>
      <c r="D198">
        <f>[5]trip_summary_region!D198</f>
        <v>16</v>
      </c>
      <c r="E198">
        <f>[5]trip_summary_region!E198</f>
        <v>51</v>
      </c>
      <c r="F198">
        <f>[5]trip_summary_region!F198</f>
        <v>1.8680965575999999</v>
      </c>
      <c r="G198">
        <f>[5]trip_summary_region!G198</f>
        <v>38.030338682999997</v>
      </c>
      <c r="H198">
        <f>[5]trip_summary_region!H198</f>
        <v>0.60639269429999998</v>
      </c>
      <c r="I198" t="str">
        <f>[5]trip_summary_region!I198</f>
        <v>Motorcyclist</v>
      </c>
      <c r="J198" t="str">
        <f>[5]trip_summary_region!J198</f>
        <v>2012/13</v>
      </c>
    </row>
    <row r="199" spans="1:10" x14ac:dyDescent="0.2">
      <c r="A199" t="str">
        <f>[5]trip_summary_region!A199</f>
        <v>03 WAIKATO</v>
      </c>
      <c r="B199">
        <f>[5]trip_summary_region!B199</f>
        <v>5</v>
      </c>
      <c r="C199">
        <f>[5]trip_summary_region!C199</f>
        <v>2018</v>
      </c>
      <c r="D199">
        <f>[5]trip_summary_region!D199</f>
        <v>16</v>
      </c>
      <c r="E199">
        <f>[5]trip_summary_region!E199</f>
        <v>51</v>
      </c>
      <c r="F199">
        <f>[5]trip_summary_region!F199</f>
        <v>1.8667946105</v>
      </c>
      <c r="G199">
        <f>[5]trip_summary_region!G199</f>
        <v>40.581188613000002</v>
      </c>
      <c r="H199">
        <f>[5]trip_summary_region!H199</f>
        <v>0.62626120689999998</v>
      </c>
      <c r="I199" t="str">
        <f>[5]trip_summary_region!I199</f>
        <v>Motorcyclist</v>
      </c>
      <c r="J199" t="str">
        <f>[5]trip_summary_region!J199</f>
        <v>2017/18</v>
      </c>
    </row>
    <row r="200" spans="1:10" x14ac:dyDescent="0.2">
      <c r="A200" t="str">
        <f>[5]trip_summary_region!A200</f>
        <v>03 WAIKATO</v>
      </c>
      <c r="B200">
        <f>[5]trip_summary_region!B200</f>
        <v>5</v>
      </c>
      <c r="C200">
        <f>[5]trip_summary_region!C200</f>
        <v>2023</v>
      </c>
      <c r="D200">
        <f>[5]trip_summary_region!D200</f>
        <v>16</v>
      </c>
      <c r="E200">
        <f>[5]trip_summary_region!E200</f>
        <v>51</v>
      </c>
      <c r="F200">
        <f>[5]trip_summary_region!F200</f>
        <v>1.8134552229000001</v>
      </c>
      <c r="G200">
        <f>[5]trip_summary_region!G200</f>
        <v>41.354829643999999</v>
      </c>
      <c r="H200">
        <f>[5]trip_summary_region!H200</f>
        <v>0.62946729629999998</v>
      </c>
      <c r="I200" t="str">
        <f>[5]trip_summary_region!I200</f>
        <v>Motorcyclist</v>
      </c>
      <c r="J200" t="str">
        <f>[5]trip_summary_region!J200</f>
        <v>2022/23</v>
      </c>
    </row>
    <row r="201" spans="1:10" x14ac:dyDescent="0.2">
      <c r="A201" t="str">
        <f>[5]trip_summary_region!A201</f>
        <v>03 WAIKATO</v>
      </c>
      <c r="B201">
        <f>[5]trip_summary_region!B201</f>
        <v>5</v>
      </c>
      <c r="C201">
        <f>[5]trip_summary_region!C201</f>
        <v>2028</v>
      </c>
      <c r="D201">
        <f>[5]trip_summary_region!D201</f>
        <v>16</v>
      </c>
      <c r="E201">
        <f>[5]trip_summary_region!E201</f>
        <v>51</v>
      </c>
      <c r="F201">
        <f>[5]trip_summary_region!F201</f>
        <v>1.7565931056999999</v>
      </c>
      <c r="G201">
        <f>[5]trip_summary_region!G201</f>
        <v>39.889506296999997</v>
      </c>
      <c r="H201">
        <f>[5]trip_summary_region!H201</f>
        <v>0.61176103959999995</v>
      </c>
      <c r="I201" t="str">
        <f>[5]trip_summary_region!I201</f>
        <v>Motorcyclist</v>
      </c>
      <c r="J201" t="str">
        <f>[5]trip_summary_region!J201</f>
        <v>2027/28</v>
      </c>
    </row>
    <row r="202" spans="1:10" x14ac:dyDescent="0.2">
      <c r="A202" t="str">
        <f>[5]trip_summary_region!A202</f>
        <v>03 WAIKATO</v>
      </c>
      <c r="B202">
        <f>[5]trip_summary_region!B202</f>
        <v>5</v>
      </c>
      <c r="C202">
        <f>[5]trip_summary_region!C202</f>
        <v>2033</v>
      </c>
      <c r="D202">
        <f>[5]trip_summary_region!D202</f>
        <v>16</v>
      </c>
      <c r="E202">
        <f>[5]trip_summary_region!E202</f>
        <v>51</v>
      </c>
      <c r="F202">
        <f>[5]trip_summary_region!F202</f>
        <v>1.6755998818</v>
      </c>
      <c r="G202">
        <f>[5]trip_summary_region!G202</f>
        <v>36.594631223999997</v>
      </c>
      <c r="H202">
        <f>[5]trip_summary_region!H202</f>
        <v>0.5710424315</v>
      </c>
      <c r="I202" t="str">
        <f>[5]trip_summary_region!I202</f>
        <v>Motorcyclist</v>
      </c>
      <c r="J202" t="str">
        <f>[5]trip_summary_region!J202</f>
        <v>2032/33</v>
      </c>
    </row>
    <row r="203" spans="1:10" x14ac:dyDescent="0.2">
      <c r="A203" t="str">
        <f>[5]trip_summary_region!A203</f>
        <v>03 WAIKATO</v>
      </c>
      <c r="B203">
        <f>[5]trip_summary_region!B203</f>
        <v>5</v>
      </c>
      <c r="C203">
        <f>[5]trip_summary_region!C203</f>
        <v>2038</v>
      </c>
      <c r="D203">
        <f>[5]trip_summary_region!D203</f>
        <v>16</v>
      </c>
      <c r="E203">
        <f>[5]trip_summary_region!E203</f>
        <v>51</v>
      </c>
      <c r="F203">
        <f>[5]trip_summary_region!F203</f>
        <v>1.5507946350999999</v>
      </c>
      <c r="G203">
        <f>[5]trip_summary_region!G203</f>
        <v>32.065139791</v>
      </c>
      <c r="H203">
        <f>[5]trip_summary_region!H203</f>
        <v>0.5094895921</v>
      </c>
      <c r="I203" t="str">
        <f>[5]trip_summary_region!I203</f>
        <v>Motorcyclist</v>
      </c>
      <c r="J203" t="str">
        <f>[5]trip_summary_region!J203</f>
        <v>2037/38</v>
      </c>
    </row>
    <row r="204" spans="1:10" x14ac:dyDescent="0.2">
      <c r="A204" t="str">
        <f>[5]trip_summary_region!A204</f>
        <v>03 WAIKATO</v>
      </c>
      <c r="B204">
        <f>[5]trip_summary_region!B204</f>
        <v>5</v>
      </c>
      <c r="C204">
        <f>[5]trip_summary_region!C204</f>
        <v>2043</v>
      </c>
      <c r="D204">
        <f>[5]trip_summary_region!D204</f>
        <v>16</v>
      </c>
      <c r="E204">
        <f>[5]trip_summary_region!E204</f>
        <v>51</v>
      </c>
      <c r="F204">
        <f>[5]trip_summary_region!F204</f>
        <v>1.4224620802000001</v>
      </c>
      <c r="G204">
        <f>[5]trip_summary_region!G204</f>
        <v>27.543527197</v>
      </c>
      <c r="H204">
        <f>[5]trip_summary_region!H204</f>
        <v>0.4477126521</v>
      </c>
      <c r="I204" t="str">
        <f>[5]trip_summary_region!I204</f>
        <v>Motorcyclist</v>
      </c>
      <c r="J204" t="str">
        <f>[5]trip_summary_region!J204</f>
        <v>2042/43</v>
      </c>
    </row>
    <row r="205" spans="1:10" x14ac:dyDescent="0.2">
      <c r="A205" t="str">
        <f>[5]trip_summary_region!A205</f>
        <v>03 WAIKATO</v>
      </c>
      <c r="B205">
        <f>[5]trip_summary_region!B205</f>
        <v>6</v>
      </c>
      <c r="C205">
        <f>[5]trip_summary_region!C205</f>
        <v>2013</v>
      </c>
      <c r="D205">
        <f>[5]trip_summary_region!D205</f>
        <v>2</v>
      </c>
      <c r="E205">
        <f>[5]trip_summary_region!E205</f>
        <v>5</v>
      </c>
      <c r="F205">
        <f>[5]trip_summary_region!F205</f>
        <v>0.12019006359999999</v>
      </c>
      <c r="G205">
        <f>[5]trip_summary_region!G205</f>
        <v>2.9773519310999998</v>
      </c>
      <c r="H205">
        <f>[5]trip_summary_region!H205</f>
        <v>7.0969514100000006E-2</v>
      </c>
      <c r="I205" t="str">
        <f>[5]trip_summary_region!I205</f>
        <v>Local Train</v>
      </c>
      <c r="J205" t="str">
        <f>[5]trip_summary_region!J205</f>
        <v>2012/13</v>
      </c>
    </row>
    <row r="206" spans="1:10" x14ac:dyDescent="0.2">
      <c r="A206" t="str">
        <f>[5]trip_summary_region!A206</f>
        <v>03 WAIKATO</v>
      </c>
      <c r="B206">
        <f>[5]trip_summary_region!B206</f>
        <v>6</v>
      </c>
      <c r="C206">
        <f>[5]trip_summary_region!C206</f>
        <v>2018</v>
      </c>
      <c r="D206">
        <f>[5]trip_summary_region!D206</f>
        <v>2</v>
      </c>
      <c r="E206">
        <f>[5]trip_summary_region!E206</f>
        <v>5</v>
      </c>
      <c r="F206">
        <f>[5]trip_summary_region!F206</f>
        <v>0.13036404509999999</v>
      </c>
      <c r="G206">
        <f>[5]trip_summary_region!G206</f>
        <v>3.3095310429000002</v>
      </c>
      <c r="H206">
        <f>[5]trip_summary_region!H206</f>
        <v>7.8854521299999994E-2</v>
      </c>
      <c r="I206" t="str">
        <f>[5]trip_summary_region!I206</f>
        <v>Local Train</v>
      </c>
      <c r="J206" t="str">
        <f>[5]trip_summary_region!J206</f>
        <v>2017/18</v>
      </c>
    </row>
    <row r="207" spans="1:10" x14ac:dyDescent="0.2">
      <c r="A207" t="str">
        <f>[5]trip_summary_region!A207</f>
        <v>03 WAIKATO</v>
      </c>
      <c r="B207">
        <f>[5]trip_summary_region!B207</f>
        <v>6</v>
      </c>
      <c r="C207">
        <f>[5]trip_summary_region!C207</f>
        <v>2023</v>
      </c>
      <c r="D207">
        <f>[5]trip_summary_region!D207</f>
        <v>2</v>
      </c>
      <c r="E207">
        <f>[5]trip_summary_region!E207</f>
        <v>5</v>
      </c>
      <c r="F207">
        <f>[5]trip_summary_region!F207</f>
        <v>0.14213165750000001</v>
      </c>
      <c r="G207">
        <f>[5]trip_summary_region!G207</f>
        <v>3.9171368637000001</v>
      </c>
      <c r="H207">
        <f>[5]trip_summary_region!H207</f>
        <v>9.3207679299999999E-2</v>
      </c>
      <c r="I207" t="str">
        <f>[5]trip_summary_region!I207</f>
        <v>Local Train</v>
      </c>
      <c r="J207" t="str">
        <f>[5]trip_summary_region!J207</f>
        <v>2022/23</v>
      </c>
    </row>
    <row r="208" spans="1:10" x14ac:dyDescent="0.2">
      <c r="A208" t="str">
        <f>[5]trip_summary_region!A208</f>
        <v>03 WAIKATO</v>
      </c>
      <c r="B208">
        <f>[5]trip_summary_region!B208</f>
        <v>6</v>
      </c>
      <c r="C208">
        <f>[5]trip_summary_region!C208</f>
        <v>2028</v>
      </c>
      <c r="D208">
        <f>[5]trip_summary_region!D208</f>
        <v>2</v>
      </c>
      <c r="E208">
        <f>[5]trip_summary_region!E208</f>
        <v>5</v>
      </c>
      <c r="F208">
        <f>[5]trip_summary_region!F208</f>
        <v>0.158638003</v>
      </c>
      <c r="G208">
        <f>[5]trip_summary_region!G208</f>
        <v>4.4838528404</v>
      </c>
      <c r="H208">
        <f>[5]trip_summary_region!H208</f>
        <v>0.1066512677</v>
      </c>
      <c r="I208" t="str">
        <f>[5]trip_summary_region!I208</f>
        <v>Local Train</v>
      </c>
      <c r="J208" t="str">
        <f>[5]trip_summary_region!J208</f>
        <v>2027/28</v>
      </c>
    </row>
    <row r="209" spans="1:10" x14ac:dyDescent="0.2">
      <c r="A209" t="str">
        <f>[5]trip_summary_region!A209</f>
        <v>03 WAIKATO</v>
      </c>
      <c r="B209">
        <f>[5]trip_summary_region!B209</f>
        <v>6</v>
      </c>
      <c r="C209">
        <f>[5]trip_summary_region!C209</f>
        <v>2033</v>
      </c>
      <c r="D209">
        <f>[5]trip_summary_region!D209</f>
        <v>2</v>
      </c>
      <c r="E209">
        <f>[5]trip_summary_region!E209</f>
        <v>5</v>
      </c>
      <c r="F209">
        <f>[5]trip_summary_region!F209</f>
        <v>0.16996753789999999</v>
      </c>
      <c r="G209">
        <f>[5]trip_summary_region!G209</f>
        <v>4.8566827988999997</v>
      </c>
      <c r="H209">
        <f>[5]trip_summary_region!H209</f>
        <v>0.11550030090000001</v>
      </c>
      <c r="I209" t="str">
        <f>[5]trip_summary_region!I209</f>
        <v>Local Train</v>
      </c>
      <c r="J209" t="str">
        <f>[5]trip_summary_region!J209</f>
        <v>2032/33</v>
      </c>
    </row>
    <row r="210" spans="1:10" x14ac:dyDescent="0.2">
      <c r="A210" t="str">
        <f>[5]trip_summary_region!A210</f>
        <v>03 WAIKATO</v>
      </c>
      <c r="B210">
        <f>[5]trip_summary_region!B210</f>
        <v>6</v>
      </c>
      <c r="C210">
        <f>[5]trip_summary_region!C210</f>
        <v>2038</v>
      </c>
      <c r="D210">
        <f>[5]trip_summary_region!D210</f>
        <v>2</v>
      </c>
      <c r="E210">
        <f>[5]trip_summary_region!E210</f>
        <v>5</v>
      </c>
      <c r="F210">
        <f>[5]trip_summary_region!F210</f>
        <v>0.1783852148</v>
      </c>
      <c r="G210">
        <f>[5]trip_summary_region!G210</f>
        <v>5.2129100055000004</v>
      </c>
      <c r="H210">
        <f>[5]trip_summary_region!H210</f>
        <v>0.1239307441</v>
      </c>
      <c r="I210" t="str">
        <f>[5]trip_summary_region!I210</f>
        <v>Local Train</v>
      </c>
      <c r="J210" t="str">
        <f>[5]trip_summary_region!J210</f>
        <v>2037/38</v>
      </c>
    </row>
    <row r="211" spans="1:10" x14ac:dyDescent="0.2">
      <c r="A211" t="str">
        <f>[5]trip_summary_region!A211</f>
        <v>03 WAIKATO</v>
      </c>
      <c r="B211">
        <f>[5]trip_summary_region!B211</f>
        <v>6</v>
      </c>
      <c r="C211">
        <f>[5]trip_summary_region!C211</f>
        <v>2043</v>
      </c>
      <c r="D211">
        <f>[5]trip_summary_region!D211</f>
        <v>2</v>
      </c>
      <c r="E211">
        <f>[5]trip_summary_region!E211</f>
        <v>5</v>
      </c>
      <c r="F211">
        <f>[5]trip_summary_region!F211</f>
        <v>0.18324634349999999</v>
      </c>
      <c r="G211">
        <f>[5]trip_summary_region!G211</f>
        <v>5.4658111734999997</v>
      </c>
      <c r="H211">
        <f>[5]trip_summary_region!H211</f>
        <v>0.12990452199999999</v>
      </c>
      <c r="I211" t="str">
        <f>[5]trip_summary_region!I211</f>
        <v>Local Train</v>
      </c>
      <c r="J211" t="str">
        <f>[5]trip_summary_region!J211</f>
        <v>2042/43</v>
      </c>
    </row>
    <row r="212" spans="1:10" x14ac:dyDescent="0.2">
      <c r="A212" t="str">
        <f>[5]trip_summary_region!A212</f>
        <v>03 WAIKATO</v>
      </c>
      <c r="B212">
        <f>[5]trip_summary_region!B212</f>
        <v>7</v>
      </c>
      <c r="C212">
        <f>[5]trip_summary_region!C212</f>
        <v>2013</v>
      </c>
      <c r="D212">
        <f>[5]trip_summary_region!D212</f>
        <v>81</v>
      </c>
      <c r="E212">
        <f>[5]trip_summary_region!E212</f>
        <v>183</v>
      </c>
      <c r="F212">
        <f>[5]trip_summary_region!F212</f>
        <v>5.7199103379</v>
      </c>
      <c r="G212">
        <f>[5]trip_summary_region!G212</f>
        <v>54.303948532</v>
      </c>
      <c r="H212">
        <f>[5]trip_summary_region!H212</f>
        <v>2.2088814398999999</v>
      </c>
      <c r="I212" t="str">
        <f>[5]trip_summary_region!I212</f>
        <v>Local Bus</v>
      </c>
      <c r="J212" t="str">
        <f>[5]trip_summary_region!J212</f>
        <v>2012/13</v>
      </c>
    </row>
    <row r="213" spans="1:10" x14ac:dyDescent="0.2">
      <c r="A213" t="str">
        <f>[5]trip_summary_region!A213</f>
        <v>03 WAIKATO</v>
      </c>
      <c r="B213">
        <f>[5]trip_summary_region!B213</f>
        <v>7</v>
      </c>
      <c r="C213">
        <f>[5]trip_summary_region!C213</f>
        <v>2018</v>
      </c>
      <c r="D213">
        <f>[5]trip_summary_region!D213</f>
        <v>81</v>
      </c>
      <c r="E213">
        <f>[5]trip_summary_region!E213</f>
        <v>183</v>
      </c>
      <c r="F213">
        <f>[5]trip_summary_region!F213</f>
        <v>6.0962613693999996</v>
      </c>
      <c r="G213">
        <f>[5]trip_summary_region!G213</f>
        <v>53.813466423000001</v>
      </c>
      <c r="H213">
        <f>[5]trip_summary_region!H213</f>
        <v>2.3120554739000001</v>
      </c>
      <c r="I213" t="str">
        <f>[5]trip_summary_region!I213</f>
        <v>Local Bus</v>
      </c>
      <c r="J213" t="str">
        <f>[5]trip_summary_region!J213</f>
        <v>2017/18</v>
      </c>
    </row>
    <row r="214" spans="1:10" x14ac:dyDescent="0.2">
      <c r="A214" t="str">
        <f>[5]trip_summary_region!A214</f>
        <v>03 WAIKATO</v>
      </c>
      <c r="B214">
        <f>[5]trip_summary_region!B214</f>
        <v>7</v>
      </c>
      <c r="C214">
        <f>[5]trip_summary_region!C214</f>
        <v>2023</v>
      </c>
      <c r="D214">
        <f>[5]trip_summary_region!D214</f>
        <v>81</v>
      </c>
      <c r="E214">
        <f>[5]trip_summary_region!E214</f>
        <v>183</v>
      </c>
      <c r="F214">
        <f>[5]trip_summary_region!F214</f>
        <v>6.3549353684999996</v>
      </c>
      <c r="G214">
        <f>[5]trip_summary_region!G214</f>
        <v>53.920888531999999</v>
      </c>
      <c r="H214">
        <f>[5]trip_summary_region!H214</f>
        <v>2.3919453655999998</v>
      </c>
      <c r="I214" t="str">
        <f>[5]trip_summary_region!I214</f>
        <v>Local Bus</v>
      </c>
      <c r="J214" t="str">
        <f>[5]trip_summary_region!J214</f>
        <v>2022/23</v>
      </c>
    </row>
    <row r="215" spans="1:10" x14ac:dyDescent="0.2">
      <c r="A215" t="str">
        <f>[5]trip_summary_region!A215</f>
        <v>03 WAIKATO</v>
      </c>
      <c r="B215">
        <f>[5]trip_summary_region!B215</f>
        <v>7</v>
      </c>
      <c r="C215">
        <f>[5]trip_summary_region!C215</f>
        <v>2028</v>
      </c>
      <c r="D215">
        <f>[5]trip_summary_region!D215</f>
        <v>81</v>
      </c>
      <c r="E215">
        <f>[5]trip_summary_region!E215</f>
        <v>183</v>
      </c>
      <c r="F215">
        <f>[5]trip_summary_region!F215</f>
        <v>6.7914566711999997</v>
      </c>
      <c r="G215">
        <f>[5]trip_summary_region!G215</f>
        <v>55.459936601000003</v>
      </c>
      <c r="H215">
        <f>[5]trip_summary_region!H215</f>
        <v>2.5549861210000002</v>
      </c>
      <c r="I215" t="str">
        <f>[5]trip_summary_region!I215</f>
        <v>Local Bus</v>
      </c>
      <c r="J215" t="str">
        <f>[5]trip_summary_region!J215</f>
        <v>2027/28</v>
      </c>
    </row>
    <row r="216" spans="1:10" x14ac:dyDescent="0.2">
      <c r="A216" t="str">
        <f>[5]trip_summary_region!A216</f>
        <v>03 WAIKATO</v>
      </c>
      <c r="B216">
        <f>[5]trip_summary_region!B216</f>
        <v>7</v>
      </c>
      <c r="C216">
        <f>[5]trip_summary_region!C216</f>
        <v>2033</v>
      </c>
      <c r="D216">
        <f>[5]trip_summary_region!D216</f>
        <v>81</v>
      </c>
      <c r="E216">
        <f>[5]trip_summary_region!E216</f>
        <v>183</v>
      </c>
      <c r="F216">
        <f>[5]trip_summary_region!F216</f>
        <v>7.1908860648999999</v>
      </c>
      <c r="G216">
        <f>[5]trip_summary_region!G216</f>
        <v>56.827104564000003</v>
      </c>
      <c r="H216">
        <f>[5]trip_summary_region!H216</f>
        <v>2.7033557610000001</v>
      </c>
      <c r="I216" t="str">
        <f>[5]trip_summary_region!I216</f>
        <v>Local Bus</v>
      </c>
      <c r="J216" t="str">
        <f>[5]trip_summary_region!J216</f>
        <v>2032/33</v>
      </c>
    </row>
    <row r="217" spans="1:10" x14ac:dyDescent="0.2">
      <c r="A217" t="str">
        <f>[5]trip_summary_region!A217</f>
        <v>03 WAIKATO</v>
      </c>
      <c r="B217">
        <f>[5]trip_summary_region!B217</f>
        <v>7</v>
      </c>
      <c r="C217">
        <f>[5]trip_summary_region!C217</f>
        <v>2038</v>
      </c>
      <c r="D217">
        <f>[5]trip_summary_region!D217</f>
        <v>81</v>
      </c>
      <c r="E217">
        <f>[5]trip_summary_region!E217</f>
        <v>183</v>
      </c>
      <c r="F217">
        <f>[5]trip_summary_region!F217</f>
        <v>7.6466632158000003</v>
      </c>
      <c r="G217">
        <f>[5]trip_summary_region!G217</f>
        <v>59.107489768000001</v>
      </c>
      <c r="H217">
        <f>[5]trip_summary_region!H217</f>
        <v>2.8788910578000002</v>
      </c>
      <c r="I217" t="str">
        <f>[5]trip_summary_region!I217</f>
        <v>Local Bus</v>
      </c>
      <c r="J217" t="str">
        <f>[5]trip_summary_region!J217</f>
        <v>2037/38</v>
      </c>
    </row>
    <row r="218" spans="1:10" x14ac:dyDescent="0.2">
      <c r="A218" t="str">
        <f>[5]trip_summary_region!A218</f>
        <v>03 WAIKATO</v>
      </c>
      <c r="B218">
        <f>[5]trip_summary_region!B218</f>
        <v>7</v>
      </c>
      <c r="C218">
        <f>[5]trip_summary_region!C218</f>
        <v>2043</v>
      </c>
      <c r="D218">
        <f>[5]trip_summary_region!D218</f>
        <v>81</v>
      </c>
      <c r="E218">
        <f>[5]trip_summary_region!E218</f>
        <v>183</v>
      </c>
      <c r="F218">
        <f>[5]trip_summary_region!F218</f>
        <v>8.0588552128999993</v>
      </c>
      <c r="G218">
        <f>[5]trip_summary_region!G218</f>
        <v>61.434728213</v>
      </c>
      <c r="H218">
        <f>[5]trip_summary_region!H218</f>
        <v>3.0458591541</v>
      </c>
      <c r="I218" t="str">
        <f>[5]trip_summary_region!I218</f>
        <v>Local Bus</v>
      </c>
      <c r="J218" t="str">
        <f>[5]trip_summary_region!J218</f>
        <v>2042/43</v>
      </c>
    </row>
    <row r="219" spans="1:10" x14ac:dyDescent="0.2">
      <c r="A219" t="str">
        <f>[5]trip_summary_region!A219</f>
        <v>03 WAIKATO</v>
      </c>
      <c r="B219">
        <f>[5]trip_summary_region!B219</f>
        <v>8</v>
      </c>
      <c r="C219">
        <f>[5]trip_summary_region!C219</f>
        <v>2013</v>
      </c>
      <c r="D219">
        <f>[5]trip_summary_region!D219</f>
        <v>3</v>
      </c>
      <c r="E219">
        <f>[5]trip_summary_region!E219</f>
        <v>7</v>
      </c>
      <c r="F219">
        <f>[5]trip_summary_region!F219</f>
        <v>0.2446181519</v>
      </c>
      <c r="G219">
        <f>[5]trip_summary_region!G219</f>
        <v>0</v>
      </c>
      <c r="H219">
        <f>[5]trip_summary_region!H219</f>
        <v>9.3342661800000004E-2</v>
      </c>
      <c r="I219" t="str">
        <f>[5]trip_summary_region!I219</f>
        <v>Local Ferry</v>
      </c>
      <c r="J219" t="str">
        <f>[5]trip_summary_region!J219</f>
        <v>2012/13</v>
      </c>
    </row>
    <row r="220" spans="1:10" x14ac:dyDescent="0.2">
      <c r="A220" t="str">
        <f>[5]trip_summary_region!A220</f>
        <v>03 WAIKATO</v>
      </c>
      <c r="B220">
        <f>[5]trip_summary_region!B220</f>
        <v>8</v>
      </c>
      <c r="C220">
        <f>[5]trip_summary_region!C220</f>
        <v>2018</v>
      </c>
      <c r="D220">
        <f>[5]trip_summary_region!D220</f>
        <v>3</v>
      </c>
      <c r="E220">
        <f>[5]trip_summary_region!E220</f>
        <v>7</v>
      </c>
      <c r="F220">
        <f>[5]trip_summary_region!F220</f>
        <v>0.28753891269999998</v>
      </c>
      <c r="G220">
        <f>[5]trip_summary_region!G220</f>
        <v>0</v>
      </c>
      <c r="H220">
        <f>[5]trip_summary_region!H220</f>
        <v>0.11298378670000001</v>
      </c>
      <c r="I220" t="str">
        <f>[5]trip_summary_region!I220</f>
        <v>Local Ferry</v>
      </c>
      <c r="J220" t="str">
        <f>[5]trip_summary_region!J220</f>
        <v>2017/18</v>
      </c>
    </row>
    <row r="221" spans="1:10" x14ac:dyDescent="0.2">
      <c r="A221" t="str">
        <f>[5]trip_summary_region!A221</f>
        <v>03 WAIKATO</v>
      </c>
      <c r="B221">
        <f>[5]trip_summary_region!B221</f>
        <v>8</v>
      </c>
      <c r="C221">
        <f>[5]trip_summary_region!C221</f>
        <v>2023</v>
      </c>
      <c r="D221">
        <f>[5]trip_summary_region!D221</f>
        <v>3</v>
      </c>
      <c r="E221">
        <f>[5]trip_summary_region!E221</f>
        <v>7</v>
      </c>
      <c r="F221">
        <f>[5]trip_summary_region!F221</f>
        <v>0.3031783985</v>
      </c>
      <c r="G221">
        <f>[5]trip_summary_region!G221</f>
        <v>0</v>
      </c>
      <c r="H221">
        <f>[5]trip_summary_region!H221</f>
        <v>0.11765181750000001</v>
      </c>
      <c r="I221" t="str">
        <f>[5]trip_summary_region!I221</f>
        <v>Local Ferry</v>
      </c>
      <c r="J221" t="str">
        <f>[5]trip_summary_region!J221</f>
        <v>2022/23</v>
      </c>
    </row>
    <row r="222" spans="1:10" x14ac:dyDescent="0.2">
      <c r="A222" t="str">
        <f>[5]trip_summary_region!A222</f>
        <v>03 WAIKATO</v>
      </c>
      <c r="B222">
        <f>[5]trip_summary_region!B222</f>
        <v>8</v>
      </c>
      <c r="C222">
        <f>[5]trip_summary_region!C222</f>
        <v>2028</v>
      </c>
      <c r="D222">
        <f>[5]trip_summary_region!D222</f>
        <v>3</v>
      </c>
      <c r="E222">
        <f>[5]trip_summary_region!E222</f>
        <v>7</v>
      </c>
      <c r="F222">
        <f>[5]trip_summary_region!F222</f>
        <v>0.3355506378</v>
      </c>
      <c r="G222">
        <f>[5]trip_summary_region!G222</f>
        <v>0</v>
      </c>
      <c r="H222">
        <f>[5]trip_summary_region!H222</f>
        <v>0.1310279188</v>
      </c>
      <c r="I222" t="str">
        <f>[5]trip_summary_region!I222</f>
        <v>Local Ferry</v>
      </c>
      <c r="J222" t="str">
        <f>[5]trip_summary_region!J222</f>
        <v>2027/28</v>
      </c>
    </row>
    <row r="223" spans="1:10" x14ac:dyDescent="0.2">
      <c r="A223" t="str">
        <f>[5]trip_summary_region!A223</f>
        <v>03 WAIKATO</v>
      </c>
      <c r="B223">
        <f>[5]trip_summary_region!B223</f>
        <v>8</v>
      </c>
      <c r="C223">
        <f>[5]trip_summary_region!C223</f>
        <v>2033</v>
      </c>
      <c r="D223">
        <f>[5]trip_summary_region!D223</f>
        <v>3</v>
      </c>
      <c r="E223">
        <f>[5]trip_summary_region!E223</f>
        <v>7</v>
      </c>
      <c r="F223">
        <f>[5]trip_summary_region!F223</f>
        <v>0.34914429340000003</v>
      </c>
      <c r="G223">
        <f>[5]trip_summary_region!G223</f>
        <v>0</v>
      </c>
      <c r="H223">
        <f>[5]trip_summary_region!H223</f>
        <v>0.13476014</v>
      </c>
      <c r="I223" t="str">
        <f>[5]trip_summary_region!I223</f>
        <v>Local Ferry</v>
      </c>
      <c r="J223" t="str">
        <f>[5]trip_summary_region!J223</f>
        <v>2032/33</v>
      </c>
    </row>
    <row r="224" spans="1:10" x14ac:dyDescent="0.2">
      <c r="A224" t="str">
        <f>[5]trip_summary_region!A224</f>
        <v>03 WAIKATO</v>
      </c>
      <c r="B224">
        <f>[5]trip_summary_region!B224</f>
        <v>8</v>
      </c>
      <c r="C224">
        <f>[5]trip_summary_region!C224</f>
        <v>2038</v>
      </c>
      <c r="D224">
        <f>[5]trip_summary_region!D224</f>
        <v>3</v>
      </c>
      <c r="E224">
        <f>[5]trip_summary_region!E224</f>
        <v>7</v>
      </c>
      <c r="F224">
        <f>[5]trip_summary_region!F224</f>
        <v>0.3433485</v>
      </c>
      <c r="G224">
        <f>[5]trip_summary_region!G224</f>
        <v>0</v>
      </c>
      <c r="H224">
        <f>[5]trip_summary_region!H224</f>
        <v>0.1296033828</v>
      </c>
      <c r="I224" t="str">
        <f>[5]trip_summary_region!I224</f>
        <v>Local Ferry</v>
      </c>
      <c r="J224" t="str">
        <f>[5]trip_summary_region!J224</f>
        <v>2037/38</v>
      </c>
    </row>
    <row r="225" spans="1:10" x14ac:dyDescent="0.2">
      <c r="A225" t="str">
        <f>[5]trip_summary_region!A225</f>
        <v>03 WAIKATO</v>
      </c>
      <c r="B225">
        <f>[5]trip_summary_region!B225</f>
        <v>8</v>
      </c>
      <c r="C225">
        <f>[5]trip_summary_region!C225</f>
        <v>2043</v>
      </c>
      <c r="D225">
        <f>[5]trip_summary_region!D225</f>
        <v>3</v>
      </c>
      <c r="E225">
        <f>[5]trip_summary_region!E225</f>
        <v>7</v>
      </c>
      <c r="F225">
        <f>[5]trip_summary_region!F225</f>
        <v>0.33064341720000001</v>
      </c>
      <c r="G225">
        <f>[5]trip_summary_region!G225</f>
        <v>0</v>
      </c>
      <c r="H225">
        <f>[5]trip_summary_region!H225</f>
        <v>0.12117115470000001</v>
      </c>
      <c r="I225" t="str">
        <f>[5]trip_summary_region!I225</f>
        <v>Local Ferry</v>
      </c>
      <c r="J225" t="str">
        <f>[5]trip_summary_region!J225</f>
        <v>2042/43</v>
      </c>
    </row>
    <row r="226" spans="1:10" x14ac:dyDescent="0.2">
      <c r="A226" t="str">
        <f>[5]trip_summary_region!A226</f>
        <v>03 WAIKATO</v>
      </c>
      <c r="B226">
        <f>[5]trip_summary_region!B226</f>
        <v>9</v>
      </c>
      <c r="C226">
        <f>[5]trip_summary_region!C226</f>
        <v>2013</v>
      </c>
      <c r="D226">
        <f>[5]trip_summary_region!D226</f>
        <v>17</v>
      </c>
      <c r="E226">
        <f>[5]trip_summary_region!E226</f>
        <v>46</v>
      </c>
      <c r="F226">
        <f>[5]trip_summary_region!F226</f>
        <v>1.8854250596</v>
      </c>
      <c r="G226">
        <f>[5]trip_summary_region!G226</f>
        <v>0</v>
      </c>
      <c r="H226">
        <f>[5]trip_summary_region!H226</f>
        <v>0.63404452519999999</v>
      </c>
      <c r="I226" t="str">
        <f>[5]trip_summary_region!I226</f>
        <v>Other Household Travel</v>
      </c>
      <c r="J226" t="str">
        <f>[5]trip_summary_region!J226</f>
        <v>2012/13</v>
      </c>
    </row>
    <row r="227" spans="1:10" x14ac:dyDescent="0.2">
      <c r="A227" t="str">
        <f>[5]trip_summary_region!A227</f>
        <v>03 WAIKATO</v>
      </c>
      <c r="B227">
        <f>[5]trip_summary_region!B227</f>
        <v>9</v>
      </c>
      <c r="C227">
        <f>[5]trip_summary_region!C227</f>
        <v>2018</v>
      </c>
      <c r="D227">
        <f>[5]trip_summary_region!D227</f>
        <v>17</v>
      </c>
      <c r="E227">
        <f>[5]trip_summary_region!E227</f>
        <v>46</v>
      </c>
      <c r="F227">
        <f>[5]trip_summary_region!F227</f>
        <v>2.1109372978000001</v>
      </c>
      <c r="G227">
        <f>[5]trip_summary_region!G227</f>
        <v>0</v>
      </c>
      <c r="H227">
        <f>[5]trip_summary_region!H227</f>
        <v>0.68774651519999996</v>
      </c>
      <c r="I227" t="str">
        <f>[5]trip_summary_region!I227</f>
        <v>Other Household Travel</v>
      </c>
      <c r="J227" t="str">
        <f>[5]trip_summary_region!J227</f>
        <v>2017/18</v>
      </c>
    </row>
    <row r="228" spans="1:10" x14ac:dyDescent="0.2">
      <c r="A228" t="str">
        <f>[5]trip_summary_region!A228</f>
        <v>03 WAIKATO</v>
      </c>
      <c r="B228">
        <f>[5]trip_summary_region!B228</f>
        <v>9</v>
      </c>
      <c r="C228">
        <f>[5]trip_summary_region!C228</f>
        <v>2023</v>
      </c>
      <c r="D228">
        <f>[5]trip_summary_region!D228</f>
        <v>17</v>
      </c>
      <c r="E228">
        <f>[5]trip_summary_region!E228</f>
        <v>46</v>
      </c>
      <c r="F228">
        <f>[5]trip_summary_region!F228</f>
        <v>2.3159901019000002</v>
      </c>
      <c r="G228">
        <f>[5]trip_summary_region!G228</f>
        <v>0</v>
      </c>
      <c r="H228">
        <f>[5]trip_summary_region!H228</f>
        <v>0.73058293100000005</v>
      </c>
      <c r="I228" t="str">
        <f>[5]trip_summary_region!I228</f>
        <v>Other Household Travel</v>
      </c>
      <c r="J228" t="str">
        <f>[5]trip_summary_region!J228</f>
        <v>2022/23</v>
      </c>
    </row>
    <row r="229" spans="1:10" x14ac:dyDescent="0.2">
      <c r="A229" t="str">
        <f>[5]trip_summary_region!A229</f>
        <v>03 WAIKATO</v>
      </c>
      <c r="B229">
        <f>[5]trip_summary_region!B229</f>
        <v>9</v>
      </c>
      <c r="C229">
        <f>[5]trip_summary_region!C229</f>
        <v>2028</v>
      </c>
      <c r="D229">
        <f>[5]trip_summary_region!D229</f>
        <v>17</v>
      </c>
      <c r="E229">
        <f>[5]trip_summary_region!E229</f>
        <v>46</v>
      </c>
      <c r="F229">
        <f>[5]trip_summary_region!F229</f>
        <v>2.4531408495</v>
      </c>
      <c r="G229">
        <f>[5]trip_summary_region!G229</f>
        <v>0</v>
      </c>
      <c r="H229">
        <f>[5]trip_summary_region!H229</f>
        <v>0.74325035819999996</v>
      </c>
      <c r="I229" t="str">
        <f>[5]trip_summary_region!I229</f>
        <v>Other Household Travel</v>
      </c>
      <c r="J229" t="str">
        <f>[5]trip_summary_region!J229</f>
        <v>2027/28</v>
      </c>
    </row>
    <row r="230" spans="1:10" x14ac:dyDescent="0.2">
      <c r="A230" t="str">
        <f>[5]trip_summary_region!A230</f>
        <v>03 WAIKATO</v>
      </c>
      <c r="B230">
        <f>[5]trip_summary_region!B230</f>
        <v>9</v>
      </c>
      <c r="C230">
        <f>[5]trip_summary_region!C230</f>
        <v>2033</v>
      </c>
      <c r="D230">
        <f>[5]trip_summary_region!D230</f>
        <v>17</v>
      </c>
      <c r="E230">
        <f>[5]trip_summary_region!E230</f>
        <v>46</v>
      </c>
      <c r="F230">
        <f>[5]trip_summary_region!F230</f>
        <v>2.5804062957</v>
      </c>
      <c r="G230">
        <f>[5]trip_summary_region!G230</f>
        <v>0</v>
      </c>
      <c r="H230">
        <f>[5]trip_summary_region!H230</f>
        <v>0.74423115289999997</v>
      </c>
      <c r="I230" t="str">
        <f>[5]trip_summary_region!I230</f>
        <v>Other Household Travel</v>
      </c>
      <c r="J230" t="str">
        <f>[5]trip_summary_region!J230</f>
        <v>2032/33</v>
      </c>
    </row>
    <row r="231" spans="1:10" x14ac:dyDescent="0.2">
      <c r="A231" t="str">
        <f>[5]trip_summary_region!A231</f>
        <v>03 WAIKATO</v>
      </c>
      <c r="B231">
        <f>[5]trip_summary_region!B231</f>
        <v>9</v>
      </c>
      <c r="C231">
        <f>[5]trip_summary_region!C231</f>
        <v>2038</v>
      </c>
      <c r="D231">
        <f>[5]trip_summary_region!D231</f>
        <v>17</v>
      </c>
      <c r="E231">
        <f>[5]trip_summary_region!E231</f>
        <v>46</v>
      </c>
      <c r="F231">
        <f>[5]trip_summary_region!F231</f>
        <v>2.6090711172000001</v>
      </c>
      <c r="G231">
        <f>[5]trip_summary_region!G231</f>
        <v>0</v>
      </c>
      <c r="H231">
        <f>[5]trip_summary_region!H231</f>
        <v>0.74053890310000003</v>
      </c>
      <c r="I231" t="str">
        <f>[5]trip_summary_region!I231</f>
        <v>Other Household Travel</v>
      </c>
      <c r="J231" t="str">
        <f>[5]trip_summary_region!J231</f>
        <v>2037/38</v>
      </c>
    </row>
    <row r="232" spans="1:10" x14ac:dyDescent="0.2">
      <c r="A232" t="str">
        <f>[5]trip_summary_region!A232</f>
        <v>03 WAIKATO</v>
      </c>
      <c r="B232">
        <f>[5]trip_summary_region!B232</f>
        <v>9</v>
      </c>
      <c r="C232">
        <f>[5]trip_summary_region!C232</f>
        <v>2043</v>
      </c>
      <c r="D232">
        <f>[5]trip_summary_region!D232</f>
        <v>17</v>
      </c>
      <c r="E232">
        <f>[5]trip_summary_region!E232</f>
        <v>46</v>
      </c>
      <c r="F232">
        <f>[5]trip_summary_region!F232</f>
        <v>2.4973065691</v>
      </c>
      <c r="G232">
        <f>[5]trip_summary_region!G232</f>
        <v>0</v>
      </c>
      <c r="H232">
        <f>[5]trip_summary_region!H232</f>
        <v>0.71404514519999995</v>
      </c>
      <c r="I232" t="str">
        <f>[5]trip_summary_region!I232</f>
        <v>Other Household Travel</v>
      </c>
      <c r="J232" t="str">
        <f>[5]trip_summary_region!J232</f>
        <v>2042/43</v>
      </c>
    </row>
    <row r="233" spans="1:10" x14ac:dyDescent="0.2">
      <c r="A233" t="str">
        <f>[5]trip_summary_region!A233</f>
        <v>03 WAIKATO</v>
      </c>
      <c r="B233">
        <f>[5]trip_summary_region!B233</f>
        <v>10</v>
      </c>
      <c r="C233">
        <f>[5]trip_summary_region!C233</f>
        <v>2013</v>
      </c>
      <c r="D233">
        <f>[5]trip_summary_region!D233</f>
        <v>18</v>
      </c>
      <c r="E233">
        <f>[5]trip_summary_region!E233</f>
        <v>32</v>
      </c>
      <c r="F233">
        <f>[5]trip_summary_region!F233</f>
        <v>0.92406733060000001</v>
      </c>
      <c r="G233">
        <f>[5]trip_summary_region!G233</f>
        <v>54.768337629999998</v>
      </c>
      <c r="H233">
        <f>[5]trip_summary_region!H233</f>
        <v>2.3234459650999999</v>
      </c>
      <c r="I233" t="str">
        <f>[5]trip_summary_region!I233</f>
        <v>Air/Non-Local PT</v>
      </c>
      <c r="J233" t="str">
        <f>[5]trip_summary_region!J233</f>
        <v>2012/13</v>
      </c>
    </row>
    <row r="234" spans="1:10" x14ac:dyDescent="0.2">
      <c r="A234" t="str">
        <f>[5]trip_summary_region!A234</f>
        <v>03 WAIKATO</v>
      </c>
      <c r="B234">
        <f>[5]trip_summary_region!B234</f>
        <v>10</v>
      </c>
      <c r="C234">
        <f>[5]trip_summary_region!C234</f>
        <v>2018</v>
      </c>
      <c r="D234">
        <f>[5]trip_summary_region!D234</f>
        <v>18</v>
      </c>
      <c r="E234">
        <f>[5]trip_summary_region!E234</f>
        <v>32</v>
      </c>
      <c r="F234">
        <f>[5]trip_summary_region!F234</f>
        <v>1.1250877552</v>
      </c>
      <c r="G234">
        <f>[5]trip_summary_region!G234</f>
        <v>62.634060808000001</v>
      </c>
      <c r="H234">
        <f>[5]trip_summary_region!H234</f>
        <v>2.8764451037000001</v>
      </c>
      <c r="I234" t="str">
        <f>[5]trip_summary_region!I234</f>
        <v>Air/Non-Local PT</v>
      </c>
      <c r="J234" t="str">
        <f>[5]trip_summary_region!J234</f>
        <v>2017/18</v>
      </c>
    </row>
    <row r="235" spans="1:10" x14ac:dyDescent="0.2">
      <c r="A235" t="str">
        <f>[5]trip_summary_region!A235</f>
        <v>03 WAIKATO</v>
      </c>
      <c r="B235">
        <f>[5]trip_summary_region!B235</f>
        <v>10</v>
      </c>
      <c r="C235">
        <f>[5]trip_summary_region!C235</f>
        <v>2023</v>
      </c>
      <c r="D235">
        <f>[5]trip_summary_region!D235</f>
        <v>18</v>
      </c>
      <c r="E235">
        <f>[5]trip_summary_region!E235</f>
        <v>32</v>
      </c>
      <c r="F235">
        <f>[5]trip_summary_region!F235</f>
        <v>1.3052989923</v>
      </c>
      <c r="G235">
        <f>[5]trip_summary_region!G235</f>
        <v>65.980986221999999</v>
      </c>
      <c r="H235">
        <f>[5]trip_summary_region!H235</f>
        <v>3.3461208493000001</v>
      </c>
      <c r="I235" t="str">
        <f>[5]trip_summary_region!I235</f>
        <v>Air/Non-Local PT</v>
      </c>
      <c r="J235" t="str">
        <f>[5]trip_summary_region!J235</f>
        <v>2022/23</v>
      </c>
    </row>
    <row r="236" spans="1:10" x14ac:dyDescent="0.2">
      <c r="A236" t="str">
        <f>[5]trip_summary_region!A236</f>
        <v>03 WAIKATO</v>
      </c>
      <c r="B236">
        <f>[5]trip_summary_region!B236</f>
        <v>10</v>
      </c>
      <c r="C236">
        <f>[5]trip_summary_region!C236</f>
        <v>2028</v>
      </c>
      <c r="D236">
        <f>[5]trip_summary_region!D236</f>
        <v>18</v>
      </c>
      <c r="E236">
        <f>[5]trip_summary_region!E236</f>
        <v>32</v>
      </c>
      <c r="F236">
        <f>[5]trip_summary_region!F236</f>
        <v>1.5363519937000001</v>
      </c>
      <c r="G236">
        <f>[5]trip_summary_region!G236</f>
        <v>71.410014904999997</v>
      </c>
      <c r="H236">
        <f>[5]trip_summary_region!H236</f>
        <v>3.9988873081</v>
      </c>
      <c r="I236" t="str">
        <f>[5]trip_summary_region!I236</f>
        <v>Air/Non-Local PT</v>
      </c>
      <c r="J236" t="str">
        <f>[5]trip_summary_region!J236</f>
        <v>2027/28</v>
      </c>
    </row>
    <row r="237" spans="1:10" x14ac:dyDescent="0.2">
      <c r="A237" t="str">
        <f>[5]trip_summary_region!A237</f>
        <v>03 WAIKATO</v>
      </c>
      <c r="B237">
        <f>[5]trip_summary_region!B237</f>
        <v>10</v>
      </c>
      <c r="C237">
        <f>[5]trip_summary_region!C237</f>
        <v>2033</v>
      </c>
      <c r="D237">
        <f>[5]trip_summary_region!D237</f>
        <v>18</v>
      </c>
      <c r="E237">
        <f>[5]trip_summary_region!E237</f>
        <v>32</v>
      </c>
      <c r="F237">
        <f>[5]trip_summary_region!F237</f>
        <v>1.7421235163</v>
      </c>
      <c r="G237">
        <f>[5]trip_summary_region!G237</f>
        <v>78.537010249999994</v>
      </c>
      <c r="H237">
        <f>[5]trip_summary_region!H237</f>
        <v>4.5800394821000001</v>
      </c>
      <c r="I237" t="str">
        <f>[5]trip_summary_region!I237</f>
        <v>Air/Non-Local PT</v>
      </c>
      <c r="J237" t="str">
        <f>[5]trip_summary_region!J237</f>
        <v>2032/33</v>
      </c>
    </row>
    <row r="238" spans="1:10" x14ac:dyDescent="0.2">
      <c r="A238" t="str">
        <f>[5]trip_summary_region!A238</f>
        <v>03 WAIKATO</v>
      </c>
      <c r="B238">
        <f>[5]trip_summary_region!B238</f>
        <v>10</v>
      </c>
      <c r="C238">
        <f>[5]trip_summary_region!C238</f>
        <v>2038</v>
      </c>
      <c r="D238">
        <f>[5]trip_summary_region!D238</f>
        <v>18</v>
      </c>
      <c r="E238">
        <f>[5]trip_summary_region!E238</f>
        <v>32</v>
      </c>
      <c r="F238">
        <f>[5]trip_summary_region!F238</f>
        <v>1.9176510794999999</v>
      </c>
      <c r="G238">
        <f>[5]trip_summary_region!G238</f>
        <v>88.194570710999997</v>
      </c>
      <c r="H238">
        <f>[5]trip_summary_region!H238</f>
        <v>4.9360183427999997</v>
      </c>
      <c r="I238" t="str">
        <f>[5]trip_summary_region!I238</f>
        <v>Air/Non-Local PT</v>
      </c>
      <c r="J238" t="str">
        <f>[5]trip_summary_region!J238</f>
        <v>2037/38</v>
      </c>
    </row>
    <row r="239" spans="1:10" x14ac:dyDescent="0.2">
      <c r="A239" t="str">
        <f>[5]trip_summary_region!A239</f>
        <v>03 WAIKATO</v>
      </c>
      <c r="B239">
        <f>[5]trip_summary_region!B239</f>
        <v>10</v>
      </c>
      <c r="C239">
        <f>[5]trip_summary_region!C239</f>
        <v>2043</v>
      </c>
      <c r="D239">
        <f>[5]trip_summary_region!D239</f>
        <v>18</v>
      </c>
      <c r="E239">
        <f>[5]trip_summary_region!E239</f>
        <v>32</v>
      </c>
      <c r="F239">
        <f>[5]trip_summary_region!F239</f>
        <v>2.0943938629000001</v>
      </c>
      <c r="G239">
        <f>[5]trip_summary_region!G239</f>
        <v>99.371082638000004</v>
      </c>
      <c r="H239">
        <f>[5]trip_summary_region!H239</f>
        <v>5.2768829593</v>
      </c>
      <c r="I239" t="str">
        <f>[5]trip_summary_region!I239</f>
        <v>Air/Non-Local PT</v>
      </c>
      <c r="J239" t="str">
        <f>[5]trip_summary_region!J239</f>
        <v>2042/43</v>
      </c>
    </row>
    <row r="240" spans="1:10" x14ac:dyDescent="0.2">
      <c r="A240" t="str">
        <f>[5]trip_summary_region!A240</f>
        <v>03 WAIKATO</v>
      </c>
      <c r="B240">
        <f>[5]trip_summary_region!B240</f>
        <v>11</v>
      </c>
      <c r="C240">
        <f>[5]trip_summary_region!C240</f>
        <v>2013</v>
      </c>
      <c r="D240">
        <f>[5]trip_summary_region!D240</f>
        <v>52</v>
      </c>
      <c r="E240">
        <f>[5]trip_summary_region!E240</f>
        <v>244</v>
      </c>
      <c r="F240">
        <f>[5]trip_summary_region!F240</f>
        <v>8.7527428694000005</v>
      </c>
      <c r="G240">
        <f>[5]trip_summary_region!G240</f>
        <v>166.86894676</v>
      </c>
      <c r="H240">
        <f>[5]trip_summary_region!H240</f>
        <v>3.3327759721999999</v>
      </c>
      <c r="I240" t="str">
        <f>[5]trip_summary_region!I240</f>
        <v>Non-Household Travel</v>
      </c>
      <c r="J240" t="str">
        <f>[5]trip_summary_region!J240</f>
        <v>2012/13</v>
      </c>
    </row>
    <row r="241" spans="1:10" x14ac:dyDescent="0.2">
      <c r="A241" t="str">
        <f>[5]trip_summary_region!A241</f>
        <v>03 WAIKATO</v>
      </c>
      <c r="B241">
        <f>[5]trip_summary_region!B241</f>
        <v>11</v>
      </c>
      <c r="C241">
        <f>[5]trip_summary_region!C241</f>
        <v>2018</v>
      </c>
      <c r="D241">
        <f>[5]trip_summary_region!D241</f>
        <v>52</v>
      </c>
      <c r="E241">
        <f>[5]trip_summary_region!E241</f>
        <v>244</v>
      </c>
      <c r="F241">
        <f>[5]trip_summary_region!F241</f>
        <v>9.8107755917000006</v>
      </c>
      <c r="G241">
        <f>[5]trip_summary_region!G241</f>
        <v>185.38545687999999</v>
      </c>
      <c r="H241">
        <f>[5]trip_summary_region!H241</f>
        <v>3.7214320117000002</v>
      </c>
      <c r="I241" t="str">
        <f>[5]trip_summary_region!I241</f>
        <v>Non-Household Travel</v>
      </c>
      <c r="J241" t="str">
        <f>[5]trip_summary_region!J241</f>
        <v>2017/18</v>
      </c>
    </row>
    <row r="242" spans="1:10" x14ac:dyDescent="0.2">
      <c r="A242" t="str">
        <f>[5]trip_summary_region!A242</f>
        <v>03 WAIKATO</v>
      </c>
      <c r="B242">
        <f>[5]trip_summary_region!B242</f>
        <v>11</v>
      </c>
      <c r="C242">
        <f>[5]trip_summary_region!C242</f>
        <v>2023</v>
      </c>
      <c r="D242">
        <f>[5]trip_summary_region!D242</f>
        <v>52</v>
      </c>
      <c r="E242">
        <f>[5]trip_summary_region!E242</f>
        <v>244</v>
      </c>
      <c r="F242">
        <f>[5]trip_summary_region!F242</f>
        <v>10.129382171</v>
      </c>
      <c r="G242">
        <f>[5]trip_summary_region!G242</f>
        <v>192.38651579</v>
      </c>
      <c r="H242">
        <f>[5]trip_summary_region!H242</f>
        <v>3.8492908156999999</v>
      </c>
      <c r="I242" t="str">
        <f>[5]trip_summary_region!I242</f>
        <v>Non-Household Travel</v>
      </c>
      <c r="J242" t="str">
        <f>[5]trip_summary_region!J242</f>
        <v>2022/23</v>
      </c>
    </row>
    <row r="243" spans="1:10" x14ac:dyDescent="0.2">
      <c r="A243" t="str">
        <f>[5]trip_summary_region!A243</f>
        <v>03 WAIKATO</v>
      </c>
      <c r="B243">
        <f>[5]trip_summary_region!B243</f>
        <v>11</v>
      </c>
      <c r="C243">
        <f>[5]trip_summary_region!C243</f>
        <v>2028</v>
      </c>
      <c r="D243">
        <f>[5]trip_summary_region!D243</f>
        <v>52</v>
      </c>
      <c r="E243">
        <f>[5]trip_summary_region!E243</f>
        <v>244</v>
      </c>
      <c r="F243">
        <f>[5]trip_summary_region!F243</f>
        <v>10.787904995</v>
      </c>
      <c r="G243">
        <f>[5]trip_summary_region!G243</f>
        <v>208.15851117</v>
      </c>
      <c r="H243">
        <f>[5]trip_summary_region!H243</f>
        <v>4.1454031931999999</v>
      </c>
      <c r="I243" t="str">
        <f>[5]trip_summary_region!I243</f>
        <v>Non-Household Travel</v>
      </c>
      <c r="J243" t="str">
        <f>[5]trip_summary_region!J243</f>
        <v>2027/28</v>
      </c>
    </row>
    <row r="244" spans="1:10" x14ac:dyDescent="0.2">
      <c r="A244" t="str">
        <f>[5]trip_summary_region!A244</f>
        <v>03 WAIKATO</v>
      </c>
      <c r="B244">
        <f>[5]trip_summary_region!B244</f>
        <v>11</v>
      </c>
      <c r="C244">
        <f>[5]trip_summary_region!C244</f>
        <v>2033</v>
      </c>
      <c r="D244">
        <f>[5]trip_summary_region!D244</f>
        <v>52</v>
      </c>
      <c r="E244">
        <f>[5]trip_summary_region!E244</f>
        <v>244</v>
      </c>
      <c r="F244">
        <f>[5]trip_summary_region!F244</f>
        <v>11.412044238</v>
      </c>
      <c r="G244">
        <f>[5]trip_summary_region!G244</f>
        <v>224.80162383999999</v>
      </c>
      <c r="H244">
        <f>[5]trip_summary_region!H244</f>
        <v>4.4501819550999997</v>
      </c>
      <c r="I244" t="str">
        <f>[5]trip_summary_region!I244</f>
        <v>Non-Household Travel</v>
      </c>
      <c r="J244" t="str">
        <f>[5]trip_summary_region!J244</f>
        <v>2032/33</v>
      </c>
    </row>
    <row r="245" spans="1:10" x14ac:dyDescent="0.2">
      <c r="A245" t="str">
        <f>[5]trip_summary_region!A245</f>
        <v>03 WAIKATO</v>
      </c>
      <c r="B245">
        <f>[5]trip_summary_region!B245</f>
        <v>11</v>
      </c>
      <c r="C245">
        <f>[5]trip_summary_region!C245</f>
        <v>2038</v>
      </c>
      <c r="D245">
        <f>[5]trip_summary_region!D245</f>
        <v>52</v>
      </c>
      <c r="E245">
        <f>[5]trip_summary_region!E245</f>
        <v>244</v>
      </c>
      <c r="F245">
        <f>[5]trip_summary_region!F245</f>
        <v>12.170055550000001</v>
      </c>
      <c r="G245">
        <f>[5]trip_summary_region!G245</f>
        <v>242.94849549</v>
      </c>
      <c r="H245">
        <f>[5]trip_summary_region!H245</f>
        <v>4.7950214493000001</v>
      </c>
      <c r="I245" t="str">
        <f>[5]trip_summary_region!I245</f>
        <v>Non-Household Travel</v>
      </c>
      <c r="J245" t="str">
        <f>[5]trip_summary_region!J245</f>
        <v>2037/38</v>
      </c>
    </row>
    <row r="246" spans="1:10" x14ac:dyDescent="0.2">
      <c r="A246" t="str">
        <f>[5]trip_summary_region!A246</f>
        <v>03 WAIKATO</v>
      </c>
      <c r="B246">
        <f>[5]trip_summary_region!B246</f>
        <v>11</v>
      </c>
      <c r="C246">
        <f>[5]trip_summary_region!C246</f>
        <v>2043</v>
      </c>
      <c r="D246">
        <f>[5]trip_summary_region!D246</f>
        <v>52</v>
      </c>
      <c r="E246">
        <f>[5]trip_summary_region!E246</f>
        <v>244</v>
      </c>
      <c r="F246">
        <f>[5]trip_summary_region!F246</f>
        <v>12.890645868</v>
      </c>
      <c r="G246">
        <f>[5]trip_summary_region!G246</f>
        <v>260.24550664999998</v>
      </c>
      <c r="H246">
        <f>[5]trip_summary_region!H246</f>
        <v>5.1216806647000004</v>
      </c>
      <c r="I246" t="str">
        <f>[5]trip_summary_region!I246</f>
        <v>Non-Household Travel</v>
      </c>
      <c r="J246" t="str">
        <f>[5]trip_summary_region!J246</f>
        <v>2042/43</v>
      </c>
    </row>
    <row r="247" spans="1:10" x14ac:dyDescent="0.2">
      <c r="A247" t="str">
        <f>[5]trip_summary_region!A247</f>
        <v>04 BAY OF PLENTY</v>
      </c>
      <c r="B247">
        <f>[5]trip_summary_region!B247</f>
        <v>0</v>
      </c>
      <c r="C247">
        <f>[5]trip_summary_region!C247</f>
        <v>2013</v>
      </c>
      <c r="D247">
        <f>[5]trip_summary_region!D247</f>
        <v>436</v>
      </c>
      <c r="E247">
        <f>[5]trip_summary_region!E247</f>
        <v>1419</v>
      </c>
      <c r="F247">
        <f>[5]trip_summary_region!F247</f>
        <v>43.402809341999998</v>
      </c>
      <c r="G247">
        <f>[5]trip_summary_region!G247</f>
        <v>35.579183637</v>
      </c>
      <c r="H247">
        <f>[5]trip_summary_region!H247</f>
        <v>9.1706746114000008</v>
      </c>
      <c r="I247" t="str">
        <f>[5]trip_summary_region!I247</f>
        <v>Pedestrian</v>
      </c>
      <c r="J247" t="str">
        <f>[5]trip_summary_region!J247</f>
        <v>2012/13</v>
      </c>
    </row>
    <row r="248" spans="1:10" x14ac:dyDescent="0.2">
      <c r="A248" t="str">
        <f>[5]trip_summary_region!A248</f>
        <v>04 BAY OF PLENTY</v>
      </c>
      <c r="B248">
        <f>[5]trip_summary_region!B248</f>
        <v>0</v>
      </c>
      <c r="C248">
        <f>[5]trip_summary_region!C248</f>
        <v>2018</v>
      </c>
      <c r="D248">
        <f>[5]trip_summary_region!D248</f>
        <v>436</v>
      </c>
      <c r="E248">
        <f>[5]trip_summary_region!E248</f>
        <v>1419</v>
      </c>
      <c r="F248">
        <f>[5]trip_summary_region!F248</f>
        <v>45.934142506999997</v>
      </c>
      <c r="G248">
        <f>[5]trip_summary_region!G248</f>
        <v>36.550679711999997</v>
      </c>
      <c r="H248">
        <f>[5]trip_summary_region!H248</f>
        <v>9.6234601037999994</v>
      </c>
      <c r="I248" t="str">
        <f>[5]trip_summary_region!I248</f>
        <v>Pedestrian</v>
      </c>
      <c r="J248" t="str">
        <f>[5]trip_summary_region!J248</f>
        <v>2017/18</v>
      </c>
    </row>
    <row r="249" spans="1:10" x14ac:dyDescent="0.2">
      <c r="A249" t="str">
        <f>[5]trip_summary_region!A249</f>
        <v>04 BAY OF PLENTY</v>
      </c>
      <c r="B249">
        <f>[5]trip_summary_region!B249</f>
        <v>0</v>
      </c>
      <c r="C249">
        <f>[5]trip_summary_region!C249</f>
        <v>2023</v>
      </c>
      <c r="D249">
        <f>[5]trip_summary_region!D249</f>
        <v>436</v>
      </c>
      <c r="E249">
        <f>[5]trip_summary_region!E249</f>
        <v>1419</v>
      </c>
      <c r="F249">
        <f>[5]trip_summary_region!F249</f>
        <v>49.685100239</v>
      </c>
      <c r="G249">
        <f>[5]trip_summary_region!G249</f>
        <v>38.541227867000003</v>
      </c>
      <c r="H249">
        <f>[5]trip_summary_region!H249</f>
        <v>10.301146993</v>
      </c>
      <c r="I249" t="str">
        <f>[5]trip_summary_region!I249</f>
        <v>Pedestrian</v>
      </c>
      <c r="J249" t="str">
        <f>[5]trip_summary_region!J249</f>
        <v>2022/23</v>
      </c>
    </row>
    <row r="250" spans="1:10" x14ac:dyDescent="0.2">
      <c r="A250" t="str">
        <f>[5]trip_summary_region!A250</f>
        <v>04 BAY OF PLENTY</v>
      </c>
      <c r="B250">
        <f>[5]trip_summary_region!B250</f>
        <v>0</v>
      </c>
      <c r="C250">
        <f>[5]trip_summary_region!C250</f>
        <v>2028</v>
      </c>
      <c r="D250">
        <f>[5]trip_summary_region!D250</f>
        <v>436</v>
      </c>
      <c r="E250">
        <f>[5]trip_summary_region!E250</f>
        <v>1419</v>
      </c>
      <c r="F250">
        <f>[5]trip_summary_region!F250</f>
        <v>53.768865067</v>
      </c>
      <c r="G250">
        <f>[5]trip_summary_region!G250</f>
        <v>40.175542599000003</v>
      </c>
      <c r="H250">
        <f>[5]trip_summary_region!H250</f>
        <v>10.910594609</v>
      </c>
      <c r="I250" t="str">
        <f>[5]trip_summary_region!I250</f>
        <v>Pedestrian</v>
      </c>
      <c r="J250" t="str">
        <f>[5]trip_summary_region!J250</f>
        <v>2027/28</v>
      </c>
    </row>
    <row r="251" spans="1:10" x14ac:dyDescent="0.2">
      <c r="A251" t="str">
        <f>[5]trip_summary_region!A251</f>
        <v>04 BAY OF PLENTY</v>
      </c>
      <c r="B251">
        <f>[5]trip_summary_region!B251</f>
        <v>0</v>
      </c>
      <c r="C251">
        <f>[5]trip_summary_region!C251</f>
        <v>2033</v>
      </c>
      <c r="D251">
        <f>[5]trip_summary_region!D251</f>
        <v>436</v>
      </c>
      <c r="E251">
        <f>[5]trip_summary_region!E251</f>
        <v>1419</v>
      </c>
      <c r="F251">
        <f>[5]trip_summary_region!F251</f>
        <v>57.597267168000002</v>
      </c>
      <c r="G251">
        <f>[5]trip_summary_region!G251</f>
        <v>41.465039760000003</v>
      </c>
      <c r="H251">
        <f>[5]trip_summary_region!H251</f>
        <v>11.403210272000001</v>
      </c>
      <c r="I251" t="str">
        <f>[5]trip_summary_region!I251</f>
        <v>Pedestrian</v>
      </c>
      <c r="J251" t="str">
        <f>[5]trip_summary_region!J251</f>
        <v>2032/33</v>
      </c>
    </row>
    <row r="252" spans="1:10" x14ac:dyDescent="0.2">
      <c r="A252" t="str">
        <f>[5]trip_summary_region!A252</f>
        <v>04 BAY OF PLENTY</v>
      </c>
      <c r="B252">
        <f>[5]trip_summary_region!B252</f>
        <v>0</v>
      </c>
      <c r="C252">
        <f>[5]trip_summary_region!C252</f>
        <v>2038</v>
      </c>
      <c r="D252">
        <f>[5]trip_summary_region!D252</f>
        <v>436</v>
      </c>
      <c r="E252">
        <f>[5]trip_summary_region!E252</f>
        <v>1419</v>
      </c>
      <c r="F252">
        <f>[5]trip_summary_region!F252</f>
        <v>61.473643576000001</v>
      </c>
      <c r="G252">
        <f>[5]trip_summary_region!G252</f>
        <v>43.002514327999997</v>
      </c>
      <c r="H252">
        <f>[5]trip_summary_region!H252</f>
        <v>11.890909710000001</v>
      </c>
      <c r="I252" t="str">
        <f>[5]trip_summary_region!I252</f>
        <v>Pedestrian</v>
      </c>
      <c r="J252" t="str">
        <f>[5]trip_summary_region!J252</f>
        <v>2037/38</v>
      </c>
    </row>
    <row r="253" spans="1:10" x14ac:dyDescent="0.2">
      <c r="A253" t="str">
        <f>[5]trip_summary_region!A253</f>
        <v>04 BAY OF PLENTY</v>
      </c>
      <c r="B253">
        <f>[5]trip_summary_region!B253</f>
        <v>0</v>
      </c>
      <c r="C253">
        <f>[5]trip_summary_region!C253</f>
        <v>2043</v>
      </c>
      <c r="D253">
        <f>[5]trip_summary_region!D253</f>
        <v>436</v>
      </c>
      <c r="E253">
        <f>[5]trip_summary_region!E253</f>
        <v>1419</v>
      </c>
      <c r="F253">
        <f>[5]trip_summary_region!F253</f>
        <v>65.171720121000007</v>
      </c>
      <c r="G253">
        <f>[5]trip_summary_region!G253</f>
        <v>44.398519757000003</v>
      </c>
      <c r="H253">
        <f>[5]trip_summary_region!H253</f>
        <v>12.317281894000001</v>
      </c>
      <c r="I253" t="str">
        <f>[5]trip_summary_region!I253</f>
        <v>Pedestrian</v>
      </c>
      <c r="J253" t="str">
        <f>[5]trip_summary_region!J253</f>
        <v>2042/43</v>
      </c>
    </row>
    <row r="254" spans="1:10" x14ac:dyDescent="0.2">
      <c r="A254" t="str">
        <f>[5]trip_summary_region!A254</f>
        <v>04 BAY OF PLENTY</v>
      </c>
      <c r="B254">
        <f>[5]trip_summary_region!B254</f>
        <v>1</v>
      </c>
      <c r="C254">
        <f>[5]trip_summary_region!C254</f>
        <v>2013</v>
      </c>
      <c r="D254">
        <f>[5]trip_summary_region!D254</f>
        <v>53</v>
      </c>
      <c r="E254">
        <f>[5]trip_summary_region!E254</f>
        <v>183</v>
      </c>
      <c r="F254">
        <f>[5]trip_summary_region!F254</f>
        <v>5.1579391552000002</v>
      </c>
      <c r="G254">
        <f>[5]trip_summary_region!G254</f>
        <v>8.5028812633000008</v>
      </c>
      <c r="H254">
        <f>[5]trip_summary_region!H254</f>
        <v>0.91801276549999999</v>
      </c>
      <c r="I254" t="str">
        <f>[5]trip_summary_region!I254</f>
        <v>Cyclist</v>
      </c>
      <c r="J254" t="str">
        <f>[5]trip_summary_region!J254</f>
        <v>2012/13</v>
      </c>
    </row>
    <row r="255" spans="1:10" x14ac:dyDescent="0.2">
      <c r="A255" t="str">
        <f>[5]trip_summary_region!A255</f>
        <v>04 BAY OF PLENTY</v>
      </c>
      <c r="B255">
        <f>[5]trip_summary_region!B255</f>
        <v>1</v>
      </c>
      <c r="C255">
        <f>[5]trip_summary_region!C255</f>
        <v>2018</v>
      </c>
      <c r="D255">
        <f>[5]trip_summary_region!D255</f>
        <v>53</v>
      </c>
      <c r="E255">
        <f>[5]trip_summary_region!E255</f>
        <v>183</v>
      </c>
      <c r="F255">
        <f>[5]trip_summary_region!F255</f>
        <v>5.2308373600999998</v>
      </c>
      <c r="G255">
        <f>[5]trip_summary_region!G255</f>
        <v>8.6485852841999993</v>
      </c>
      <c r="H255">
        <f>[5]trip_summary_region!H255</f>
        <v>0.91928520739999997</v>
      </c>
      <c r="I255" t="str">
        <f>[5]trip_summary_region!I255</f>
        <v>Cyclist</v>
      </c>
      <c r="J255" t="str">
        <f>[5]trip_summary_region!J255</f>
        <v>2017/18</v>
      </c>
    </row>
    <row r="256" spans="1:10" x14ac:dyDescent="0.2">
      <c r="A256" t="str">
        <f>[5]trip_summary_region!A256</f>
        <v>04 BAY OF PLENTY</v>
      </c>
      <c r="B256">
        <f>[5]trip_summary_region!B256</f>
        <v>1</v>
      </c>
      <c r="C256">
        <f>[5]trip_summary_region!C256</f>
        <v>2023</v>
      </c>
      <c r="D256">
        <f>[5]trip_summary_region!D256</f>
        <v>53</v>
      </c>
      <c r="E256">
        <f>[5]trip_summary_region!E256</f>
        <v>183</v>
      </c>
      <c r="F256">
        <f>[5]trip_summary_region!F256</f>
        <v>5.6097752838000003</v>
      </c>
      <c r="G256">
        <f>[5]trip_summary_region!G256</f>
        <v>9.2925703774000006</v>
      </c>
      <c r="H256">
        <f>[5]trip_summary_region!H256</f>
        <v>0.9693672431</v>
      </c>
      <c r="I256" t="str">
        <f>[5]trip_summary_region!I256</f>
        <v>Cyclist</v>
      </c>
      <c r="J256" t="str">
        <f>[5]trip_summary_region!J256</f>
        <v>2022/23</v>
      </c>
    </row>
    <row r="257" spans="1:10" x14ac:dyDescent="0.2">
      <c r="A257" t="str">
        <f>[5]trip_summary_region!A257</f>
        <v>04 BAY OF PLENTY</v>
      </c>
      <c r="B257">
        <f>[5]trip_summary_region!B257</f>
        <v>1</v>
      </c>
      <c r="C257">
        <f>[5]trip_summary_region!C257</f>
        <v>2028</v>
      </c>
      <c r="D257">
        <f>[5]trip_summary_region!D257</f>
        <v>53</v>
      </c>
      <c r="E257">
        <f>[5]trip_summary_region!E257</f>
        <v>183</v>
      </c>
      <c r="F257">
        <f>[5]trip_summary_region!F257</f>
        <v>6.1446513771999998</v>
      </c>
      <c r="G257">
        <f>[5]trip_summary_region!G257</f>
        <v>10.117998124</v>
      </c>
      <c r="H257">
        <f>[5]trip_summary_region!H257</f>
        <v>1.0415897864999999</v>
      </c>
      <c r="I257" t="str">
        <f>[5]trip_summary_region!I257</f>
        <v>Cyclist</v>
      </c>
      <c r="J257" t="str">
        <f>[5]trip_summary_region!J257</f>
        <v>2027/28</v>
      </c>
    </row>
    <row r="258" spans="1:10" x14ac:dyDescent="0.2">
      <c r="A258" t="str">
        <f>[5]trip_summary_region!A258</f>
        <v>04 BAY OF PLENTY</v>
      </c>
      <c r="B258">
        <f>[5]trip_summary_region!B258</f>
        <v>1</v>
      </c>
      <c r="C258">
        <f>[5]trip_summary_region!C258</f>
        <v>2033</v>
      </c>
      <c r="D258">
        <f>[5]trip_summary_region!D258</f>
        <v>53</v>
      </c>
      <c r="E258">
        <f>[5]trip_summary_region!E258</f>
        <v>183</v>
      </c>
      <c r="F258">
        <f>[5]trip_summary_region!F258</f>
        <v>6.6560279222999998</v>
      </c>
      <c r="G258">
        <f>[5]trip_summary_region!G258</f>
        <v>10.840179726000001</v>
      </c>
      <c r="H258">
        <f>[5]trip_summary_region!H258</f>
        <v>1.1066925942000001</v>
      </c>
      <c r="I258" t="str">
        <f>[5]trip_summary_region!I258</f>
        <v>Cyclist</v>
      </c>
      <c r="J258" t="str">
        <f>[5]trip_summary_region!J258</f>
        <v>2032/33</v>
      </c>
    </row>
    <row r="259" spans="1:10" x14ac:dyDescent="0.2">
      <c r="A259" t="str">
        <f>[5]trip_summary_region!A259</f>
        <v>04 BAY OF PLENTY</v>
      </c>
      <c r="B259">
        <f>[5]trip_summary_region!B259</f>
        <v>1</v>
      </c>
      <c r="C259">
        <f>[5]trip_summary_region!C259</f>
        <v>2038</v>
      </c>
      <c r="D259">
        <f>[5]trip_summary_region!D259</f>
        <v>53</v>
      </c>
      <c r="E259">
        <f>[5]trip_summary_region!E259</f>
        <v>183</v>
      </c>
      <c r="F259">
        <f>[5]trip_summary_region!F259</f>
        <v>7.1434943006999996</v>
      </c>
      <c r="G259">
        <f>[5]trip_summary_region!G259</f>
        <v>11.768116671</v>
      </c>
      <c r="H259">
        <f>[5]trip_summary_region!H259</f>
        <v>1.1789529375000001</v>
      </c>
      <c r="I259" t="str">
        <f>[5]trip_summary_region!I259</f>
        <v>Cyclist</v>
      </c>
      <c r="J259" t="str">
        <f>[5]trip_summary_region!J259</f>
        <v>2037/38</v>
      </c>
    </row>
    <row r="260" spans="1:10" x14ac:dyDescent="0.2">
      <c r="A260" t="str">
        <f>[5]trip_summary_region!A260</f>
        <v>04 BAY OF PLENTY</v>
      </c>
      <c r="B260">
        <f>[5]trip_summary_region!B260</f>
        <v>1</v>
      </c>
      <c r="C260">
        <f>[5]trip_summary_region!C260</f>
        <v>2043</v>
      </c>
      <c r="D260">
        <f>[5]trip_summary_region!D260</f>
        <v>53</v>
      </c>
      <c r="E260">
        <f>[5]trip_summary_region!E260</f>
        <v>183</v>
      </c>
      <c r="F260">
        <f>[5]trip_summary_region!F260</f>
        <v>7.6365353724</v>
      </c>
      <c r="G260">
        <f>[5]trip_summary_region!G260</f>
        <v>12.739463131999999</v>
      </c>
      <c r="H260">
        <f>[5]trip_summary_region!H260</f>
        <v>1.2542477613</v>
      </c>
      <c r="I260" t="str">
        <f>[5]trip_summary_region!I260</f>
        <v>Cyclist</v>
      </c>
      <c r="J260" t="str">
        <f>[5]trip_summary_region!J260</f>
        <v>2042/43</v>
      </c>
    </row>
    <row r="261" spans="1:10" x14ac:dyDescent="0.2">
      <c r="A261" t="str">
        <f>[5]trip_summary_region!A261</f>
        <v>04 BAY OF PLENTY</v>
      </c>
      <c r="B261">
        <f>[5]trip_summary_region!B261</f>
        <v>2</v>
      </c>
      <c r="C261">
        <f>[5]trip_summary_region!C261</f>
        <v>2013</v>
      </c>
      <c r="D261">
        <f>[5]trip_summary_region!D261</f>
        <v>777</v>
      </c>
      <c r="E261">
        <f>[5]trip_summary_region!E261</f>
        <v>5260</v>
      </c>
      <c r="F261">
        <f>[5]trip_summary_region!F261</f>
        <v>178.59124365</v>
      </c>
      <c r="G261">
        <f>[5]trip_summary_region!G261</f>
        <v>1972.0747595</v>
      </c>
      <c r="H261">
        <f>[5]trip_summary_region!H261</f>
        <v>45.59682093</v>
      </c>
      <c r="I261" t="str">
        <f>[5]trip_summary_region!I261</f>
        <v>Light Vehicle Driver</v>
      </c>
      <c r="J261" t="str">
        <f>[5]trip_summary_region!J261</f>
        <v>2012/13</v>
      </c>
    </row>
    <row r="262" spans="1:10" x14ac:dyDescent="0.2">
      <c r="A262" t="str">
        <f>[5]trip_summary_region!A262</f>
        <v>04 BAY OF PLENTY</v>
      </c>
      <c r="B262">
        <f>[5]trip_summary_region!B262</f>
        <v>2</v>
      </c>
      <c r="C262">
        <f>[5]trip_summary_region!C262</f>
        <v>2018</v>
      </c>
      <c r="D262">
        <f>[5]trip_summary_region!D262</f>
        <v>777</v>
      </c>
      <c r="E262">
        <f>[5]trip_summary_region!E262</f>
        <v>5260</v>
      </c>
      <c r="F262">
        <f>[5]trip_summary_region!F262</f>
        <v>194.34567933</v>
      </c>
      <c r="G262">
        <f>[5]trip_summary_region!G262</f>
        <v>2199.1335918999998</v>
      </c>
      <c r="H262">
        <f>[5]trip_summary_region!H262</f>
        <v>50.319263319000001</v>
      </c>
      <c r="I262" t="str">
        <f>[5]trip_summary_region!I262</f>
        <v>Light Vehicle Driver</v>
      </c>
      <c r="J262" t="str">
        <f>[5]trip_summary_region!J262</f>
        <v>2017/18</v>
      </c>
    </row>
    <row r="263" spans="1:10" x14ac:dyDescent="0.2">
      <c r="A263" t="str">
        <f>[5]trip_summary_region!A263</f>
        <v>04 BAY OF PLENTY</v>
      </c>
      <c r="B263">
        <f>[5]trip_summary_region!B263</f>
        <v>2</v>
      </c>
      <c r="C263">
        <f>[5]trip_summary_region!C263</f>
        <v>2023</v>
      </c>
      <c r="D263">
        <f>[5]trip_summary_region!D263</f>
        <v>777</v>
      </c>
      <c r="E263">
        <f>[5]trip_summary_region!E263</f>
        <v>5260</v>
      </c>
      <c r="F263">
        <f>[5]trip_summary_region!F263</f>
        <v>212.64479111</v>
      </c>
      <c r="G263">
        <f>[5]trip_summary_region!G263</f>
        <v>2448.4970898000001</v>
      </c>
      <c r="H263">
        <f>[5]trip_summary_region!H263</f>
        <v>55.569370247000002</v>
      </c>
      <c r="I263" t="str">
        <f>[5]trip_summary_region!I263</f>
        <v>Light Vehicle Driver</v>
      </c>
      <c r="J263" t="str">
        <f>[5]trip_summary_region!J263</f>
        <v>2022/23</v>
      </c>
    </row>
    <row r="264" spans="1:10" x14ac:dyDescent="0.2">
      <c r="A264" t="str">
        <f>[5]trip_summary_region!A264</f>
        <v>04 BAY OF PLENTY</v>
      </c>
      <c r="B264">
        <f>[5]trip_summary_region!B264</f>
        <v>2</v>
      </c>
      <c r="C264">
        <f>[5]trip_summary_region!C264</f>
        <v>2028</v>
      </c>
      <c r="D264">
        <f>[5]trip_summary_region!D264</f>
        <v>777</v>
      </c>
      <c r="E264">
        <f>[5]trip_summary_region!E264</f>
        <v>5260</v>
      </c>
      <c r="F264">
        <f>[5]trip_summary_region!F264</f>
        <v>236.22519788</v>
      </c>
      <c r="G264">
        <f>[5]trip_summary_region!G264</f>
        <v>2772.5101733000001</v>
      </c>
      <c r="H264">
        <f>[5]trip_summary_region!H264</f>
        <v>62.473695186999997</v>
      </c>
      <c r="I264" t="str">
        <f>[5]trip_summary_region!I264</f>
        <v>Light Vehicle Driver</v>
      </c>
      <c r="J264" t="str">
        <f>[5]trip_summary_region!J264</f>
        <v>2027/28</v>
      </c>
    </row>
    <row r="265" spans="1:10" x14ac:dyDescent="0.2">
      <c r="A265" t="str">
        <f>[5]trip_summary_region!A265</f>
        <v>04 BAY OF PLENTY</v>
      </c>
      <c r="B265">
        <f>[5]trip_summary_region!B265</f>
        <v>2</v>
      </c>
      <c r="C265">
        <f>[5]trip_summary_region!C265</f>
        <v>2033</v>
      </c>
      <c r="D265">
        <f>[5]trip_summary_region!D265</f>
        <v>777</v>
      </c>
      <c r="E265">
        <f>[5]trip_summary_region!E265</f>
        <v>5260</v>
      </c>
      <c r="F265">
        <f>[5]trip_summary_region!F265</f>
        <v>256.51564825999998</v>
      </c>
      <c r="G265">
        <f>[5]trip_summary_region!G265</f>
        <v>3049.6628753</v>
      </c>
      <c r="H265">
        <f>[5]trip_summary_region!H265</f>
        <v>68.414198896000002</v>
      </c>
      <c r="I265" t="str">
        <f>[5]trip_summary_region!I265</f>
        <v>Light Vehicle Driver</v>
      </c>
      <c r="J265" t="str">
        <f>[5]trip_summary_region!J265</f>
        <v>2032/33</v>
      </c>
    </row>
    <row r="266" spans="1:10" x14ac:dyDescent="0.2">
      <c r="A266" t="str">
        <f>[5]trip_summary_region!A266</f>
        <v>04 BAY OF PLENTY</v>
      </c>
      <c r="B266">
        <f>[5]trip_summary_region!B266</f>
        <v>2</v>
      </c>
      <c r="C266">
        <f>[5]trip_summary_region!C266</f>
        <v>2038</v>
      </c>
      <c r="D266">
        <f>[5]trip_summary_region!D266</f>
        <v>777</v>
      </c>
      <c r="E266">
        <f>[5]trip_summary_region!E266</f>
        <v>5260</v>
      </c>
      <c r="F266">
        <f>[5]trip_summary_region!F266</f>
        <v>272.66662051999998</v>
      </c>
      <c r="G266">
        <f>[5]trip_summary_region!G266</f>
        <v>3264.6283297999998</v>
      </c>
      <c r="H266">
        <f>[5]trip_summary_region!H266</f>
        <v>73.175855677000001</v>
      </c>
      <c r="I266" t="str">
        <f>[5]trip_summary_region!I266</f>
        <v>Light Vehicle Driver</v>
      </c>
      <c r="J266" t="str">
        <f>[5]trip_summary_region!J266</f>
        <v>2037/38</v>
      </c>
    </row>
    <row r="267" spans="1:10" x14ac:dyDescent="0.2">
      <c r="A267" t="str">
        <f>[5]trip_summary_region!A267</f>
        <v>04 BAY OF PLENTY</v>
      </c>
      <c r="B267">
        <f>[5]trip_summary_region!B267</f>
        <v>2</v>
      </c>
      <c r="C267">
        <f>[5]trip_summary_region!C267</f>
        <v>2043</v>
      </c>
      <c r="D267">
        <f>[5]trip_summary_region!D267</f>
        <v>777</v>
      </c>
      <c r="E267">
        <f>[5]trip_summary_region!E267</f>
        <v>5260</v>
      </c>
      <c r="F267">
        <f>[5]trip_summary_region!F267</f>
        <v>287.47025480000002</v>
      </c>
      <c r="G267">
        <f>[5]trip_summary_region!G267</f>
        <v>3459.3979097000001</v>
      </c>
      <c r="H267">
        <f>[5]trip_summary_region!H267</f>
        <v>77.565173388000005</v>
      </c>
      <c r="I267" t="str">
        <f>[5]trip_summary_region!I267</f>
        <v>Light Vehicle Driver</v>
      </c>
      <c r="J267" t="str">
        <f>[5]trip_summary_region!J267</f>
        <v>2042/43</v>
      </c>
    </row>
    <row r="268" spans="1:10" x14ac:dyDescent="0.2">
      <c r="A268" t="str">
        <f>[5]trip_summary_region!A268</f>
        <v>04 BAY OF PLENTY</v>
      </c>
      <c r="B268">
        <f>[5]trip_summary_region!B268</f>
        <v>3</v>
      </c>
      <c r="C268">
        <f>[5]trip_summary_region!C268</f>
        <v>2013</v>
      </c>
      <c r="D268">
        <f>[5]trip_summary_region!D268</f>
        <v>591</v>
      </c>
      <c r="E268">
        <f>[5]trip_summary_region!E268</f>
        <v>2668</v>
      </c>
      <c r="F268">
        <f>[5]trip_summary_region!F268</f>
        <v>98.719582360000004</v>
      </c>
      <c r="G268">
        <f>[5]trip_summary_region!G268</f>
        <v>1385.2330090999999</v>
      </c>
      <c r="H268">
        <f>[5]trip_summary_region!H268</f>
        <v>28.895615969000001</v>
      </c>
      <c r="I268" t="str">
        <f>[5]trip_summary_region!I268</f>
        <v>Light Vehicle Passenger</v>
      </c>
      <c r="J268" t="str">
        <f>[5]trip_summary_region!J268</f>
        <v>2012/13</v>
      </c>
    </row>
    <row r="269" spans="1:10" x14ac:dyDescent="0.2">
      <c r="A269" t="str">
        <f>[5]trip_summary_region!A269</f>
        <v>04 BAY OF PLENTY</v>
      </c>
      <c r="B269">
        <f>[5]trip_summary_region!B269</f>
        <v>3</v>
      </c>
      <c r="C269">
        <f>[5]trip_summary_region!C269</f>
        <v>2018</v>
      </c>
      <c r="D269">
        <f>[5]trip_summary_region!D269</f>
        <v>591</v>
      </c>
      <c r="E269">
        <f>[5]trip_summary_region!E269</f>
        <v>2668</v>
      </c>
      <c r="F269">
        <f>[5]trip_summary_region!F269</f>
        <v>102.84895456</v>
      </c>
      <c r="G269">
        <f>[5]trip_summary_region!G269</f>
        <v>1548.2250696999999</v>
      </c>
      <c r="H269">
        <f>[5]trip_summary_region!H269</f>
        <v>31.525414812000001</v>
      </c>
      <c r="I269" t="str">
        <f>[5]trip_summary_region!I269</f>
        <v>Light Vehicle Passenger</v>
      </c>
      <c r="J269" t="str">
        <f>[5]trip_summary_region!J269</f>
        <v>2017/18</v>
      </c>
    </row>
    <row r="270" spans="1:10" x14ac:dyDescent="0.2">
      <c r="A270" t="str">
        <f>[5]trip_summary_region!A270</f>
        <v>04 BAY OF PLENTY</v>
      </c>
      <c r="B270">
        <f>[5]trip_summary_region!B270</f>
        <v>3</v>
      </c>
      <c r="C270">
        <f>[5]trip_summary_region!C270</f>
        <v>2023</v>
      </c>
      <c r="D270">
        <f>[5]trip_summary_region!D270</f>
        <v>591</v>
      </c>
      <c r="E270">
        <f>[5]trip_summary_region!E270</f>
        <v>2668</v>
      </c>
      <c r="F270">
        <f>[5]trip_summary_region!F270</f>
        <v>111.25140664</v>
      </c>
      <c r="G270">
        <f>[5]trip_summary_region!G270</f>
        <v>1739.2012608</v>
      </c>
      <c r="H270">
        <f>[5]trip_summary_region!H270</f>
        <v>34.934292024999998</v>
      </c>
      <c r="I270" t="str">
        <f>[5]trip_summary_region!I270</f>
        <v>Light Vehicle Passenger</v>
      </c>
      <c r="J270" t="str">
        <f>[5]trip_summary_region!J270</f>
        <v>2022/23</v>
      </c>
    </row>
    <row r="271" spans="1:10" x14ac:dyDescent="0.2">
      <c r="A271" t="str">
        <f>[5]trip_summary_region!A271</f>
        <v>04 BAY OF PLENTY</v>
      </c>
      <c r="B271">
        <f>[5]trip_summary_region!B271</f>
        <v>3</v>
      </c>
      <c r="C271">
        <f>[5]trip_summary_region!C271</f>
        <v>2028</v>
      </c>
      <c r="D271">
        <f>[5]trip_summary_region!D271</f>
        <v>591</v>
      </c>
      <c r="E271">
        <f>[5]trip_summary_region!E271</f>
        <v>2668</v>
      </c>
      <c r="F271">
        <f>[5]trip_summary_region!F271</f>
        <v>119.98846928</v>
      </c>
      <c r="G271">
        <f>[5]trip_summary_region!G271</f>
        <v>1942.4205881</v>
      </c>
      <c r="H271">
        <f>[5]trip_summary_region!H271</f>
        <v>38.549634044999998</v>
      </c>
      <c r="I271" t="str">
        <f>[5]trip_summary_region!I271</f>
        <v>Light Vehicle Passenger</v>
      </c>
      <c r="J271" t="str">
        <f>[5]trip_summary_region!J271</f>
        <v>2027/28</v>
      </c>
    </row>
    <row r="272" spans="1:10" x14ac:dyDescent="0.2">
      <c r="A272" t="str">
        <f>[5]trip_summary_region!A272</f>
        <v>04 BAY OF PLENTY</v>
      </c>
      <c r="B272">
        <f>[5]trip_summary_region!B272</f>
        <v>3</v>
      </c>
      <c r="C272">
        <f>[5]trip_summary_region!C272</f>
        <v>2033</v>
      </c>
      <c r="D272">
        <f>[5]trip_summary_region!D272</f>
        <v>591</v>
      </c>
      <c r="E272">
        <f>[5]trip_summary_region!E272</f>
        <v>2668</v>
      </c>
      <c r="F272">
        <f>[5]trip_summary_region!F272</f>
        <v>128.27306325999999</v>
      </c>
      <c r="G272">
        <f>[5]trip_summary_region!G272</f>
        <v>2116.3626675</v>
      </c>
      <c r="H272">
        <f>[5]trip_summary_region!H272</f>
        <v>41.672092231000001</v>
      </c>
      <c r="I272" t="str">
        <f>[5]trip_summary_region!I272</f>
        <v>Light Vehicle Passenger</v>
      </c>
      <c r="J272" t="str">
        <f>[5]trip_summary_region!J272</f>
        <v>2032/33</v>
      </c>
    </row>
    <row r="273" spans="1:10" x14ac:dyDescent="0.2">
      <c r="A273" t="str">
        <f>[5]trip_summary_region!A273</f>
        <v>04 BAY OF PLENTY</v>
      </c>
      <c r="B273">
        <f>[5]trip_summary_region!B273</f>
        <v>3</v>
      </c>
      <c r="C273">
        <f>[5]trip_summary_region!C273</f>
        <v>2038</v>
      </c>
      <c r="D273">
        <f>[5]trip_summary_region!D273</f>
        <v>591</v>
      </c>
      <c r="E273">
        <f>[5]trip_summary_region!E273</f>
        <v>2668</v>
      </c>
      <c r="F273">
        <f>[5]trip_summary_region!F273</f>
        <v>136.21036971999999</v>
      </c>
      <c r="G273">
        <f>[5]trip_summary_region!G273</f>
        <v>2281.1483194000002</v>
      </c>
      <c r="H273">
        <f>[5]trip_summary_region!H273</f>
        <v>44.637418965999998</v>
      </c>
      <c r="I273" t="str">
        <f>[5]trip_summary_region!I273</f>
        <v>Light Vehicle Passenger</v>
      </c>
      <c r="J273" t="str">
        <f>[5]trip_summary_region!J273</f>
        <v>2037/38</v>
      </c>
    </row>
    <row r="274" spans="1:10" x14ac:dyDescent="0.2">
      <c r="A274" t="str">
        <f>[5]trip_summary_region!A274</f>
        <v>04 BAY OF PLENTY</v>
      </c>
      <c r="B274">
        <f>[5]trip_summary_region!B274</f>
        <v>3</v>
      </c>
      <c r="C274">
        <f>[5]trip_summary_region!C274</f>
        <v>2043</v>
      </c>
      <c r="D274">
        <f>[5]trip_summary_region!D274</f>
        <v>591</v>
      </c>
      <c r="E274">
        <f>[5]trip_summary_region!E274</f>
        <v>2668</v>
      </c>
      <c r="F274">
        <f>[5]trip_summary_region!F274</f>
        <v>144.09257395</v>
      </c>
      <c r="G274">
        <f>[5]trip_summary_region!G274</f>
        <v>2438.6724073999999</v>
      </c>
      <c r="H274">
        <f>[5]trip_summary_region!H274</f>
        <v>47.497617793000003</v>
      </c>
      <c r="I274" t="str">
        <f>[5]trip_summary_region!I274</f>
        <v>Light Vehicle Passenger</v>
      </c>
      <c r="J274" t="str">
        <f>[5]trip_summary_region!J274</f>
        <v>2042/43</v>
      </c>
    </row>
    <row r="275" spans="1:10" x14ac:dyDescent="0.2">
      <c r="A275" t="str">
        <f>[5]trip_summary_region!A275</f>
        <v>04 BAY OF PLENTY</v>
      </c>
      <c r="B275">
        <f>[5]trip_summary_region!B275</f>
        <v>4</v>
      </c>
      <c r="C275">
        <f>[5]trip_summary_region!C275</f>
        <v>2013</v>
      </c>
      <c r="D275">
        <f>[5]trip_summary_region!D275</f>
        <v>4</v>
      </c>
      <c r="E275">
        <f>[5]trip_summary_region!E275</f>
        <v>8</v>
      </c>
      <c r="F275">
        <f>[5]trip_summary_region!F275</f>
        <v>0.15552198610000001</v>
      </c>
      <c r="G275">
        <f>[5]trip_summary_region!G275</f>
        <v>0.98369936449999995</v>
      </c>
      <c r="H275">
        <f>[5]trip_summary_region!H275</f>
        <v>7.3048454499999999E-2</v>
      </c>
      <c r="I275" t="s">
        <v>116</v>
      </c>
      <c r="J275" t="str">
        <f>[5]trip_summary_region!J275</f>
        <v>2012/13</v>
      </c>
    </row>
    <row r="276" spans="1:10" x14ac:dyDescent="0.2">
      <c r="A276" t="str">
        <f>[5]trip_summary_region!A276</f>
        <v>04 BAY OF PLENTY</v>
      </c>
      <c r="B276">
        <f>[5]trip_summary_region!B276</f>
        <v>4</v>
      </c>
      <c r="C276">
        <f>[5]trip_summary_region!C276</f>
        <v>2018</v>
      </c>
      <c r="D276">
        <f>[5]trip_summary_region!D276</f>
        <v>4</v>
      </c>
      <c r="E276">
        <f>[5]trip_summary_region!E276</f>
        <v>8</v>
      </c>
      <c r="F276">
        <f>[5]trip_summary_region!F276</f>
        <v>0.1428360062</v>
      </c>
      <c r="G276">
        <f>[5]trip_summary_region!G276</f>
        <v>0.91316791100000005</v>
      </c>
      <c r="H276">
        <f>[5]trip_summary_region!H276</f>
        <v>6.7913321600000007E-2</v>
      </c>
      <c r="I276" t="s">
        <v>116</v>
      </c>
      <c r="J276" t="str">
        <f>[5]trip_summary_region!J276</f>
        <v>2017/18</v>
      </c>
    </row>
    <row r="277" spans="1:10" x14ac:dyDescent="0.2">
      <c r="A277" t="str">
        <f>[5]trip_summary_region!A277</f>
        <v>04 BAY OF PLENTY</v>
      </c>
      <c r="B277">
        <f>[5]trip_summary_region!B277</f>
        <v>4</v>
      </c>
      <c r="C277">
        <f>[5]trip_summary_region!C277</f>
        <v>2023</v>
      </c>
      <c r="D277">
        <f>[5]trip_summary_region!D277</f>
        <v>4</v>
      </c>
      <c r="E277">
        <f>[5]trip_summary_region!E277</f>
        <v>8</v>
      </c>
      <c r="F277">
        <f>[5]trip_summary_region!F277</f>
        <v>0.13872412210000001</v>
      </c>
      <c r="G277">
        <f>[5]trip_summary_region!G277</f>
        <v>0.93489858449999996</v>
      </c>
      <c r="H277">
        <f>[5]trip_summary_region!H277</f>
        <v>6.9449696800000002E-2</v>
      </c>
      <c r="I277" t="s">
        <v>116</v>
      </c>
      <c r="J277" t="str">
        <f>[5]trip_summary_region!J277</f>
        <v>2022/23</v>
      </c>
    </row>
    <row r="278" spans="1:10" x14ac:dyDescent="0.2">
      <c r="A278" t="str">
        <f>[5]trip_summary_region!A278</f>
        <v>04 BAY OF PLENTY</v>
      </c>
      <c r="B278">
        <f>[5]trip_summary_region!B278</f>
        <v>4</v>
      </c>
      <c r="C278">
        <f>[5]trip_summary_region!C278</f>
        <v>2028</v>
      </c>
      <c r="D278">
        <f>[5]trip_summary_region!D278</f>
        <v>4</v>
      </c>
      <c r="E278">
        <f>[5]trip_summary_region!E278</f>
        <v>8</v>
      </c>
      <c r="F278">
        <f>[5]trip_summary_region!F278</f>
        <v>0.13531017840000001</v>
      </c>
      <c r="G278">
        <f>[5]trip_summary_region!G278</f>
        <v>0.98196069480000003</v>
      </c>
      <c r="H278">
        <f>[5]trip_summary_region!H278</f>
        <v>7.27043577E-2</v>
      </c>
      <c r="I278" t="s">
        <v>116</v>
      </c>
      <c r="J278" t="str">
        <f>[5]trip_summary_region!J278</f>
        <v>2027/28</v>
      </c>
    </row>
    <row r="279" spans="1:10" x14ac:dyDescent="0.2">
      <c r="A279" t="str">
        <f>[5]trip_summary_region!A279</f>
        <v>04 BAY OF PLENTY</v>
      </c>
      <c r="B279">
        <f>[5]trip_summary_region!B279</f>
        <v>4</v>
      </c>
      <c r="C279">
        <f>[5]trip_summary_region!C279</f>
        <v>2033</v>
      </c>
      <c r="D279">
        <f>[5]trip_summary_region!D279</f>
        <v>4</v>
      </c>
      <c r="E279">
        <f>[5]trip_summary_region!E279</f>
        <v>8</v>
      </c>
      <c r="F279">
        <f>[5]trip_summary_region!F279</f>
        <v>0.13361230190000001</v>
      </c>
      <c r="G279">
        <f>[5]trip_summary_region!G279</f>
        <v>1.0018092452</v>
      </c>
      <c r="H279">
        <f>[5]trip_summary_region!H279</f>
        <v>7.4013146200000005E-2</v>
      </c>
      <c r="I279" t="s">
        <v>116</v>
      </c>
      <c r="J279" t="str">
        <f>[5]trip_summary_region!J279</f>
        <v>2032/33</v>
      </c>
    </row>
    <row r="280" spans="1:10" x14ac:dyDescent="0.2">
      <c r="A280" t="str">
        <f>[5]trip_summary_region!A280</f>
        <v>04 BAY OF PLENTY</v>
      </c>
      <c r="B280">
        <f>[5]trip_summary_region!B280</f>
        <v>4</v>
      </c>
      <c r="C280">
        <f>[5]trip_summary_region!C280</f>
        <v>2038</v>
      </c>
      <c r="D280">
        <f>[5]trip_summary_region!D280</f>
        <v>4</v>
      </c>
      <c r="E280">
        <f>[5]trip_summary_region!E280</f>
        <v>8</v>
      </c>
      <c r="F280">
        <f>[5]trip_summary_region!F280</f>
        <v>0.1334085542</v>
      </c>
      <c r="G280">
        <f>[5]trip_summary_region!G280</f>
        <v>1.0270649344</v>
      </c>
      <c r="H280">
        <f>[5]trip_summary_region!H280</f>
        <v>7.6363938699999995E-2</v>
      </c>
      <c r="I280" t="s">
        <v>116</v>
      </c>
      <c r="J280" t="str">
        <f>[5]trip_summary_region!J280</f>
        <v>2037/38</v>
      </c>
    </row>
    <row r="281" spans="1:10" x14ac:dyDescent="0.2">
      <c r="A281" t="str">
        <f>[5]trip_summary_region!A281</f>
        <v>04 BAY OF PLENTY</v>
      </c>
      <c r="B281">
        <f>[5]trip_summary_region!B281</f>
        <v>4</v>
      </c>
      <c r="C281">
        <f>[5]trip_summary_region!C281</f>
        <v>2043</v>
      </c>
      <c r="D281">
        <f>[5]trip_summary_region!D281</f>
        <v>4</v>
      </c>
      <c r="E281">
        <f>[5]trip_summary_region!E281</f>
        <v>8</v>
      </c>
      <c r="F281">
        <f>[5]trip_summary_region!F281</f>
        <v>0.13205134099999999</v>
      </c>
      <c r="G281">
        <f>[5]trip_summary_region!G281</f>
        <v>1.0446343888</v>
      </c>
      <c r="H281">
        <f>[5]trip_summary_region!H281</f>
        <v>7.8171195200000002E-2</v>
      </c>
      <c r="I281" t="s">
        <v>116</v>
      </c>
      <c r="J281" t="str">
        <f>[5]trip_summary_region!J281</f>
        <v>2042/43</v>
      </c>
    </row>
    <row r="282" spans="1:10" x14ac:dyDescent="0.2">
      <c r="A282" t="str">
        <f>[5]trip_summary_region!A282</f>
        <v>04 BAY OF PLENTY</v>
      </c>
      <c r="B282">
        <f>[5]trip_summary_region!B282</f>
        <v>5</v>
      </c>
      <c r="C282">
        <f>[5]trip_summary_region!C282</f>
        <v>2013</v>
      </c>
      <c r="D282">
        <f>[5]trip_summary_region!D282</f>
        <v>10</v>
      </c>
      <c r="E282">
        <f>[5]trip_summary_region!E282</f>
        <v>40</v>
      </c>
      <c r="F282">
        <f>[5]trip_summary_region!F282</f>
        <v>0.90641599910000004</v>
      </c>
      <c r="G282">
        <f>[5]trip_summary_region!G282</f>
        <v>35.608960758999999</v>
      </c>
      <c r="H282">
        <f>[5]trip_summary_region!H282</f>
        <v>0.60409197079999999</v>
      </c>
      <c r="I282" t="str">
        <f>[5]trip_summary_region!I282</f>
        <v>Motorcyclist</v>
      </c>
      <c r="J282" t="str">
        <f>[5]trip_summary_region!J282</f>
        <v>2012/13</v>
      </c>
    </row>
    <row r="283" spans="1:10" x14ac:dyDescent="0.2">
      <c r="A283" t="str">
        <f>[5]trip_summary_region!A283</f>
        <v>04 BAY OF PLENTY</v>
      </c>
      <c r="B283">
        <f>[5]trip_summary_region!B283</f>
        <v>5</v>
      </c>
      <c r="C283">
        <f>[5]trip_summary_region!C283</f>
        <v>2018</v>
      </c>
      <c r="D283">
        <f>[5]trip_summary_region!D283</f>
        <v>10</v>
      </c>
      <c r="E283">
        <f>[5]trip_summary_region!E283</f>
        <v>40</v>
      </c>
      <c r="F283">
        <f>[5]trip_summary_region!F283</f>
        <v>1.0300694527000001</v>
      </c>
      <c r="G283">
        <f>[5]trip_summary_region!G283</f>
        <v>41.347645206000003</v>
      </c>
      <c r="H283">
        <f>[5]trip_summary_region!H283</f>
        <v>0.69757636909999998</v>
      </c>
      <c r="I283" t="str">
        <f>[5]trip_summary_region!I283</f>
        <v>Motorcyclist</v>
      </c>
      <c r="J283" t="str">
        <f>[5]trip_summary_region!J283</f>
        <v>2017/18</v>
      </c>
    </row>
    <row r="284" spans="1:10" x14ac:dyDescent="0.2">
      <c r="A284" t="str">
        <f>[5]trip_summary_region!A284</f>
        <v>04 BAY OF PLENTY</v>
      </c>
      <c r="B284">
        <f>[5]trip_summary_region!B284</f>
        <v>5</v>
      </c>
      <c r="C284">
        <f>[5]trip_summary_region!C284</f>
        <v>2023</v>
      </c>
      <c r="D284">
        <f>[5]trip_summary_region!D284</f>
        <v>10</v>
      </c>
      <c r="E284">
        <f>[5]trip_summary_region!E284</f>
        <v>40</v>
      </c>
      <c r="F284">
        <f>[5]trip_summary_region!F284</f>
        <v>1.1004107425</v>
      </c>
      <c r="G284">
        <f>[5]trip_summary_region!G284</f>
        <v>43.713429290999997</v>
      </c>
      <c r="H284">
        <f>[5]trip_summary_region!H284</f>
        <v>0.73841885100000004</v>
      </c>
      <c r="I284" t="str">
        <f>[5]trip_summary_region!I284</f>
        <v>Motorcyclist</v>
      </c>
      <c r="J284" t="str">
        <f>[5]trip_summary_region!J284</f>
        <v>2022/23</v>
      </c>
    </row>
    <row r="285" spans="1:10" x14ac:dyDescent="0.2">
      <c r="A285" t="str">
        <f>[5]trip_summary_region!A285</f>
        <v>04 BAY OF PLENTY</v>
      </c>
      <c r="B285">
        <f>[5]trip_summary_region!B285</f>
        <v>5</v>
      </c>
      <c r="C285">
        <f>[5]trip_summary_region!C285</f>
        <v>2028</v>
      </c>
      <c r="D285">
        <f>[5]trip_summary_region!D285</f>
        <v>10</v>
      </c>
      <c r="E285">
        <f>[5]trip_summary_region!E285</f>
        <v>40</v>
      </c>
      <c r="F285">
        <f>[5]trip_summary_region!F285</f>
        <v>1.2286701550000001</v>
      </c>
      <c r="G285">
        <f>[5]trip_summary_region!G285</f>
        <v>48.926216367000002</v>
      </c>
      <c r="H285">
        <f>[5]trip_summary_region!H285</f>
        <v>0.823124313</v>
      </c>
      <c r="I285" t="str">
        <f>[5]trip_summary_region!I285</f>
        <v>Motorcyclist</v>
      </c>
      <c r="J285" t="str">
        <f>[5]trip_summary_region!J285</f>
        <v>2027/28</v>
      </c>
    </row>
    <row r="286" spans="1:10" x14ac:dyDescent="0.2">
      <c r="A286" t="str">
        <f>[5]trip_summary_region!A286</f>
        <v>04 BAY OF PLENTY</v>
      </c>
      <c r="B286">
        <f>[5]trip_summary_region!B286</f>
        <v>5</v>
      </c>
      <c r="C286">
        <f>[5]trip_summary_region!C286</f>
        <v>2033</v>
      </c>
      <c r="D286">
        <f>[5]trip_summary_region!D286</f>
        <v>10</v>
      </c>
      <c r="E286">
        <f>[5]trip_summary_region!E286</f>
        <v>40</v>
      </c>
      <c r="F286">
        <f>[5]trip_summary_region!F286</f>
        <v>1.3167143603</v>
      </c>
      <c r="G286">
        <f>[5]trip_summary_region!G286</f>
        <v>52.552415062000001</v>
      </c>
      <c r="H286">
        <f>[5]trip_summary_region!H286</f>
        <v>0.88336067169999999</v>
      </c>
      <c r="I286" t="str">
        <f>[5]trip_summary_region!I286</f>
        <v>Motorcyclist</v>
      </c>
      <c r="J286" t="str">
        <f>[5]trip_summary_region!J286</f>
        <v>2032/33</v>
      </c>
    </row>
    <row r="287" spans="1:10" x14ac:dyDescent="0.2">
      <c r="A287" t="str">
        <f>[5]trip_summary_region!A287</f>
        <v>04 BAY OF PLENTY</v>
      </c>
      <c r="B287">
        <f>[5]trip_summary_region!B287</f>
        <v>5</v>
      </c>
      <c r="C287">
        <f>[5]trip_summary_region!C287</f>
        <v>2038</v>
      </c>
      <c r="D287">
        <f>[5]trip_summary_region!D287</f>
        <v>10</v>
      </c>
      <c r="E287">
        <f>[5]trip_summary_region!E287</f>
        <v>40</v>
      </c>
      <c r="F287">
        <f>[5]trip_summary_region!F287</f>
        <v>1.3781432322</v>
      </c>
      <c r="G287">
        <f>[5]trip_summary_region!G287</f>
        <v>55.181821820000003</v>
      </c>
      <c r="H287">
        <f>[5]trip_summary_region!H287</f>
        <v>0.92835045329999999</v>
      </c>
      <c r="I287" t="str">
        <f>[5]trip_summary_region!I287</f>
        <v>Motorcyclist</v>
      </c>
      <c r="J287" t="str">
        <f>[5]trip_summary_region!J287</f>
        <v>2037/38</v>
      </c>
    </row>
    <row r="288" spans="1:10" x14ac:dyDescent="0.2">
      <c r="A288" t="str">
        <f>[5]trip_summary_region!A288</f>
        <v>04 BAY OF PLENTY</v>
      </c>
      <c r="B288">
        <f>[5]trip_summary_region!B288</f>
        <v>5</v>
      </c>
      <c r="C288">
        <f>[5]trip_summary_region!C288</f>
        <v>2043</v>
      </c>
      <c r="D288">
        <f>[5]trip_summary_region!D288</f>
        <v>10</v>
      </c>
      <c r="E288">
        <f>[5]trip_summary_region!E288</f>
        <v>40</v>
      </c>
      <c r="F288">
        <f>[5]trip_summary_region!F288</f>
        <v>1.4246634074</v>
      </c>
      <c r="G288">
        <f>[5]trip_summary_region!G288</f>
        <v>57.091918905999997</v>
      </c>
      <c r="H288">
        <f>[5]trip_summary_region!H288</f>
        <v>0.96178948789999996</v>
      </c>
      <c r="I288" t="str">
        <f>[5]trip_summary_region!I288</f>
        <v>Motorcyclist</v>
      </c>
      <c r="J288" t="str">
        <f>[5]trip_summary_region!J288</f>
        <v>2042/43</v>
      </c>
    </row>
    <row r="289" spans="1:10" x14ac:dyDescent="0.2">
      <c r="A289" t="str">
        <f>[5]trip_summary_region!A289</f>
        <v>04 BAY OF PLENTY</v>
      </c>
      <c r="B289">
        <f>[5]trip_summary_region!B289</f>
        <v>7</v>
      </c>
      <c r="C289">
        <f>[5]trip_summary_region!C289</f>
        <v>2013</v>
      </c>
      <c r="D289">
        <f>[5]trip_summary_region!D289</f>
        <v>73</v>
      </c>
      <c r="E289">
        <f>[5]trip_summary_region!E289</f>
        <v>194</v>
      </c>
      <c r="F289">
        <f>[5]trip_summary_region!F289</f>
        <v>7.4672006229000001</v>
      </c>
      <c r="G289">
        <f>[5]trip_summary_region!G289</f>
        <v>52.669440211999998</v>
      </c>
      <c r="H289">
        <f>[5]trip_summary_region!H289</f>
        <v>2.9412276716000001</v>
      </c>
      <c r="I289" t="str">
        <f>[5]trip_summary_region!I289</f>
        <v>Local Bus</v>
      </c>
      <c r="J289" t="str">
        <f>[5]trip_summary_region!J289</f>
        <v>2012/13</v>
      </c>
    </row>
    <row r="290" spans="1:10" x14ac:dyDescent="0.2">
      <c r="A290" t="str">
        <f>[5]trip_summary_region!A290</f>
        <v>04 BAY OF PLENTY</v>
      </c>
      <c r="B290">
        <f>[5]trip_summary_region!B290</f>
        <v>7</v>
      </c>
      <c r="C290">
        <f>[5]trip_summary_region!C290</f>
        <v>2018</v>
      </c>
      <c r="D290">
        <f>[5]trip_summary_region!D290</f>
        <v>73</v>
      </c>
      <c r="E290">
        <f>[5]trip_summary_region!E290</f>
        <v>194</v>
      </c>
      <c r="F290">
        <f>[5]trip_summary_region!F290</f>
        <v>7.5586600339999999</v>
      </c>
      <c r="G290">
        <f>[5]trip_summary_region!G290</f>
        <v>52.004413630999998</v>
      </c>
      <c r="H290">
        <f>[5]trip_summary_region!H290</f>
        <v>2.9210554277999998</v>
      </c>
      <c r="I290" t="str">
        <f>[5]trip_summary_region!I290</f>
        <v>Local Bus</v>
      </c>
      <c r="J290" t="str">
        <f>[5]trip_summary_region!J290</f>
        <v>2017/18</v>
      </c>
    </row>
    <row r="291" spans="1:10" x14ac:dyDescent="0.2">
      <c r="A291" t="str">
        <f>[5]trip_summary_region!A291</f>
        <v>04 BAY OF PLENTY</v>
      </c>
      <c r="B291">
        <f>[5]trip_summary_region!B291</f>
        <v>7</v>
      </c>
      <c r="C291">
        <f>[5]trip_summary_region!C291</f>
        <v>2023</v>
      </c>
      <c r="D291">
        <f>[5]trip_summary_region!D291</f>
        <v>73</v>
      </c>
      <c r="E291">
        <f>[5]trip_summary_region!E291</f>
        <v>194</v>
      </c>
      <c r="F291">
        <f>[5]trip_summary_region!F291</f>
        <v>8.2733592537000007</v>
      </c>
      <c r="G291">
        <f>[5]trip_summary_region!G291</f>
        <v>55.953030867999999</v>
      </c>
      <c r="H291">
        <f>[5]trip_summary_region!H291</f>
        <v>3.1681289224000002</v>
      </c>
      <c r="I291" t="str">
        <f>[5]trip_summary_region!I291</f>
        <v>Local Bus</v>
      </c>
      <c r="J291" t="str">
        <f>[5]trip_summary_region!J291</f>
        <v>2022/23</v>
      </c>
    </row>
    <row r="292" spans="1:10" x14ac:dyDescent="0.2">
      <c r="A292" t="str">
        <f>[5]trip_summary_region!A292</f>
        <v>04 BAY OF PLENTY</v>
      </c>
      <c r="B292">
        <f>[5]trip_summary_region!B292</f>
        <v>7</v>
      </c>
      <c r="C292">
        <f>[5]trip_summary_region!C292</f>
        <v>2028</v>
      </c>
      <c r="D292">
        <f>[5]trip_summary_region!D292</f>
        <v>73</v>
      </c>
      <c r="E292">
        <f>[5]trip_summary_region!E292</f>
        <v>194</v>
      </c>
      <c r="F292">
        <f>[5]trip_summary_region!F292</f>
        <v>8.9481632001999998</v>
      </c>
      <c r="G292">
        <f>[5]trip_summary_region!G292</f>
        <v>57.770672953999998</v>
      </c>
      <c r="H292">
        <f>[5]trip_summary_region!H292</f>
        <v>3.3645774195999998</v>
      </c>
      <c r="I292" t="str">
        <f>[5]trip_summary_region!I292</f>
        <v>Local Bus</v>
      </c>
      <c r="J292" t="str">
        <f>[5]trip_summary_region!J292</f>
        <v>2027/28</v>
      </c>
    </row>
    <row r="293" spans="1:10" x14ac:dyDescent="0.2">
      <c r="A293" t="str">
        <f>[5]trip_summary_region!A293</f>
        <v>04 BAY OF PLENTY</v>
      </c>
      <c r="B293">
        <f>[5]trip_summary_region!B293</f>
        <v>7</v>
      </c>
      <c r="C293">
        <f>[5]trip_summary_region!C293</f>
        <v>2033</v>
      </c>
      <c r="D293">
        <f>[5]trip_summary_region!D293</f>
        <v>73</v>
      </c>
      <c r="E293">
        <f>[5]trip_summary_region!E293</f>
        <v>194</v>
      </c>
      <c r="F293">
        <f>[5]trip_summary_region!F293</f>
        <v>9.6824298881999997</v>
      </c>
      <c r="G293">
        <f>[5]trip_summary_region!G293</f>
        <v>59.641243056999997</v>
      </c>
      <c r="H293">
        <f>[5]trip_summary_region!H293</f>
        <v>3.5813993547999998</v>
      </c>
      <c r="I293" t="str">
        <f>[5]trip_summary_region!I293</f>
        <v>Local Bus</v>
      </c>
      <c r="J293" t="str">
        <f>[5]trip_summary_region!J293</f>
        <v>2032/33</v>
      </c>
    </row>
    <row r="294" spans="1:10" x14ac:dyDescent="0.2">
      <c r="A294" t="str">
        <f>[5]trip_summary_region!A294</f>
        <v>04 BAY OF PLENTY</v>
      </c>
      <c r="B294">
        <f>[5]trip_summary_region!B294</f>
        <v>7</v>
      </c>
      <c r="C294">
        <f>[5]trip_summary_region!C294</f>
        <v>2038</v>
      </c>
      <c r="D294">
        <f>[5]trip_summary_region!D294</f>
        <v>73</v>
      </c>
      <c r="E294">
        <f>[5]trip_summary_region!E294</f>
        <v>194</v>
      </c>
      <c r="F294">
        <f>[5]trip_summary_region!F294</f>
        <v>10.422957627000001</v>
      </c>
      <c r="G294">
        <f>[5]trip_summary_region!G294</f>
        <v>61.636426614999998</v>
      </c>
      <c r="H294">
        <f>[5]trip_summary_region!H294</f>
        <v>3.7925891114999999</v>
      </c>
      <c r="I294" t="str">
        <f>[5]trip_summary_region!I294</f>
        <v>Local Bus</v>
      </c>
      <c r="J294" t="str">
        <f>[5]trip_summary_region!J294</f>
        <v>2037/38</v>
      </c>
    </row>
    <row r="295" spans="1:10" x14ac:dyDescent="0.2">
      <c r="A295" t="str">
        <f>[5]trip_summary_region!A295</f>
        <v>04 BAY OF PLENTY</v>
      </c>
      <c r="B295">
        <f>[5]trip_summary_region!B295</f>
        <v>7</v>
      </c>
      <c r="C295">
        <f>[5]trip_summary_region!C295</f>
        <v>2043</v>
      </c>
      <c r="D295">
        <f>[5]trip_summary_region!D295</f>
        <v>73</v>
      </c>
      <c r="E295">
        <f>[5]trip_summary_region!E295</f>
        <v>194</v>
      </c>
      <c r="F295">
        <f>[5]trip_summary_region!F295</f>
        <v>11.156395733</v>
      </c>
      <c r="G295">
        <f>[5]trip_summary_region!G295</f>
        <v>63.459278947000001</v>
      </c>
      <c r="H295">
        <f>[5]trip_summary_region!H295</f>
        <v>4.0008471649999997</v>
      </c>
      <c r="I295" t="str">
        <f>[5]trip_summary_region!I295</f>
        <v>Local Bus</v>
      </c>
      <c r="J295" t="str">
        <f>[5]trip_summary_region!J295</f>
        <v>2042/43</v>
      </c>
    </row>
    <row r="296" spans="1:10" x14ac:dyDescent="0.2">
      <c r="A296" t="str">
        <f>[5]trip_summary_region!A296</f>
        <v>04 BAY OF PLENTY</v>
      </c>
      <c r="B296">
        <f>[5]trip_summary_region!B296</f>
        <v>9</v>
      </c>
      <c r="C296">
        <f>[5]trip_summary_region!C296</f>
        <v>2013</v>
      </c>
      <c r="D296">
        <f>[5]trip_summary_region!D296</f>
        <v>13</v>
      </c>
      <c r="E296">
        <f>[5]trip_summary_region!E296</f>
        <v>34</v>
      </c>
      <c r="F296">
        <f>[5]trip_summary_region!F296</f>
        <v>0.59853678389999998</v>
      </c>
      <c r="G296">
        <f>[5]trip_summary_region!G296</f>
        <v>0</v>
      </c>
      <c r="H296">
        <f>[5]trip_summary_region!H296</f>
        <v>0.21279540499999999</v>
      </c>
      <c r="I296" t="str">
        <f>[5]trip_summary_region!I296</f>
        <v>Other Household Travel</v>
      </c>
      <c r="J296" t="str">
        <f>[5]trip_summary_region!J296</f>
        <v>2012/13</v>
      </c>
    </row>
    <row r="297" spans="1:10" x14ac:dyDescent="0.2">
      <c r="A297" t="str">
        <f>[5]trip_summary_region!A297</f>
        <v>04 BAY OF PLENTY</v>
      </c>
      <c r="B297">
        <f>[5]trip_summary_region!B297</f>
        <v>9</v>
      </c>
      <c r="C297">
        <f>[5]trip_summary_region!C297</f>
        <v>2018</v>
      </c>
      <c r="D297">
        <f>[5]trip_summary_region!D297</f>
        <v>13</v>
      </c>
      <c r="E297">
        <f>[5]trip_summary_region!E297</f>
        <v>34</v>
      </c>
      <c r="F297">
        <f>[5]trip_summary_region!F297</f>
        <v>0.61298969579999996</v>
      </c>
      <c r="G297">
        <f>[5]trip_summary_region!G297</f>
        <v>0</v>
      </c>
      <c r="H297">
        <f>[5]trip_summary_region!H297</f>
        <v>0.2246261064</v>
      </c>
      <c r="I297" t="str">
        <f>[5]trip_summary_region!I297</f>
        <v>Other Household Travel</v>
      </c>
      <c r="J297" t="str">
        <f>[5]trip_summary_region!J297</f>
        <v>2017/18</v>
      </c>
    </row>
    <row r="298" spans="1:10" x14ac:dyDescent="0.2">
      <c r="A298" t="str">
        <f>[5]trip_summary_region!A298</f>
        <v>04 BAY OF PLENTY</v>
      </c>
      <c r="B298">
        <f>[5]trip_summary_region!B298</f>
        <v>9</v>
      </c>
      <c r="C298">
        <f>[5]trip_summary_region!C298</f>
        <v>2023</v>
      </c>
      <c r="D298">
        <f>[5]trip_summary_region!D298</f>
        <v>13</v>
      </c>
      <c r="E298">
        <f>[5]trip_summary_region!E298</f>
        <v>34</v>
      </c>
      <c r="F298">
        <f>[5]trip_summary_region!F298</f>
        <v>0.59499340690000002</v>
      </c>
      <c r="G298">
        <f>[5]trip_summary_region!G298</f>
        <v>0</v>
      </c>
      <c r="H298">
        <f>[5]trip_summary_region!H298</f>
        <v>0.23262154409999999</v>
      </c>
      <c r="I298" t="str">
        <f>[5]trip_summary_region!I298</f>
        <v>Other Household Travel</v>
      </c>
      <c r="J298" t="str">
        <f>[5]trip_summary_region!J298</f>
        <v>2022/23</v>
      </c>
    </row>
    <row r="299" spans="1:10" x14ac:dyDescent="0.2">
      <c r="A299" t="str">
        <f>[5]trip_summary_region!A299</f>
        <v>04 BAY OF PLENTY</v>
      </c>
      <c r="B299">
        <f>[5]trip_summary_region!B299</f>
        <v>9</v>
      </c>
      <c r="C299">
        <f>[5]trip_summary_region!C299</f>
        <v>2028</v>
      </c>
      <c r="D299">
        <f>[5]trip_summary_region!D299</f>
        <v>13</v>
      </c>
      <c r="E299">
        <f>[5]trip_summary_region!E299</f>
        <v>34</v>
      </c>
      <c r="F299">
        <f>[5]trip_summary_region!F299</f>
        <v>0.52851421399999998</v>
      </c>
      <c r="G299">
        <f>[5]trip_summary_region!G299</f>
        <v>0</v>
      </c>
      <c r="H299">
        <f>[5]trip_summary_region!H299</f>
        <v>0.2130721096</v>
      </c>
      <c r="I299" t="str">
        <f>[5]trip_summary_region!I299</f>
        <v>Other Household Travel</v>
      </c>
      <c r="J299" t="str">
        <f>[5]trip_summary_region!J299</f>
        <v>2027/28</v>
      </c>
    </row>
    <row r="300" spans="1:10" x14ac:dyDescent="0.2">
      <c r="A300" t="str">
        <f>[5]trip_summary_region!A300</f>
        <v>04 BAY OF PLENTY</v>
      </c>
      <c r="B300">
        <f>[5]trip_summary_region!B300</f>
        <v>9</v>
      </c>
      <c r="C300">
        <f>[5]trip_summary_region!C300</f>
        <v>2033</v>
      </c>
      <c r="D300">
        <f>[5]trip_summary_region!D300</f>
        <v>13</v>
      </c>
      <c r="E300">
        <f>[5]trip_summary_region!E300</f>
        <v>34</v>
      </c>
      <c r="F300">
        <f>[5]trip_summary_region!F300</f>
        <v>0.4676912848</v>
      </c>
      <c r="G300">
        <f>[5]trip_summary_region!G300</f>
        <v>0</v>
      </c>
      <c r="H300">
        <f>[5]trip_summary_region!H300</f>
        <v>0.18821963550000001</v>
      </c>
      <c r="I300" t="str">
        <f>[5]trip_summary_region!I300</f>
        <v>Other Household Travel</v>
      </c>
      <c r="J300" t="str">
        <f>[5]trip_summary_region!J300</f>
        <v>2032/33</v>
      </c>
    </row>
    <row r="301" spans="1:10" x14ac:dyDescent="0.2">
      <c r="A301" t="str">
        <f>[5]trip_summary_region!A301</f>
        <v>04 BAY OF PLENTY</v>
      </c>
      <c r="B301">
        <f>[5]trip_summary_region!B301</f>
        <v>9</v>
      </c>
      <c r="C301">
        <f>[5]trip_summary_region!C301</f>
        <v>2038</v>
      </c>
      <c r="D301">
        <f>[5]trip_summary_region!D301</f>
        <v>13</v>
      </c>
      <c r="E301">
        <f>[5]trip_summary_region!E301</f>
        <v>34</v>
      </c>
      <c r="F301">
        <f>[5]trip_summary_region!F301</f>
        <v>0.41949895790000002</v>
      </c>
      <c r="G301">
        <f>[5]trip_summary_region!G301</f>
        <v>0</v>
      </c>
      <c r="H301">
        <f>[5]trip_summary_region!H301</f>
        <v>0.1679451481</v>
      </c>
      <c r="I301" t="str">
        <f>[5]trip_summary_region!I301</f>
        <v>Other Household Travel</v>
      </c>
      <c r="J301" t="str">
        <f>[5]trip_summary_region!J301</f>
        <v>2037/38</v>
      </c>
    </row>
    <row r="302" spans="1:10" x14ac:dyDescent="0.2">
      <c r="A302" t="str">
        <f>[5]trip_summary_region!A302</f>
        <v>04 BAY OF PLENTY</v>
      </c>
      <c r="B302">
        <f>[5]trip_summary_region!B302</f>
        <v>9</v>
      </c>
      <c r="C302">
        <f>[5]trip_summary_region!C302</f>
        <v>2043</v>
      </c>
      <c r="D302">
        <f>[5]trip_summary_region!D302</f>
        <v>13</v>
      </c>
      <c r="E302">
        <f>[5]trip_summary_region!E302</f>
        <v>34</v>
      </c>
      <c r="F302">
        <f>[5]trip_summary_region!F302</f>
        <v>0.37366664630000002</v>
      </c>
      <c r="G302">
        <f>[5]trip_summary_region!G302</f>
        <v>0</v>
      </c>
      <c r="H302">
        <f>[5]trip_summary_region!H302</f>
        <v>0.14820853470000001</v>
      </c>
      <c r="I302" t="str">
        <f>[5]trip_summary_region!I302</f>
        <v>Other Household Travel</v>
      </c>
      <c r="J302" t="str">
        <f>[5]trip_summary_region!J302</f>
        <v>2042/43</v>
      </c>
    </row>
    <row r="303" spans="1:10" x14ac:dyDescent="0.2">
      <c r="A303" t="str">
        <f>[5]trip_summary_region!A303</f>
        <v>04 BAY OF PLENTY</v>
      </c>
      <c r="B303">
        <f>[5]trip_summary_region!B303</f>
        <v>10</v>
      </c>
      <c r="C303">
        <f>[5]trip_summary_region!C303</f>
        <v>2013</v>
      </c>
      <c r="D303">
        <f>[5]trip_summary_region!D303</f>
        <v>10</v>
      </c>
      <c r="E303">
        <f>[5]trip_summary_region!E303</f>
        <v>20</v>
      </c>
      <c r="F303">
        <f>[5]trip_summary_region!F303</f>
        <v>0.7132672793</v>
      </c>
      <c r="G303">
        <f>[5]trip_summary_region!G303</f>
        <v>34.241381883000003</v>
      </c>
      <c r="H303">
        <f>[5]trip_summary_region!H303</f>
        <v>1.7899343983</v>
      </c>
      <c r="I303" t="str">
        <f>[5]trip_summary_region!I303</f>
        <v>Air/Non-Local PT</v>
      </c>
      <c r="J303" t="str">
        <f>[5]trip_summary_region!J303</f>
        <v>2012/13</v>
      </c>
    </row>
    <row r="304" spans="1:10" x14ac:dyDescent="0.2">
      <c r="A304" t="str">
        <f>[5]trip_summary_region!A304</f>
        <v>04 BAY OF PLENTY</v>
      </c>
      <c r="B304">
        <f>[5]trip_summary_region!B304</f>
        <v>10</v>
      </c>
      <c r="C304">
        <f>[5]trip_summary_region!C304</f>
        <v>2018</v>
      </c>
      <c r="D304">
        <f>[5]trip_summary_region!D304</f>
        <v>10</v>
      </c>
      <c r="E304">
        <f>[5]trip_summary_region!E304</f>
        <v>20</v>
      </c>
      <c r="F304">
        <f>[5]trip_summary_region!F304</f>
        <v>0.82215910869999997</v>
      </c>
      <c r="G304">
        <f>[5]trip_summary_region!G304</f>
        <v>41.036302919999997</v>
      </c>
      <c r="H304">
        <f>[5]trip_summary_region!H304</f>
        <v>2.4445007157999998</v>
      </c>
      <c r="I304" t="str">
        <f>[5]trip_summary_region!I304</f>
        <v>Air/Non-Local PT</v>
      </c>
      <c r="J304" t="str">
        <f>[5]trip_summary_region!J304</f>
        <v>2017/18</v>
      </c>
    </row>
    <row r="305" spans="1:10" x14ac:dyDescent="0.2">
      <c r="A305" t="str">
        <f>[5]trip_summary_region!A305</f>
        <v>04 BAY OF PLENTY</v>
      </c>
      <c r="B305">
        <f>[5]trip_summary_region!B305</f>
        <v>10</v>
      </c>
      <c r="C305">
        <f>[5]trip_summary_region!C305</f>
        <v>2023</v>
      </c>
      <c r="D305">
        <f>[5]trip_summary_region!D305</f>
        <v>10</v>
      </c>
      <c r="E305">
        <f>[5]trip_summary_region!E305</f>
        <v>20</v>
      </c>
      <c r="F305">
        <f>[5]trip_summary_region!F305</f>
        <v>0.96011477379999999</v>
      </c>
      <c r="G305">
        <f>[5]trip_summary_region!G305</f>
        <v>49.464822112</v>
      </c>
      <c r="H305">
        <f>[5]trip_summary_region!H305</f>
        <v>3.0877956076999999</v>
      </c>
      <c r="I305" t="str">
        <f>[5]trip_summary_region!I305</f>
        <v>Air/Non-Local PT</v>
      </c>
      <c r="J305" t="str">
        <f>[5]trip_summary_region!J305</f>
        <v>2022/23</v>
      </c>
    </row>
    <row r="306" spans="1:10" x14ac:dyDescent="0.2">
      <c r="A306" t="str">
        <f>[5]trip_summary_region!A306</f>
        <v>04 BAY OF PLENTY</v>
      </c>
      <c r="B306">
        <f>[5]trip_summary_region!B306</f>
        <v>10</v>
      </c>
      <c r="C306">
        <f>[5]trip_summary_region!C306</f>
        <v>2028</v>
      </c>
      <c r="D306">
        <f>[5]trip_summary_region!D306</f>
        <v>10</v>
      </c>
      <c r="E306">
        <f>[5]trip_summary_region!E306</f>
        <v>20</v>
      </c>
      <c r="F306">
        <f>[5]trip_summary_region!F306</f>
        <v>1.0735331276</v>
      </c>
      <c r="G306">
        <f>[5]trip_summary_region!G306</f>
        <v>56.992588058000003</v>
      </c>
      <c r="H306">
        <f>[5]trip_summary_region!H306</f>
        <v>3.6497832736000002</v>
      </c>
      <c r="I306" t="str">
        <f>[5]trip_summary_region!I306</f>
        <v>Air/Non-Local PT</v>
      </c>
      <c r="J306" t="str">
        <f>[5]trip_summary_region!J306</f>
        <v>2027/28</v>
      </c>
    </row>
    <row r="307" spans="1:10" x14ac:dyDescent="0.2">
      <c r="A307" t="str">
        <f>[5]trip_summary_region!A307</f>
        <v>04 BAY OF PLENTY</v>
      </c>
      <c r="B307">
        <f>[5]trip_summary_region!B307</f>
        <v>10</v>
      </c>
      <c r="C307">
        <f>[5]trip_summary_region!C307</f>
        <v>2033</v>
      </c>
      <c r="D307">
        <f>[5]trip_summary_region!D307</f>
        <v>10</v>
      </c>
      <c r="E307">
        <f>[5]trip_summary_region!E307</f>
        <v>20</v>
      </c>
      <c r="F307">
        <f>[5]trip_summary_region!F307</f>
        <v>1.1767869937</v>
      </c>
      <c r="G307">
        <f>[5]trip_summary_region!G307</f>
        <v>64.699929897000004</v>
      </c>
      <c r="H307">
        <f>[5]trip_summary_region!H307</f>
        <v>4.0830619428999997</v>
      </c>
      <c r="I307" t="str">
        <f>[5]trip_summary_region!I307</f>
        <v>Air/Non-Local PT</v>
      </c>
      <c r="J307" t="str">
        <f>[5]trip_summary_region!J307</f>
        <v>2032/33</v>
      </c>
    </row>
    <row r="308" spans="1:10" x14ac:dyDescent="0.2">
      <c r="A308" t="str">
        <f>[5]trip_summary_region!A308</f>
        <v>04 BAY OF PLENTY</v>
      </c>
      <c r="B308">
        <f>[5]trip_summary_region!B308</f>
        <v>10</v>
      </c>
      <c r="C308">
        <f>[5]trip_summary_region!C308</f>
        <v>2038</v>
      </c>
      <c r="D308">
        <f>[5]trip_summary_region!D308</f>
        <v>10</v>
      </c>
      <c r="E308">
        <f>[5]trip_summary_region!E308</f>
        <v>20</v>
      </c>
      <c r="F308">
        <f>[5]trip_summary_region!F308</f>
        <v>1.3403891139999999</v>
      </c>
      <c r="G308">
        <f>[5]trip_summary_region!G308</f>
        <v>78.842720029000006</v>
      </c>
      <c r="H308">
        <f>[5]trip_summary_region!H308</f>
        <v>4.5341585557000004</v>
      </c>
      <c r="I308" t="str">
        <f>[5]trip_summary_region!I308</f>
        <v>Air/Non-Local PT</v>
      </c>
      <c r="J308" t="str">
        <f>[5]trip_summary_region!J308</f>
        <v>2037/38</v>
      </c>
    </row>
    <row r="309" spans="1:10" x14ac:dyDescent="0.2">
      <c r="A309" t="str">
        <f>[5]trip_summary_region!A309</f>
        <v>04 BAY OF PLENTY</v>
      </c>
      <c r="B309">
        <f>[5]trip_summary_region!B309</f>
        <v>10</v>
      </c>
      <c r="C309">
        <f>[5]trip_summary_region!C309</f>
        <v>2043</v>
      </c>
      <c r="D309">
        <f>[5]trip_summary_region!D309</f>
        <v>10</v>
      </c>
      <c r="E309">
        <f>[5]trip_summary_region!E309</f>
        <v>20</v>
      </c>
      <c r="F309">
        <f>[5]trip_summary_region!F309</f>
        <v>1.5188268518000001</v>
      </c>
      <c r="G309">
        <f>[5]trip_summary_region!G309</f>
        <v>94.597112664999997</v>
      </c>
      <c r="H309">
        <f>[5]trip_summary_region!H309</f>
        <v>4.9634568424000003</v>
      </c>
      <c r="I309" t="str">
        <f>[5]trip_summary_region!I309</f>
        <v>Air/Non-Local PT</v>
      </c>
      <c r="J309" t="str">
        <f>[5]trip_summary_region!J309</f>
        <v>2042/43</v>
      </c>
    </row>
    <row r="310" spans="1:10" x14ac:dyDescent="0.2">
      <c r="A310" t="str">
        <f>[5]trip_summary_region!A310</f>
        <v>04 BAY OF PLENTY</v>
      </c>
      <c r="B310">
        <f>[5]trip_summary_region!B310</f>
        <v>11</v>
      </c>
      <c r="C310">
        <f>[5]trip_summary_region!C310</f>
        <v>2013</v>
      </c>
      <c r="D310">
        <f>[5]trip_summary_region!D310</f>
        <v>6</v>
      </c>
      <c r="E310">
        <f>[5]trip_summary_region!E310</f>
        <v>33</v>
      </c>
      <c r="F310">
        <f>[5]trip_summary_region!F310</f>
        <v>1.4872690419000001</v>
      </c>
      <c r="G310">
        <f>[5]trip_summary_region!G310</f>
        <v>13.901388431999999</v>
      </c>
      <c r="H310">
        <f>[5]trip_summary_region!H310</f>
        <v>0.32958292379999998</v>
      </c>
      <c r="I310" t="str">
        <f>[5]trip_summary_region!I310</f>
        <v>Non-Household Travel</v>
      </c>
      <c r="J310" t="str">
        <f>[5]trip_summary_region!J310</f>
        <v>2012/13</v>
      </c>
    </row>
    <row r="311" spans="1:10" x14ac:dyDescent="0.2">
      <c r="A311" t="str">
        <f>[5]trip_summary_region!A311</f>
        <v>04 BAY OF PLENTY</v>
      </c>
      <c r="B311">
        <f>[5]trip_summary_region!B311</f>
        <v>11</v>
      </c>
      <c r="C311">
        <f>[5]trip_summary_region!C311</f>
        <v>2018</v>
      </c>
      <c r="D311">
        <f>[5]trip_summary_region!D311</f>
        <v>6</v>
      </c>
      <c r="E311">
        <f>[5]trip_summary_region!E311</f>
        <v>33</v>
      </c>
      <c r="F311">
        <f>[5]trip_summary_region!F311</f>
        <v>1.7340928390999999</v>
      </c>
      <c r="G311">
        <f>[5]trip_summary_region!G311</f>
        <v>14.448185294</v>
      </c>
      <c r="H311">
        <f>[5]trip_summary_region!H311</f>
        <v>0.366562006</v>
      </c>
      <c r="I311" t="str">
        <f>[5]trip_summary_region!I311</f>
        <v>Non-Household Travel</v>
      </c>
      <c r="J311" t="str">
        <f>[5]trip_summary_region!J311</f>
        <v>2017/18</v>
      </c>
    </row>
    <row r="312" spans="1:10" x14ac:dyDescent="0.2">
      <c r="A312" t="str">
        <f>[5]trip_summary_region!A312</f>
        <v>04 BAY OF PLENTY</v>
      </c>
      <c r="B312">
        <f>[5]trip_summary_region!B312</f>
        <v>11</v>
      </c>
      <c r="C312">
        <f>[5]trip_summary_region!C312</f>
        <v>2023</v>
      </c>
      <c r="D312">
        <f>[5]trip_summary_region!D312</f>
        <v>6</v>
      </c>
      <c r="E312">
        <f>[5]trip_summary_region!E312</f>
        <v>33</v>
      </c>
      <c r="F312">
        <f>[5]trip_summary_region!F312</f>
        <v>1.8582949415000001</v>
      </c>
      <c r="G312">
        <f>[5]trip_summary_region!G312</f>
        <v>14.386176074</v>
      </c>
      <c r="H312">
        <f>[5]trip_summary_region!H312</f>
        <v>0.38252332010000001</v>
      </c>
      <c r="I312" t="str">
        <f>[5]trip_summary_region!I312</f>
        <v>Non-Household Travel</v>
      </c>
      <c r="J312" t="str">
        <f>[5]trip_summary_region!J312</f>
        <v>2022/23</v>
      </c>
    </row>
    <row r="313" spans="1:10" x14ac:dyDescent="0.2">
      <c r="A313" t="str">
        <f>[5]trip_summary_region!A313</f>
        <v>04 BAY OF PLENTY</v>
      </c>
      <c r="B313">
        <f>[5]trip_summary_region!B313</f>
        <v>11</v>
      </c>
      <c r="C313">
        <f>[5]trip_summary_region!C313</f>
        <v>2028</v>
      </c>
      <c r="D313">
        <f>[5]trip_summary_region!D313</f>
        <v>6</v>
      </c>
      <c r="E313">
        <f>[5]trip_summary_region!E313</f>
        <v>33</v>
      </c>
      <c r="F313">
        <f>[5]trip_summary_region!F313</f>
        <v>2.0483226533000001</v>
      </c>
      <c r="G313">
        <f>[5]trip_summary_region!G313</f>
        <v>14.707443228000001</v>
      </c>
      <c r="H313">
        <f>[5]trip_summary_region!H313</f>
        <v>0.4080537105</v>
      </c>
      <c r="I313" t="str">
        <f>[5]trip_summary_region!I313</f>
        <v>Non-Household Travel</v>
      </c>
      <c r="J313" t="str">
        <f>[5]trip_summary_region!J313</f>
        <v>2027/28</v>
      </c>
    </row>
    <row r="314" spans="1:10" x14ac:dyDescent="0.2">
      <c r="A314" t="str">
        <f>[5]trip_summary_region!A314</f>
        <v>04 BAY OF PLENTY</v>
      </c>
      <c r="B314">
        <f>[5]trip_summary_region!B314</f>
        <v>11</v>
      </c>
      <c r="C314">
        <f>[5]trip_summary_region!C314</f>
        <v>2033</v>
      </c>
      <c r="D314">
        <f>[5]trip_summary_region!D314</f>
        <v>6</v>
      </c>
      <c r="E314">
        <f>[5]trip_summary_region!E314</f>
        <v>33</v>
      </c>
      <c r="F314">
        <f>[5]trip_summary_region!F314</f>
        <v>2.2094434254999999</v>
      </c>
      <c r="G314">
        <f>[5]trip_summary_region!G314</f>
        <v>15.184080188999999</v>
      </c>
      <c r="H314">
        <f>[5]trip_summary_region!H314</f>
        <v>0.4316218959</v>
      </c>
      <c r="I314" t="str">
        <f>[5]trip_summary_region!I314</f>
        <v>Non-Household Travel</v>
      </c>
      <c r="J314" t="str">
        <f>[5]trip_summary_region!J314</f>
        <v>2032/33</v>
      </c>
    </row>
    <row r="315" spans="1:10" x14ac:dyDescent="0.2">
      <c r="A315" t="str">
        <f>[5]trip_summary_region!A315</f>
        <v>04 BAY OF PLENTY</v>
      </c>
      <c r="B315">
        <f>[5]trip_summary_region!B315</f>
        <v>11</v>
      </c>
      <c r="C315">
        <f>[5]trip_summary_region!C315</f>
        <v>2038</v>
      </c>
      <c r="D315">
        <f>[5]trip_summary_region!D315</f>
        <v>6</v>
      </c>
      <c r="E315">
        <f>[5]trip_summary_region!E315</f>
        <v>33</v>
      </c>
      <c r="F315">
        <f>[5]trip_summary_region!F315</f>
        <v>2.3651783494999998</v>
      </c>
      <c r="G315">
        <f>[5]trip_summary_region!G315</f>
        <v>15.742067343</v>
      </c>
      <c r="H315">
        <f>[5]trip_summary_region!H315</f>
        <v>0.4556201815</v>
      </c>
      <c r="I315" t="str">
        <f>[5]trip_summary_region!I315</f>
        <v>Non-Household Travel</v>
      </c>
      <c r="J315" t="str">
        <f>[5]trip_summary_region!J315</f>
        <v>2037/38</v>
      </c>
    </row>
    <row r="316" spans="1:10" x14ac:dyDescent="0.2">
      <c r="A316" t="str">
        <f>[5]trip_summary_region!A316</f>
        <v>04 BAY OF PLENTY</v>
      </c>
      <c r="B316">
        <f>[5]trip_summary_region!B316</f>
        <v>11</v>
      </c>
      <c r="C316">
        <f>[5]trip_summary_region!C316</f>
        <v>2043</v>
      </c>
      <c r="D316">
        <f>[5]trip_summary_region!D316</f>
        <v>6</v>
      </c>
      <c r="E316">
        <f>[5]trip_summary_region!E316</f>
        <v>33</v>
      </c>
      <c r="F316">
        <f>[5]trip_summary_region!F316</f>
        <v>2.5002115431999998</v>
      </c>
      <c r="G316">
        <f>[5]trip_summary_region!G316</f>
        <v>16.095985329000001</v>
      </c>
      <c r="H316">
        <f>[5]trip_summary_region!H316</f>
        <v>0.47493204719999998</v>
      </c>
      <c r="I316" t="str">
        <f>[5]trip_summary_region!I316</f>
        <v>Non-Household Travel</v>
      </c>
      <c r="J316" t="str">
        <f>[5]trip_summary_region!J316</f>
        <v>2042/43</v>
      </c>
    </row>
    <row r="317" spans="1:10" x14ac:dyDescent="0.2">
      <c r="A317" t="str">
        <f>[5]trip_summary_region!A317</f>
        <v>05 GISBORNE</v>
      </c>
      <c r="B317">
        <f>[5]trip_summary_region!B317</f>
        <v>0</v>
      </c>
      <c r="C317">
        <f>[5]trip_summary_region!C317</f>
        <v>2013</v>
      </c>
      <c r="D317">
        <f>[5]trip_summary_region!D317</f>
        <v>242</v>
      </c>
      <c r="E317">
        <f>[5]trip_summary_region!E317</f>
        <v>910</v>
      </c>
      <c r="F317">
        <f>[5]trip_summary_region!F317</f>
        <v>12.564280467</v>
      </c>
      <c r="G317">
        <f>[5]trip_summary_region!G317</f>
        <v>7.5635235767999998</v>
      </c>
      <c r="H317">
        <f>[5]trip_summary_region!H317</f>
        <v>2.2694063563000002</v>
      </c>
      <c r="I317" t="str">
        <f>[5]trip_summary_region!I317</f>
        <v>Pedestrian</v>
      </c>
      <c r="J317" t="str">
        <f>[5]trip_summary_region!J317</f>
        <v>2012/13</v>
      </c>
    </row>
    <row r="318" spans="1:10" x14ac:dyDescent="0.2">
      <c r="A318" t="str">
        <f>[5]trip_summary_region!A318</f>
        <v>05 GISBORNE</v>
      </c>
      <c r="B318">
        <f>[5]trip_summary_region!B318</f>
        <v>0</v>
      </c>
      <c r="C318">
        <f>[5]trip_summary_region!C318</f>
        <v>2018</v>
      </c>
      <c r="D318">
        <f>[5]trip_summary_region!D318</f>
        <v>242</v>
      </c>
      <c r="E318">
        <f>[5]trip_summary_region!E318</f>
        <v>910</v>
      </c>
      <c r="F318">
        <f>[5]trip_summary_region!F318</f>
        <v>11.031352663</v>
      </c>
      <c r="G318">
        <f>[5]trip_summary_region!G318</f>
        <v>6.7095778239000001</v>
      </c>
      <c r="H318">
        <f>[5]trip_summary_region!H318</f>
        <v>1.9663865806</v>
      </c>
      <c r="I318" t="str">
        <f>[5]trip_summary_region!I318</f>
        <v>Pedestrian</v>
      </c>
      <c r="J318" t="str">
        <f>[5]trip_summary_region!J318</f>
        <v>2017/18</v>
      </c>
    </row>
    <row r="319" spans="1:10" x14ac:dyDescent="0.2">
      <c r="A319" t="str">
        <f>[5]trip_summary_region!A319</f>
        <v>05 GISBORNE</v>
      </c>
      <c r="B319">
        <f>[5]trip_summary_region!B319</f>
        <v>0</v>
      </c>
      <c r="C319">
        <f>[5]trip_summary_region!C319</f>
        <v>2023</v>
      </c>
      <c r="D319">
        <f>[5]trip_summary_region!D319</f>
        <v>242</v>
      </c>
      <c r="E319">
        <f>[5]trip_summary_region!E319</f>
        <v>910</v>
      </c>
      <c r="F319">
        <f>[5]trip_summary_region!F319</f>
        <v>10.5963881</v>
      </c>
      <c r="G319">
        <f>[5]trip_summary_region!G319</f>
        <v>6.5445717515000004</v>
      </c>
      <c r="H319">
        <f>[5]trip_summary_region!H319</f>
        <v>1.8699849319999999</v>
      </c>
      <c r="I319" t="str">
        <f>[5]trip_summary_region!I319</f>
        <v>Pedestrian</v>
      </c>
      <c r="J319" t="str">
        <f>[5]trip_summary_region!J319</f>
        <v>2022/23</v>
      </c>
    </row>
    <row r="320" spans="1:10" x14ac:dyDescent="0.2">
      <c r="A320" t="str">
        <f>[5]trip_summary_region!A320</f>
        <v>05 GISBORNE</v>
      </c>
      <c r="B320">
        <f>[5]trip_summary_region!B320</f>
        <v>0</v>
      </c>
      <c r="C320">
        <f>[5]trip_summary_region!C320</f>
        <v>2028</v>
      </c>
      <c r="D320">
        <f>[5]trip_summary_region!D320</f>
        <v>242</v>
      </c>
      <c r="E320">
        <f>[5]trip_summary_region!E320</f>
        <v>910</v>
      </c>
      <c r="F320">
        <f>[5]trip_summary_region!F320</f>
        <v>9.9976077593999992</v>
      </c>
      <c r="G320">
        <f>[5]trip_summary_region!G320</f>
        <v>6.3607804584999998</v>
      </c>
      <c r="H320">
        <f>[5]trip_summary_region!H320</f>
        <v>1.7665445741000001</v>
      </c>
      <c r="I320" t="str">
        <f>[5]trip_summary_region!I320</f>
        <v>Pedestrian</v>
      </c>
      <c r="J320" t="str">
        <f>[5]trip_summary_region!J320</f>
        <v>2027/28</v>
      </c>
    </row>
    <row r="321" spans="1:10" x14ac:dyDescent="0.2">
      <c r="A321" t="str">
        <f>[5]trip_summary_region!A321</f>
        <v>05 GISBORNE</v>
      </c>
      <c r="B321">
        <f>[5]trip_summary_region!B321</f>
        <v>0</v>
      </c>
      <c r="C321">
        <f>[5]trip_summary_region!C321</f>
        <v>2033</v>
      </c>
      <c r="D321">
        <f>[5]trip_summary_region!D321</f>
        <v>242</v>
      </c>
      <c r="E321">
        <f>[5]trip_summary_region!E321</f>
        <v>910</v>
      </c>
      <c r="F321">
        <f>[5]trip_summary_region!F321</f>
        <v>9.4589008146999998</v>
      </c>
      <c r="G321">
        <f>[5]trip_summary_region!G321</f>
        <v>6.2530206583999997</v>
      </c>
      <c r="H321">
        <f>[5]trip_summary_region!H321</f>
        <v>1.6868638014999999</v>
      </c>
      <c r="I321" t="str">
        <f>[5]trip_summary_region!I321</f>
        <v>Pedestrian</v>
      </c>
      <c r="J321" t="str">
        <f>[5]trip_summary_region!J321</f>
        <v>2032/33</v>
      </c>
    </row>
    <row r="322" spans="1:10" x14ac:dyDescent="0.2">
      <c r="A322" t="str">
        <f>[5]trip_summary_region!A322</f>
        <v>05 GISBORNE</v>
      </c>
      <c r="B322">
        <f>[5]trip_summary_region!B322</f>
        <v>0</v>
      </c>
      <c r="C322">
        <f>[5]trip_summary_region!C322</f>
        <v>2038</v>
      </c>
      <c r="D322">
        <f>[5]trip_summary_region!D322</f>
        <v>242</v>
      </c>
      <c r="E322">
        <f>[5]trip_summary_region!E322</f>
        <v>910</v>
      </c>
      <c r="F322">
        <f>[5]trip_summary_region!F322</f>
        <v>8.9565942764000006</v>
      </c>
      <c r="G322">
        <f>[5]trip_summary_region!G322</f>
        <v>6.0895447840000001</v>
      </c>
      <c r="H322">
        <f>[5]trip_summary_region!H322</f>
        <v>1.6091812861999999</v>
      </c>
      <c r="I322" t="str">
        <f>[5]trip_summary_region!I322</f>
        <v>Pedestrian</v>
      </c>
      <c r="J322" t="str">
        <f>[5]trip_summary_region!J322</f>
        <v>2037/38</v>
      </c>
    </row>
    <row r="323" spans="1:10" x14ac:dyDescent="0.2">
      <c r="A323" t="str">
        <f>[5]trip_summary_region!A323</f>
        <v>05 GISBORNE</v>
      </c>
      <c r="B323">
        <f>[5]trip_summary_region!B323</f>
        <v>0</v>
      </c>
      <c r="C323">
        <f>[5]trip_summary_region!C323</f>
        <v>2043</v>
      </c>
      <c r="D323">
        <f>[5]trip_summary_region!D323</f>
        <v>242</v>
      </c>
      <c r="E323">
        <f>[5]trip_summary_region!E323</f>
        <v>910</v>
      </c>
      <c r="F323">
        <f>[5]trip_summary_region!F323</f>
        <v>8.5269986341999999</v>
      </c>
      <c r="G323">
        <f>[5]trip_summary_region!G323</f>
        <v>5.9826703909000001</v>
      </c>
      <c r="H323">
        <f>[5]trip_summary_region!H323</f>
        <v>1.5459179377000001</v>
      </c>
      <c r="I323" t="str">
        <f>[5]trip_summary_region!I323</f>
        <v>Pedestrian</v>
      </c>
      <c r="J323" t="str">
        <f>[5]trip_summary_region!J323</f>
        <v>2042/43</v>
      </c>
    </row>
    <row r="324" spans="1:10" x14ac:dyDescent="0.2">
      <c r="A324" t="str">
        <f>[5]trip_summary_region!A324</f>
        <v>05 GISBORNE</v>
      </c>
      <c r="B324">
        <f>[5]trip_summary_region!B324</f>
        <v>1</v>
      </c>
      <c r="C324">
        <f>[5]trip_summary_region!C324</f>
        <v>2013</v>
      </c>
      <c r="D324">
        <f>[5]trip_summary_region!D324</f>
        <v>27</v>
      </c>
      <c r="E324">
        <f>[5]trip_summary_region!E324</f>
        <v>100</v>
      </c>
      <c r="F324">
        <f>[5]trip_summary_region!F324</f>
        <v>1.1119455742</v>
      </c>
      <c r="G324">
        <f>[5]trip_summary_region!G324</f>
        <v>3.8031873472000002</v>
      </c>
      <c r="H324">
        <f>[5]trip_summary_region!H324</f>
        <v>0.28046850410000002</v>
      </c>
      <c r="I324" t="str">
        <f>[5]trip_summary_region!I324</f>
        <v>Cyclist</v>
      </c>
      <c r="J324" t="str">
        <f>[5]trip_summary_region!J324</f>
        <v>2012/13</v>
      </c>
    </row>
    <row r="325" spans="1:10" x14ac:dyDescent="0.2">
      <c r="A325" t="str">
        <f>[5]trip_summary_region!A325</f>
        <v>05 GISBORNE</v>
      </c>
      <c r="B325">
        <f>[5]trip_summary_region!B325</f>
        <v>1</v>
      </c>
      <c r="C325">
        <f>[5]trip_summary_region!C325</f>
        <v>2018</v>
      </c>
      <c r="D325">
        <f>[5]trip_summary_region!D325</f>
        <v>27</v>
      </c>
      <c r="E325">
        <f>[5]trip_summary_region!E325</f>
        <v>100</v>
      </c>
      <c r="F325">
        <f>[5]trip_summary_region!F325</f>
        <v>0.96763615169999995</v>
      </c>
      <c r="G325">
        <f>[5]trip_summary_region!G325</f>
        <v>3.0706241145000002</v>
      </c>
      <c r="H325">
        <f>[5]trip_summary_region!H325</f>
        <v>0.23354751879999999</v>
      </c>
      <c r="I325" t="str">
        <f>[5]trip_summary_region!I325</f>
        <v>Cyclist</v>
      </c>
      <c r="J325" t="str">
        <f>[5]trip_summary_region!J325</f>
        <v>2017/18</v>
      </c>
    </row>
    <row r="326" spans="1:10" x14ac:dyDescent="0.2">
      <c r="A326" t="str">
        <f>[5]trip_summary_region!A326</f>
        <v>05 GISBORNE</v>
      </c>
      <c r="B326">
        <f>[5]trip_summary_region!B326</f>
        <v>1</v>
      </c>
      <c r="C326">
        <f>[5]trip_summary_region!C326</f>
        <v>2023</v>
      </c>
      <c r="D326">
        <f>[5]trip_summary_region!D326</f>
        <v>27</v>
      </c>
      <c r="E326">
        <f>[5]trip_summary_region!E326</f>
        <v>100</v>
      </c>
      <c r="F326">
        <f>[5]trip_summary_region!F326</f>
        <v>0.94639081530000002</v>
      </c>
      <c r="G326">
        <f>[5]trip_summary_region!G326</f>
        <v>2.8096854634000001</v>
      </c>
      <c r="H326">
        <f>[5]trip_summary_region!H326</f>
        <v>0.2169698055</v>
      </c>
      <c r="I326" t="str">
        <f>[5]trip_summary_region!I326</f>
        <v>Cyclist</v>
      </c>
      <c r="J326" t="str">
        <f>[5]trip_summary_region!J326</f>
        <v>2022/23</v>
      </c>
    </row>
    <row r="327" spans="1:10" x14ac:dyDescent="0.2">
      <c r="A327" t="str">
        <f>[5]trip_summary_region!A327</f>
        <v>05 GISBORNE</v>
      </c>
      <c r="B327">
        <f>[5]trip_summary_region!B327</f>
        <v>1</v>
      </c>
      <c r="C327">
        <f>[5]trip_summary_region!C327</f>
        <v>2028</v>
      </c>
      <c r="D327">
        <f>[5]trip_summary_region!D327</f>
        <v>27</v>
      </c>
      <c r="E327">
        <f>[5]trip_summary_region!E327</f>
        <v>100</v>
      </c>
      <c r="F327">
        <f>[5]trip_summary_region!F327</f>
        <v>0.86330203189999999</v>
      </c>
      <c r="G327">
        <f>[5]trip_summary_region!G327</f>
        <v>2.3433885093</v>
      </c>
      <c r="H327">
        <f>[5]trip_summary_region!H327</f>
        <v>0.1844223552</v>
      </c>
      <c r="I327" t="str">
        <f>[5]trip_summary_region!I327</f>
        <v>Cyclist</v>
      </c>
      <c r="J327" t="str">
        <f>[5]trip_summary_region!J327</f>
        <v>2027/28</v>
      </c>
    </row>
    <row r="328" spans="1:10" x14ac:dyDescent="0.2">
      <c r="A328" t="str">
        <f>[5]trip_summary_region!A328</f>
        <v>05 GISBORNE</v>
      </c>
      <c r="B328">
        <f>[5]trip_summary_region!B328</f>
        <v>1</v>
      </c>
      <c r="C328">
        <f>[5]trip_summary_region!C328</f>
        <v>2033</v>
      </c>
      <c r="D328">
        <f>[5]trip_summary_region!D328</f>
        <v>27</v>
      </c>
      <c r="E328">
        <f>[5]trip_summary_region!E328</f>
        <v>100</v>
      </c>
      <c r="F328">
        <f>[5]trip_summary_region!F328</f>
        <v>0.78762650069999995</v>
      </c>
      <c r="G328">
        <f>[5]trip_summary_region!G328</f>
        <v>1.9614999001</v>
      </c>
      <c r="H328">
        <f>[5]trip_summary_region!H328</f>
        <v>0.15945393290000001</v>
      </c>
      <c r="I328" t="str">
        <f>[5]trip_summary_region!I328</f>
        <v>Cyclist</v>
      </c>
      <c r="J328" t="str">
        <f>[5]trip_summary_region!J328</f>
        <v>2032/33</v>
      </c>
    </row>
    <row r="329" spans="1:10" x14ac:dyDescent="0.2">
      <c r="A329" t="str">
        <f>[5]trip_summary_region!A329</f>
        <v>05 GISBORNE</v>
      </c>
      <c r="B329">
        <f>[5]trip_summary_region!B329</f>
        <v>1</v>
      </c>
      <c r="C329">
        <f>[5]trip_summary_region!C329</f>
        <v>2038</v>
      </c>
      <c r="D329">
        <f>[5]trip_summary_region!D329</f>
        <v>27</v>
      </c>
      <c r="E329">
        <f>[5]trip_summary_region!E329</f>
        <v>100</v>
      </c>
      <c r="F329">
        <f>[5]trip_summary_region!F329</f>
        <v>0.72151186450000004</v>
      </c>
      <c r="G329">
        <f>[5]trip_summary_region!G329</f>
        <v>1.6595701759999999</v>
      </c>
      <c r="H329">
        <f>[5]trip_summary_region!H329</f>
        <v>0.14068655050000001</v>
      </c>
      <c r="I329" t="str">
        <f>[5]trip_summary_region!I329</f>
        <v>Cyclist</v>
      </c>
      <c r="J329" t="str">
        <f>[5]trip_summary_region!J329</f>
        <v>2037/38</v>
      </c>
    </row>
    <row r="330" spans="1:10" x14ac:dyDescent="0.2">
      <c r="A330" t="str">
        <f>[5]trip_summary_region!A330</f>
        <v>05 GISBORNE</v>
      </c>
      <c r="B330">
        <f>[5]trip_summary_region!B330</f>
        <v>1</v>
      </c>
      <c r="C330">
        <f>[5]trip_summary_region!C330</f>
        <v>2043</v>
      </c>
      <c r="D330">
        <f>[5]trip_summary_region!D330</f>
        <v>27</v>
      </c>
      <c r="E330">
        <f>[5]trip_summary_region!E330</f>
        <v>100</v>
      </c>
      <c r="F330">
        <f>[5]trip_summary_region!F330</f>
        <v>0.66868773560000005</v>
      </c>
      <c r="G330">
        <f>[5]trip_summary_region!G330</f>
        <v>1.4420517204000001</v>
      </c>
      <c r="H330">
        <f>[5]trip_summary_region!H330</f>
        <v>0.1270674876</v>
      </c>
      <c r="I330" t="str">
        <f>[5]trip_summary_region!I330</f>
        <v>Cyclist</v>
      </c>
      <c r="J330" t="str">
        <f>[5]trip_summary_region!J330</f>
        <v>2042/43</v>
      </c>
    </row>
    <row r="331" spans="1:10" x14ac:dyDescent="0.2">
      <c r="A331" t="str">
        <f>[5]trip_summary_region!A331</f>
        <v>05 GISBORNE</v>
      </c>
      <c r="B331">
        <f>[5]trip_summary_region!B331</f>
        <v>2</v>
      </c>
      <c r="C331">
        <f>[5]trip_summary_region!C331</f>
        <v>2013</v>
      </c>
      <c r="D331">
        <f>[5]trip_summary_region!D331</f>
        <v>319</v>
      </c>
      <c r="E331">
        <f>[5]trip_summary_region!E331</f>
        <v>2307</v>
      </c>
      <c r="F331">
        <f>[5]trip_summary_region!F331</f>
        <v>28.776347379000001</v>
      </c>
      <c r="G331">
        <f>[5]trip_summary_region!G331</f>
        <v>241.40144318</v>
      </c>
      <c r="H331">
        <f>[5]trip_summary_region!H331</f>
        <v>6.0182660548999998</v>
      </c>
      <c r="I331" t="str">
        <f>[5]trip_summary_region!I331</f>
        <v>Light Vehicle Driver</v>
      </c>
      <c r="J331" t="str">
        <f>[5]trip_summary_region!J331</f>
        <v>2012/13</v>
      </c>
    </row>
    <row r="332" spans="1:10" x14ac:dyDescent="0.2">
      <c r="A332" t="str">
        <f>[5]trip_summary_region!A332</f>
        <v>05 GISBORNE</v>
      </c>
      <c r="B332">
        <f>[5]trip_summary_region!B332</f>
        <v>2</v>
      </c>
      <c r="C332">
        <f>[5]trip_summary_region!C332</f>
        <v>2018</v>
      </c>
      <c r="D332">
        <f>[5]trip_summary_region!D332</f>
        <v>319</v>
      </c>
      <c r="E332">
        <f>[5]trip_summary_region!E332</f>
        <v>2307</v>
      </c>
      <c r="F332">
        <f>[5]trip_summary_region!F332</f>
        <v>26.895989644</v>
      </c>
      <c r="G332">
        <f>[5]trip_summary_region!G332</f>
        <v>231.43338102999999</v>
      </c>
      <c r="H332">
        <f>[5]trip_summary_region!H332</f>
        <v>5.7384923941999997</v>
      </c>
      <c r="I332" t="str">
        <f>[5]trip_summary_region!I332</f>
        <v>Light Vehicle Driver</v>
      </c>
      <c r="J332" t="str">
        <f>[5]trip_summary_region!J332</f>
        <v>2017/18</v>
      </c>
    </row>
    <row r="333" spans="1:10" x14ac:dyDescent="0.2">
      <c r="A333" t="str">
        <f>[5]trip_summary_region!A333</f>
        <v>05 GISBORNE</v>
      </c>
      <c r="B333">
        <f>[5]trip_summary_region!B333</f>
        <v>2</v>
      </c>
      <c r="C333">
        <f>[5]trip_summary_region!C333</f>
        <v>2023</v>
      </c>
      <c r="D333">
        <f>[5]trip_summary_region!D333</f>
        <v>319</v>
      </c>
      <c r="E333">
        <f>[5]trip_summary_region!E333</f>
        <v>2307</v>
      </c>
      <c r="F333">
        <f>[5]trip_summary_region!F333</f>
        <v>27.004577224999998</v>
      </c>
      <c r="G333">
        <f>[5]trip_summary_region!G333</f>
        <v>236.77251361</v>
      </c>
      <c r="H333">
        <f>[5]trip_summary_region!H333</f>
        <v>5.8621809522000001</v>
      </c>
      <c r="I333" t="str">
        <f>[5]trip_summary_region!I333</f>
        <v>Light Vehicle Driver</v>
      </c>
      <c r="J333" t="str">
        <f>[5]trip_summary_region!J333</f>
        <v>2022/23</v>
      </c>
    </row>
    <row r="334" spans="1:10" x14ac:dyDescent="0.2">
      <c r="A334" t="str">
        <f>[5]trip_summary_region!A334</f>
        <v>05 GISBORNE</v>
      </c>
      <c r="B334">
        <f>[5]trip_summary_region!B334</f>
        <v>2</v>
      </c>
      <c r="C334">
        <f>[5]trip_summary_region!C334</f>
        <v>2028</v>
      </c>
      <c r="D334">
        <f>[5]trip_summary_region!D334</f>
        <v>319</v>
      </c>
      <c r="E334">
        <f>[5]trip_summary_region!E334</f>
        <v>2307</v>
      </c>
      <c r="F334">
        <f>[5]trip_summary_region!F334</f>
        <v>25.930514348999999</v>
      </c>
      <c r="G334">
        <f>[5]trip_summary_region!G334</f>
        <v>230.58090272000001</v>
      </c>
      <c r="H334">
        <f>[5]trip_summary_region!H334</f>
        <v>5.7039406110000002</v>
      </c>
      <c r="I334" t="str">
        <f>[5]trip_summary_region!I334</f>
        <v>Light Vehicle Driver</v>
      </c>
      <c r="J334" t="str">
        <f>[5]trip_summary_region!J334</f>
        <v>2027/28</v>
      </c>
    </row>
    <row r="335" spans="1:10" x14ac:dyDescent="0.2">
      <c r="A335" t="str">
        <f>[5]trip_summary_region!A335</f>
        <v>05 GISBORNE</v>
      </c>
      <c r="B335">
        <f>[5]trip_summary_region!B335</f>
        <v>2</v>
      </c>
      <c r="C335">
        <f>[5]trip_summary_region!C335</f>
        <v>2033</v>
      </c>
      <c r="D335">
        <f>[5]trip_summary_region!D335</f>
        <v>319</v>
      </c>
      <c r="E335">
        <f>[5]trip_summary_region!E335</f>
        <v>2307</v>
      </c>
      <c r="F335">
        <f>[5]trip_summary_region!F335</f>
        <v>24.841491005000002</v>
      </c>
      <c r="G335">
        <f>[5]trip_summary_region!G335</f>
        <v>223.58153055</v>
      </c>
      <c r="H335">
        <f>[5]trip_summary_region!H335</f>
        <v>5.5255700399999998</v>
      </c>
      <c r="I335" t="str">
        <f>[5]trip_summary_region!I335</f>
        <v>Light Vehicle Driver</v>
      </c>
      <c r="J335" t="str">
        <f>[5]trip_summary_region!J335</f>
        <v>2032/33</v>
      </c>
    </row>
    <row r="336" spans="1:10" x14ac:dyDescent="0.2">
      <c r="A336" t="str">
        <f>[5]trip_summary_region!A336</f>
        <v>05 GISBORNE</v>
      </c>
      <c r="B336">
        <f>[5]trip_summary_region!B336</f>
        <v>2</v>
      </c>
      <c r="C336">
        <f>[5]trip_summary_region!C336</f>
        <v>2038</v>
      </c>
      <c r="D336">
        <f>[5]trip_summary_region!D336</f>
        <v>319</v>
      </c>
      <c r="E336">
        <f>[5]trip_summary_region!E336</f>
        <v>2307</v>
      </c>
      <c r="F336">
        <f>[5]trip_summary_region!F336</f>
        <v>23.870676761999999</v>
      </c>
      <c r="G336">
        <f>[5]trip_summary_region!G336</f>
        <v>216.34732116000001</v>
      </c>
      <c r="H336">
        <f>[5]trip_summary_region!H336</f>
        <v>5.3573567305000003</v>
      </c>
      <c r="I336" t="str">
        <f>[5]trip_summary_region!I336</f>
        <v>Light Vehicle Driver</v>
      </c>
      <c r="J336" t="str">
        <f>[5]trip_summary_region!J336</f>
        <v>2037/38</v>
      </c>
    </row>
    <row r="337" spans="1:10" x14ac:dyDescent="0.2">
      <c r="A337" t="str">
        <f>[5]trip_summary_region!A337</f>
        <v>05 GISBORNE</v>
      </c>
      <c r="B337">
        <f>[5]trip_summary_region!B337</f>
        <v>2</v>
      </c>
      <c r="C337">
        <f>[5]trip_summary_region!C337</f>
        <v>2043</v>
      </c>
      <c r="D337">
        <f>[5]trip_summary_region!D337</f>
        <v>319</v>
      </c>
      <c r="E337">
        <f>[5]trip_summary_region!E337</f>
        <v>2307</v>
      </c>
      <c r="F337">
        <f>[5]trip_summary_region!F337</f>
        <v>22.983705869000001</v>
      </c>
      <c r="G337">
        <f>[5]trip_summary_region!G337</f>
        <v>208.96470134</v>
      </c>
      <c r="H337">
        <f>[5]trip_summary_region!H337</f>
        <v>5.1960142060000001</v>
      </c>
      <c r="I337" t="str">
        <f>[5]trip_summary_region!I337</f>
        <v>Light Vehicle Driver</v>
      </c>
      <c r="J337" t="str">
        <f>[5]trip_summary_region!J337</f>
        <v>2042/43</v>
      </c>
    </row>
    <row r="338" spans="1:10" x14ac:dyDescent="0.2">
      <c r="A338" t="str">
        <f>[5]trip_summary_region!A338</f>
        <v>05 GISBORNE</v>
      </c>
      <c r="B338">
        <f>[5]trip_summary_region!B338</f>
        <v>3</v>
      </c>
      <c r="C338">
        <f>[5]trip_summary_region!C338</f>
        <v>2013</v>
      </c>
      <c r="D338">
        <f>[5]trip_summary_region!D338</f>
        <v>278</v>
      </c>
      <c r="E338">
        <f>[5]trip_summary_region!E338</f>
        <v>1431</v>
      </c>
      <c r="F338">
        <f>[5]trip_summary_region!F338</f>
        <v>18.791024854</v>
      </c>
      <c r="G338">
        <f>[5]trip_summary_region!G338</f>
        <v>174.74236519999999</v>
      </c>
      <c r="H338">
        <f>[5]trip_summary_region!H338</f>
        <v>4.5909579553000004</v>
      </c>
      <c r="I338" t="str">
        <f>[5]trip_summary_region!I338</f>
        <v>Light Vehicle Passenger</v>
      </c>
      <c r="J338" t="str">
        <f>[5]trip_summary_region!J338</f>
        <v>2012/13</v>
      </c>
    </row>
    <row r="339" spans="1:10" x14ac:dyDescent="0.2">
      <c r="A339" t="str">
        <f>[5]trip_summary_region!A339</f>
        <v>05 GISBORNE</v>
      </c>
      <c r="B339">
        <f>[5]trip_summary_region!B339</f>
        <v>3</v>
      </c>
      <c r="C339">
        <f>[5]trip_summary_region!C339</f>
        <v>2018</v>
      </c>
      <c r="D339">
        <f>[5]trip_summary_region!D339</f>
        <v>278</v>
      </c>
      <c r="E339">
        <f>[5]trip_summary_region!E339</f>
        <v>1431</v>
      </c>
      <c r="F339">
        <f>[5]trip_summary_region!F339</f>
        <v>16.066332581000001</v>
      </c>
      <c r="G339">
        <f>[5]trip_summary_region!G339</f>
        <v>150.74468472999999</v>
      </c>
      <c r="H339">
        <f>[5]trip_summary_region!H339</f>
        <v>4.0091183035000002</v>
      </c>
      <c r="I339" t="str">
        <f>[5]trip_summary_region!I339</f>
        <v>Light Vehicle Passenger</v>
      </c>
      <c r="J339" t="str">
        <f>[5]trip_summary_region!J339</f>
        <v>2017/18</v>
      </c>
    </row>
    <row r="340" spans="1:10" x14ac:dyDescent="0.2">
      <c r="A340" t="str">
        <f>[5]trip_summary_region!A340</f>
        <v>05 GISBORNE</v>
      </c>
      <c r="B340">
        <f>[5]trip_summary_region!B340</f>
        <v>3</v>
      </c>
      <c r="C340">
        <f>[5]trip_summary_region!C340</f>
        <v>2023</v>
      </c>
      <c r="D340">
        <f>[5]trip_summary_region!D340</f>
        <v>278</v>
      </c>
      <c r="E340">
        <f>[5]trip_summary_region!E340</f>
        <v>1431</v>
      </c>
      <c r="F340">
        <f>[5]trip_summary_region!F340</f>
        <v>15.169250449</v>
      </c>
      <c r="G340">
        <f>[5]trip_summary_region!G340</f>
        <v>144.13316021</v>
      </c>
      <c r="H340">
        <f>[5]trip_summary_region!H340</f>
        <v>3.8687531918000002</v>
      </c>
      <c r="I340" t="str">
        <f>[5]trip_summary_region!I340</f>
        <v>Light Vehicle Passenger</v>
      </c>
      <c r="J340" t="str">
        <f>[5]trip_summary_region!J340</f>
        <v>2022/23</v>
      </c>
    </row>
    <row r="341" spans="1:10" x14ac:dyDescent="0.2">
      <c r="A341" t="str">
        <f>[5]trip_summary_region!A341</f>
        <v>05 GISBORNE</v>
      </c>
      <c r="B341">
        <f>[5]trip_summary_region!B341</f>
        <v>3</v>
      </c>
      <c r="C341">
        <f>[5]trip_summary_region!C341</f>
        <v>2028</v>
      </c>
      <c r="D341">
        <f>[5]trip_summary_region!D341</f>
        <v>278</v>
      </c>
      <c r="E341">
        <f>[5]trip_summary_region!E341</f>
        <v>1431</v>
      </c>
      <c r="F341">
        <f>[5]trip_summary_region!F341</f>
        <v>13.777104926</v>
      </c>
      <c r="G341">
        <f>[5]trip_summary_region!G341</f>
        <v>132.43366549999999</v>
      </c>
      <c r="H341">
        <f>[5]trip_summary_region!H341</f>
        <v>3.5642529458999999</v>
      </c>
      <c r="I341" t="str">
        <f>[5]trip_summary_region!I341</f>
        <v>Light Vehicle Passenger</v>
      </c>
      <c r="J341" t="str">
        <f>[5]trip_summary_region!J341</f>
        <v>2027/28</v>
      </c>
    </row>
    <row r="342" spans="1:10" x14ac:dyDescent="0.2">
      <c r="A342" t="str">
        <f>[5]trip_summary_region!A342</f>
        <v>05 GISBORNE</v>
      </c>
      <c r="B342">
        <f>[5]trip_summary_region!B342</f>
        <v>3</v>
      </c>
      <c r="C342">
        <f>[5]trip_summary_region!C342</f>
        <v>2033</v>
      </c>
      <c r="D342">
        <f>[5]trip_summary_region!D342</f>
        <v>278</v>
      </c>
      <c r="E342">
        <f>[5]trip_summary_region!E342</f>
        <v>1431</v>
      </c>
      <c r="F342">
        <f>[5]trip_summary_region!F342</f>
        <v>12.618683002999999</v>
      </c>
      <c r="G342">
        <f>[5]trip_summary_region!G342</f>
        <v>120.93791216</v>
      </c>
      <c r="H342">
        <f>[5]trip_summary_region!H342</f>
        <v>3.2732480884999999</v>
      </c>
      <c r="I342" t="str">
        <f>[5]trip_summary_region!I342</f>
        <v>Light Vehicle Passenger</v>
      </c>
      <c r="J342" t="str">
        <f>[5]trip_summary_region!J342</f>
        <v>2032/33</v>
      </c>
    </row>
    <row r="343" spans="1:10" x14ac:dyDescent="0.2">
      <c r="A343" t="str">
        <f>[5]trip_summary_region!A343</f>
        <v>05 GISBORNE</v>
      </c>
      <c r="B343">
        <f>[5]trip_summary_region!B343</f>
        <v>3</v>
      </c>
      <c r="C343">
        <f>[5]trip_summary_region!C343</f>
        <v>2038</v>
      </c>
      <c r="D343">
        <f>[5]trip_summary_region!D343</f>
        <v>278</v>
      </c>
      <c r="E343">
        <f>[5]trip_summary_region!E343</f>
        <v>1431</v>
      </c>
      <c r="F343">
        <f>[5]trip_summary_region!F343</f>
        <v>11.754636698000001</v>
      </c>
      <c r="G343">
        <f>[5]trip_summary_region!G343</f>
        <v>112.36454981</v>
      </c>
      <c r="H343">
        <f>[5]trip_summary_region!H343</f>
        <v>3.0868616392999999</v>
      </c>
      <c r="I343" t="str">
        <f>[5]trip_summary_region!I343</f>
        <v>Light Vehicle Passenger</v>
      </c>
      <c r="J343" t="str">
        <f>[5]trip_summary_region!J343</f>
        <v>2037/38</v>
      </c>
    </row>
    <row r="344" spans="1:10" x14ac:dyDescent="0.2">
      <c r="A344" t="str">
        <f>[5]trip_summary_region!A344</f>
        <v>05 GISBORNE</v>
      </c>
      <c r="B344">
        <f>[5]trip_summary_region!B344</f>
        <v>3</v>
      </c>
      <c r="C344">
        <f>[5]trip_summary_region!C344</f>
        <v>2043</v>
      </c>
      <c r="D344">
        <f>[5]trip_summary_region!D344</f>
        <v>278</v>
      </c>
      <c r="E344">
        <f>[5]trip_summary_region!E344</f>
        <v>1431</v>
      </c>
      <c r="F344">
        <f>[5]trip_summary_region!F344</f>
        <v>11.012423116000001</v>
      </c>
      <c r="G344">
        <f>[5]trip_summary_region!G344</f>
        <v>104.96033989999999</v>
      </c>
      <c r="H344">
        <f>[5]trip_summary_region!H344</f>
        <v>2.9315756926000001</v>
      </c>
      <c r="I344" t="str">
        <f>[5]trip_summary_region!I344</f>
        <v>Light Vehicle Passenger</v>
      </c>
      <c r="J344" t="str">
        <f>[5]trip_summary_region!J344</f>
        <v>2042/43</v>
      </c>
    </row>
    <row r="345" spans="1:10" x14ac:dyDescent="0.2">
      <c r="A345" t="str">
        <f>[5]trip_summary_region!A345</f>
        <v>05 GISBORNE</v>
      </c>
      <c r="B345">
        <f>[5]trip_summary_region!B345</f>
        <v>4</v>
      </c>
      <c r="C345">
        <f>[5]trip_summary_region!C345</f>
        <v>2013</v>
      </c>
      <c r="D345">
        <f>[5]trip_summary_region!D345</f>
        <v>2</v>
      </c>
      <c r="E345">
        <f>[5]trip_summary_region!E345</f>
        <v>2</v>
      </c>
      <c r="F345">
        <f>[5]trip_summary_region!F345</f>
        <v>2.27015811E-2</v>
      </c>
      <c r="G345">
        <f>[5]trip_summary_region!G345</f>
        <v>0.1174510768</v>
      </c>
      <c r="H345">
        <f>[5]trip_summary_region!H345</f>
        <v>5.0534828E-3</v>
      </c>
      <c r="I345" t="s">
        <v>116</v>
      </c>
      <c r="J345" t="str">
        <f>[5]trip_summary_region!J345</f>
        <v>2012/13</v>
      </c>
    </row>
    <row r="346" spans="1:10" x14ac:dyDescent="0.2">
      <c r="A346" t="str">
        <f>[5]trip_summary_region!A346</f>
        <v>05 GISBORNE</v>
      </c>
      <c r="B346">
        <f>[5]trip_summary_region!B346</f>
        <v>4</v>
      </c>
      <c r="C346">
        <f>[5]trip_summary_region!C346</f>
        <v>2018</v>
      </c>
      <c r="D346">
        <f>[5]trip_summary_region!D346</f>
        <v>2</v>
      </c>
      <c r="E346">
        <f>[5]trip_summary_region!E346</f>
        <v>2</v>
      </c>
      <c r="F346">
        <f>[5]trip_summary_region!F346</f>
        <v>2.45635731E-2</v>
      </c>
      <c r="G346">
        <f>[5]trip_summary_region!G346</f>
        <v>0.17738402719999999</v>
      </c>
      <c r="H346">
        <f>[5]trip_summary_region!H346</f>
        <v>7.3514525000000002E-3</v>
      </c>
      <c r="I346" t="s">
        <v>116</v>
      </c>
      <c r="J346" t="str">
        <f>[5]trip_summary_region!J346</f>
        <v>2017/18</v>
      </c>
    </row>
    <row r="347" spans="1:10" x14ac:dyDescent="0.2">
      <c r="A347" t="str">
        <f>[5]trip_summary_region!A347</f>
        <v>05 GISBORNE</v>
      </c>
      <c r="B347">
        <f>[5]trip_summary_region!B347</f>
        <v>4</v>
      </c>
      <c r="C347">
        <f>[5]trip_summary_region!C347</f>
        <v>2023</v>
      </c>
      <c r="D347">
        <f>[5]trip_summary_region!D347</f>
        <v>2</v>
      </c>
      <c r="E347">
        <f>[5]trip_summary_region!E347</f>
        <v>2</v>
      </c>
      <c r="F347">
        <f>[5]trip_summary_region!F347</f>
        <v>3.2278462199999997E-2</v>
      </c>
      <c r="G347">
        <f>[5]trip_summary_region!G347</f>
        <v>0.29374220420000002</v>
      </c>
      <c r="H347">
        <f>[5]trip_summary_region!H347</f>
        <v>1.19312793E-2</v>
      </c>
      <c r="I347" t="s">
        <v>116</v>
      </c>
      <c r="J347" t="str">
        <f>[5]trip_summary_region!J347</f>
        <v>2022/23</v>
      </c>
    </row>
    <row r="348" spans="1:10" x14ac:dyDescent="0.2">
      <c r="A348" t="str">
        <f>[5]trip_summary_region!A348</f>
        <v>05 GISBORNE</v>
      </c>
      <c r="B348">
        <f>[5]trip_summary_region!B348</f>
        <v>4</v>
      </c>
      <c r="C348">
        <f>[5]trip_summary_region!C348</f>
        <v>2028</v>
      </c>
      <c r="D348">
        <f>[5]trip_summary_region!D348</f>
        <v>2</v>
      </c>
      <c r="E348">
        <f>[5]trip_summary_region!E348</f>
        <v>2</v>
      </c>
      <c r="F348">
        <f>[5]trip_summary_region!F348</f>
        <v>4.4749733100000001E-2</v>
      </c>
      <c r="G348">
        <f>[5]trip_summary_region!G348</f>
        <v>0.47067490249999999</v>
      </c>
      <c r="H348">
        <f>[5]trip_summary_region!H348</f>
        <v>1.89166734E-2</v>
      </c>
      <c r="I348" t="s">
        <v>116</v>
      </c>
      <c r="J348" t="str">
        <f>[5]trip_summary_region!J348</f>
        <v>2027/28</v>
      </c>
    </row>
    <row r="349" spans="1:10" x14ac:dyDescent="0.2">
      <c r="A349" t="str">
        <f>[5]trip_summary_region!A349</f>
        <v>05 GISBORNE</v>
      </c>
      <c r="B349">
        <f>[5]trip_summary_region!B349</f>
        <v>4</v>
      </c>
      <c r="C349">
        <f>[5]trip_summary_region!C349</f>
        <v>2033</v>
      </c>
      <c r="D349">
        <f>[5]trip_summary_region!D349</f>
        <v>2</v>
      </c>
      <c r="E349">
        <f>[5]trip_summary_region!E349</f>
        <v>2</v>
      </c>
      <c r="F349">
        <f>[5]trip_summary_region!F349</f>
        <v>5.9789534800000002E-2</v>
      </c>
      <c r="G349">
        <f>[5]trip_summary_region!G349</f>
        <v>0.68066178990000004</v>
      </c>
      <c r="H349">
        <f>[5]trip_summary_region!H349</f>
        <v>2.7213955500000001E-2</v>
      </c>
      <c r="I349" t="s">
        <v>116</v>
      </c>
      <c r="J349" t="str">
        <f>[5]trip_summary_region!J349</f>
        <v>2032/33</v>
      </c>
    </row>
    <row r="350" spans="1:10" x14ac:dyDescent="0.2">
      <c r="A350" t="str">
        <f>[5]trip_summary_region!A350</f>
        <v>05 GISBORNE</v>
      </c>
      <c r="B350">
        <f>[5]trip_summary_region!B350</f>
        <v>4</v>
      </c>
      <c r="C350">
        <f>[5]trip_summary_region!C350</f>
        <v>2038</v>
      </c>
      <c r="D350">
        <f>[5]trip_summary_region!D350</f>
        <v>2</v>
      </c>
      <c r="E350">
        <f>[5]trip_summary_region!E350</f>
        <v>2</v>
      </c>
      <c r="F350">
        <f>[5]trip_summary_region!F350</f>
        <v>7.1550029200000004E-2</v>
      </c>
      <c r="G350">
        <f>[5]trip_summary_region!G350</f>
        <v>0.83941530450000001</v>
      </c>
      <c r="H350">
        <f>[5]trip_summary_region!H350</f>
        <v>3.3498101799999999E-2</v>
      </c>
      <c r="I350" t="s">
        <v>116</v>
      </c>
      <c r="J350" t="str">
        <f>[5]trip_summary_region!J350</f>
        <v>2037/38</v>
      </c>
    </row>
    <row r="351" spans="1:10" x14ac:dyDescent="0.2">
      <c r="A351" t="str">
        <f>[5]trip_summary_region!A351</f>
        <v>05 GISBORNE</v>
      </c>
      <c r="B351">
        <f>[5]trip_summary_region!B351</f>
        <v>4</v>
      </c>
      <c r="C351">
        <f>[5]trip_summary_region!C351</f>
        <v>2043</v>
      </c>
      <c r="D351">
        <f>[5]trip_summary_region!D351</f>
        <v>2</v>
      </c>
      <c r="E351">
        <f>[5]trip_summary_region!E351</f>
        <v>2</v>
      </c>
      <c r="F351">
        <f>[5]trip_summary_region!F351</f>
        <v>8.3970096499999994E-2</v>
      </c>
      <c r="G351">
        <f>[5]trip_summary_region!G351</f>
        <v>1.0061207832000001</v>
      </c>
      <c r="H351">
        <f>[5]trip_summary_region!H351</f>
        <v>4.0099056399999999E-2</v>
      </c>
      <c r="I351" t="s">
        <v>116</v>
      </c>
      <c r="J351" t="str">
        <f>[5]trip_summary_region!J351</f>
        <v>2042/43</v>
      </c>
    </row>
    <row r="352" spans="1:10" x14ac:dyDescent="0.2">
      <c r="A352" t="str">
        <f>[5]trip_summary_region!A352</f>
        <v>05 GISBORNE</v>
      </c>
      <c r="B352">
        <f>[5]trip_summary_region!B352</f>
        <v>5</v>
      </c>
      <c r="C352">
        <f>[5]trip_summary_region!C352</f>
        <v>2013</v>
      </c>
      <c r="D352">
        <f>[5]trip_summary_region!D352</f>
        <v>3</v>
      </c>
      <c r="E352">
        <f>[5]trip_summary_region!E352</f>
        <v>16</v>
      </c>
      <c r="F352">
        <f>[5]trip_summary_region!F352</f>
        <v>0.20072163900000001</v>
      </c>
      <c r="G352">
        <f>[5]trip_summary_region!G352</f>
        <v>0.95186353219999997</v>
      </c>
      <c r="H352">
        <f>[5]trip_summary_region!H352</f>
        <v>4.6418087199999999E-2</v>
      </c>
      <c r="I352" t="str">
        <f>[5]trip_summary_region!I352</f>
        <v>Motorcyclist</v>
      </c>
      <c r="J352" t="str">
        <f>[5]trip_summary_region!J352</f>
        <v>2012/13</v>
      </c>
    </row>
    <row r="353" spans="1:10" x14ac:dyDescent="0.2">
      <c r="A353" t="str">
        <f>[5]trip_summary_region!A353</f>
        <v>05 GISBORNE</v>
      </c>
      <c r="B353">
        <f>[5]trip_summary_region!B353</f>
        <v>5</v>
      </c>
      <c r="C353">
        <f>[5]trip_summary_region!C353</f>
        <v>2018</v>
      </c>
      <c r="D353">
        <f>[5]trip_summary_region!D353</f>
        <v>3</v>
      </c>
      <c r="E353">
        <f>[5]trip_summary_region!E353</f>
        <v>16</v>
      </c>
      <c r="F353">
        <f>[5]trip_summary_region!F353</f>
        <v>0.1800229364</v>
      </c>
      <c r="G353">
        <f>[5]trip_summary_region!G353</f>
        <v>0.87975729199999997</v>
      </c>
      <c r="H353">
        <f>[5]trip_summary_region!H353</f>
        <v>4.1696091499999997E-2</v>
      </c>
      <c r="I353" t="str">
        <f>[5]trip_summary_region!I353</f>
        <v>Motorcyclist</v>
      </c>
      <c r="J353" t="str">
        <f>[5]trip_summary_region!J353</f>
        <v>2017/18</v>
      </c>
    </row>
    <row r="354" spans="1:10" x14ac:dyDescent="0.2">
      <c r="A354" t="str">
        <f>[5]trip_summary_region!A354</f>
        <v>05 GISBORNE</v>
      </c>
      <c r="B354">
        <f>[5]trip_summary_region!B354</f>
        <v>5</v>
      </c>
      <c r="C354">
        <f>[5]trip_summary_region!C354</f>
        <v>2023</v>
      </c>
      <c r="D354">
        <f>[5]trip_summary_region!D354</f>
        <v>3</v>
      </c>
      <c r="E354">
        <f>[5]trip_summary_region!E354</f>
        <v>16</v>
      </c>
      <c r="F354">
        <f>[5]trip_summary_region!F354</f>
        <v>0.17083532200000001</v>
      </c>
      <c r="G354">
        <f>[5]trip_summary_region!G354</f>
        <v>0.86347665600000001</v>
      </c>
      <c r="H354">
        <f>[5]trip_summary_region!H354</f>
        <v>3.9761759399999999E-2</v>
      </c>
      <c r="I354" t="str">
        <f>[5]trip_summary_region!I354</f>
        <v>Motorcyclist</v>
      </c>
      <c r="J354" t="str">
        <f>[5]trip_summary_region!J354</f>
        <v>2022/23</v>
      </c>
    </row>
    <row r="355" spans="1:10" x14ac:dyDescent="0.2">
      <c r="A355" t="str">
        <f>[5]trip_summary_region!A355</f>
        <v>05 GISBORNE</v>
      </c>
      <c r="B355">
        <f>[5]trip_summary_region!B355</f>
        <v>5</v>
      </c>
      <c r="C355">
        <f>[5]trip_summary_region!C355</f>
        <v>2028</v>
      </c>
      <c r="D355">
        <f>[5]trip_summary_region!D355</f>
        <v>3</v>
      </c>
      <c r="E355">
        <f>[5]trip_summary_region!E355</f>
        <v>16</v>
      </c>
      <c r="F355">
        <f>[5]trip_summary_region!F355</f>
        <v>0.14971215430000001</v>
      </c>
      <c r="G355">
        <f>[5]trip_summary_region!G355</f>
        <v>0.77706692990000004</v>
      </c>
      <c r="H355">
        <f>[5]trip_summary_region!H355</f>
        <v>3.51243958E-2</v>
      </c>
      <c r="I355" t="str">
        <f>[5]trip_summary_region!I355</f>
        <v>Motorcyclist</v>
      </c>
      <c r="J355" t="str">
        <f>[5]trip_summary_region!J355</f>
        <v>2027/28</v>
      </c>
    </row>
    <row r="356" spans="1:10" x14ac:dyDescent="0.2">
      <c r="A356" t="str">
        <f>[5]trip_summary_region!A356</f>
        <v>05 GISBORNE</v>
      </c>
      <c r="B356">
        <f>[5]trip_summary_region!B356</f>
        <v>5</v>
      </c>
      <c r="C356">
        <f>[5]trip_summary_region!C356</f>
        <v>2033</v>
      </c>
      <c r="D356">
        <f>[5]trip_summary_region!D356</f>
        <v>3</v>
      </c>
      <c r="E356">
        <f>[5]trip_summary_region!E356</f>
        <v>16</v>
      </c>
      <c r="F356">
        <f>[5]trip_summary_region!F356</f>
        <v>0.13077002670000001</v>
      </c>
      <c r="G356">
        <f>[5]trip_summary_region!G356</f>
        <v>0.68142617589999999</v>
      </c>
      <c r="H356">
        <f>[5]trip_summary_region!H356</f>
        <v>3.0847944299999999E-2</v>
      </c>
      <c r="I356" t="str">
        <f>[5]trip_summary_region!I356</f>
        <v>Motorcyclist</v>
      </c>
      <c r="J356" t="str">
        <f>[5]trip_summary_region!J356</f>
        <v>2032/33</v>
      </c>
    </row>
    <row r="357" spans="1:10" x14ac:dyDescent="0.2">
      <c r="A357" t="str">
        <f>[5]trip_summary_region!A357</f>
        <v>05 GISBORNE</v>
      </c>
      <c r="B357">
        <f>[5]trip_summary_region!B357</f>
        <v>5</v>
      </c>
      <c r="C357">
        <f>[5]trip_summary_region!C357</f>
        <v>2038</v>
      </c>
      <c r="D357">
        <f>[5]trip_summary_region!D357</f>
        <v>3</v>
      </c>
      <c r="E357">
        <f>[5]trip_summary_region!E357</f>
        <v>16</v>
      </c>
      <c r="F357">
        <f>[5]trip_summary_region!F357</f>
        <v>0.1149460833</v>
      </c>
      <c r="G357">
        <f>[5]trip_summary_region!G357</f>
        <v>0.59209425569999996</v>
      </c>
      <c r="H357">
        <f>[5]trip_summary_region!H357</f>
        <v>2.7184605800000001E-2</v>
      </c>
      <c r="I357" t="str">
        <f>[5]trip_summary_region!I357</f>
        <v>Motorcyclist</v>
      </c>
      <c r="J357" t="str">
        <f>[5]trip_summary_region!J357</f>
        <v>2037/38</v>
      </c>
    </row>
    <row r="358" spans="1:10" x14ac:dyDescent="0.2">
      <c r="A358" t="str">
        <f>[5]trip_summary_region!A358</f>
        <v>05 GISBORNE</v>
      </c>
      <c r="B358">
        <f>[5]trip_summary_region!B358</f>
        <v>5</v>
      </c>
      <c r="C358">
        <f>[5]trip_summary_region!C358</f>
        <v>2043</v>
      </c>
      <c r="D358">
        <f>[5]trip_summary_region!D358</f>
        <v>3</v>
      </c>
      <c r="E358">
        <f>[5]trip_summary_region!E358</f>
        <v>16</v>
      </c>
      <c r="F358">
        <f>[5]trip_summary_region!F358</f>
        <v>9.9504337999999998E-2</v>
      </c>
      <c r="G358">
        <f>[5]trip_summary_region!G358</f>
        <v>0.50905765780000001</v>
      </c>
      <c r="H358">
        <f>[5]trip_summary_region!H358</f>
        <v>2.3578624100000001E-2</v>
      </c>
      <c r="I358" t="str">
        <f>[5]trip_summary_region!I358</f>
        <v>Motorcyclist</v>
      </c>
      <c r="J358" t="str">
        <f>[5]trip_summary_region!J358</f>
        <v>2042/43</v>
      </c>
    </row>
    <row r="359" spans="1:10" x14ac:dyDescent="0.2">
      <c r="A359" t="str">
        <f>[5]trip_summary_region!A359</f>
        <v>05 GISBORNE</v>
      </c>
      <c r="B359">
        <f>[5]trip_summary_region!B359</f>
        <v>6</v>
      </c>
      <c r="C359">
        <f>[5]trip_summary_region!C359</f>
        <v>2013</v>
      </c>
      <c r="D359">
        <f>[5]trip_summary_region!D359</f>
        <v>1</v>
      </c>
      <c r="E359">
        <f>[5]trip_summary_region!E359</f>
        <v>3</v>
      </c>
      <c r="F359">
        <f>[5]trip_summary_region!F359</f>
        <v>2.2764127700000001E-2</v>
      </c>
      <c r="G359">
        <f>[5]trip_summary_region!G359</f>
        <v>0</v>
      </c>
      <c r="H359">
        <f>[5]trip_summary_region!H359</f>
        <v>2.5293475000000001E-3</v>
      </c>
      <c r="I359" t="str">
        <f>[5]trip_summary_region!I359</f>
        <v>Local Train</v>
      </c>
      <c r="J359" t="str">
        <f>[5]trip_summary_region!J359</f>
        <v>2012/13</v>
      </c>
    </row>
    <row r="360" spans="1:10" x14ac:dyDescent="0.2">
      <c r="A360" t="str">
        <f>[5]trip_summary_region!A360</f>
        <v>05 GISBORNE</v>
      </c>
      <c r="B360">
        <f>[5]trip_summary_region!B360</f>
        <v>6</v>
      </c>
      <c r="C360">
        <f>[5]trip_summary_region!C360</f>
        <v>2018</v>
      </c>
      <c r="D360">
        <f>[5]trip_summary_region!D360</f>
        <v>1</v>
      </c>
      <c r="E360">
        <f>[5]trip_summary_region!E360</f>
        <v>3</v>
      </c>
      <c r="F360">
        <f>[5]trip_summary_region!F360</f>
        <v>3.77778842E-2</v>
      </c>
      <c r="G360">
        <f>[5]trip_summary_region!G360</f>
        <v>0</v>
      </c>
      <c r="H360">
        <f>[5]trip_summary_region!H360</f>
        <v>4.1917867000000001E-3</v>
      </c>
      <c r="I360" t="str">
        <f>[5]trip_summary_region!I360</f>
        <v>Local Train</v>
      </c>
      <c r="J360" t="str">
        <f>[5]trip_summary_region!J360</f>
        <v>2017/18</v>
      </c>
    </row>
    <row r="361" spans="1:10" x14ac:dyDescent="0.2">
      <c r="A361" t="str">
        <f>[5]trip_summary_region!A361</f>
        <v>05 GISBORNE</v>
      </c>
      <c r="B361">
        <f>[5]trip_summary_region!B361</f>
        <v>6</v>
      </c>
      <c r="C361">
        <f>[5]trip_summary_region!C361</f>
        <v>2023</v>
      </c>
      <c r="D361">
        <f>[5]trip_summary_region!D361</f>
        <v>1</v>
      </c>
      <c r="E361">
        <f>[5]trip_summary_region!E361</f>
        <v>3</v>
      </c>
      <c r="F361">
        <f>[5]trip_summary_region!F361</f>
        <v>6.4978466799999995E-2</v>
      </c>
      <c r="G361">
        <f>[5]trip_summary_region!G361</f>
        <v>0</v>
      </c>
      <c r="H361">
        <f>[5]trip_summary_region!H361</f>
        <v>7.1981676000000003E-3</v>
      </c>
      <c r="I361" t="str">
        <f>[5]trip_summary_region!I361</f>
        <v>Local Train</v>
      </c>
      <c r="J361" t="str">
        <f>[5]trip_summary_region!J361</f>
        <v>2022/23</v>
      </c>
    </row>
    <row r="362" spans="1:10" x14ac:dyDescent="0.2">
      <c r="A362" t="str">
        <f>[5]trip_summary_region!A362</f>
        <v>05 GISBORNE</v>
      </c>
      <c r="B362">
        <f>[5]trip_summary_region!B362</f>
        <v>6</v>
      </c>
      <c r="C362">
        <f>[5]trip_summary_region!C362</f>
        <v>2028</v>
      </c>
      <c r="D362">
        <f>[5]trip_summary_region!D362</f>
        <v>1</v>
      </c>
      <c r="E362">
        <f>[5]trip_summary_region!E362</f>
        <v>3</v>
      </c>
      <c r="F362">
        <f>[5]trip_summary_region!F362</f>
        <v>0.105513359</v>
      </c>
      <c r="G362">
        <f>[5]trip_summary_region!G362</f>
        <v>0</v>
      </c>
      <c r="H362">
        <f>[5]trip_summary_region!H362</f>
        <v>1.1670417000000001E-2</v>
      </c>
      <c r="I362" t="str">
        <f>[5]trip_summary_region!I362</f>
        <v>Local Train</v>
      </c>
      <c r="J362" t="str">
        <f>[5]trip_summary_region!J362</f>
        <v>2027/28</v>
      </c>
    </row>
    <row r="363" spans="1:10" x14ac:dyDescent="0.2">
      <c r="A363" t="str">
        <f>[5]trip_summary_region!A363</f>
        <v>05 GISBORNE</v>
      </c>
      <c r="B363">
        <f>[5]trip_summary_region!B363</f>
        <v>6</v>
      </c>
      <c r="C363">
        <f>[5]trip_summary_region!C363</f>
        <v>2033</v>
      </c>
      <c r="D363">
        <f>[5]trip_summary_region!D363</f>
        <v>1</v>
      </c>
      <c r="E363">
        <f>[5]trip_summary_region!E363</f>
        <v>3</v>
      </c>
      <c r="F363">
        <f>[5]trip_summary_region!F363</f>
        <v>0.15251805830000001</v>
      </c>
      <c r="G363">
        <f>[5]trip_summary_region!G363</f>
        <v>0</v>
      </c>
      <c r="H363">
        <f>[5]trip_summary_region!H363</f>
        <v>1.68416079E-2</v>
      </c>
      <c r="I363" t="str">
        <f>[5]trip_summary_region!I363</f>
        <v>Local Train</v>
      </c>
      <c r="J363" t="str">
        <f>[5]trip_summary_region!J363</f>
        <v>2032/33</v>
      </c>
    </row>
    <row r="364" spans="1:10" x14ac:dyDescent="0.2">
      <c r="A364" t="str">
        <f>[5]trip_summary_region!A364</f>
        <v>05 GISBORNE</v>
      </c>
      <c r="B364">
        <f>[5]trip_summary_region!B364</f>
        <v>6</v>
      </c>
      <c r="C364">
        <f>[5]trip_summary_region!C364</f>
        <v>2038</v>
      </c>
      <c r="D364">
        <f>[5]trip_summary_region!D364</f>
        <v>1</v>
      </c>
      <c r="E364">
        <f>[5]trip_summary_region!E364</f>
        <v>3</v>
      </c>
      <c r="F364">
        <f>[5]trip_summary_region!F364</f>
        <v>0.1861490596</v>
      </c>
      <c r="G364">
        <f>[5]trip_summary_region!G364</f>
        <v>0</v>
      </c>
      <c r="H364">
        <f>[5]trip_summary_region!H364</f>
        <v>2.0515072499999999E-2</v>
      </c>
      <c r="I364" t="str">
        <f>[5]trip_summary_region!I364</f>
        <v>Local Train</v>
      </c>
      <c r="J364" t="str">
        <f>[5]trip_summary_region!J364</f>
        <v>2037/38</v>
      </c>
    </row>
    <row r="365" spans="1:10" x14ac:dyDescent="0.2">
      <c r="A365" t="str">
        <f>[5]trip_summary_region!A365</f>
        <v>05 GISBORNE</v>
      </c>
      <c r="B365">
        <f>[5]trip_summary_region!B365</f>
        <v>6</v>
      </c>
      <c r="C365">
        <f>[5]trip_summary_region!C365</f>
        <v>2043</v>
      </c>
      <c r="D365">
        <f>[5]trip_summary_region!D365</f>
        <v>1</v>
      </c>
      <c r="E365">
        <f>[5]trip_summary_region!E365</f>
        <v>3</v>
      </c>
      <c r="F365">
        <f>[5]trip_summary_region!F365</f>
        <v>0.22067698899999999</v>
      </c>
      <c r="G365">
        <f>[5]trip_summary_region!G365</f>
        <v>0</v>
      </c>
      <c r="H365">
        <f>[5]trip_summary_region!H365</f>
        <v>2.4274468800000001E-2</v>
      </c>
      <c r="I365" t="str">
        <f>[5]trip_summary_region!I365</f>
        <v>Local Train</v>
      </c>
      <c r="J365" t="str">
        <f>[5]trip_summary_region!J365</f>
        <v>2042/43</v>
      </c>
    </row>
    <row r="366" spans="1:10" x14ac:dyDescent="0.2">
      <c r="A366" t="str">
        <f>[5]trip_summary_region!A366</f>
        <v>05 GISBORNE</v>
      </c>
      <c r="B366">
        <f>[5]trip_summary_region!B366</f>
        <v>7</v>
      </c>
      <c r="C366">
        <f>[5]trip_summary_region!C366</f>
        <v>2013</v>
      </c>
      <c r="D366">
        <f>[5]trip_summary_region!D366</f>
        <v>18</v>
      </c>
      <c r="E366">
        <f>[5]trip_summary_region!E366</f>
        <v>34</v>
      </c>
      <c r="F366">
        <f>[5]trip_summary_region!F366</f>
        <v>0.39415976190000002</v>
      </c>
      <c r="G366">
        <f>[5]trip_summary_region!G366</f>
        <v>4.8778387282000004</v>
      </c>
      <c r="H366">
        <f>[5]trip_summary_region!H366</f>
        <v>0.17812381360000001</v>
      </c>
      <c r="I366" t="str">
        <f>[5]trip_summary_region!I366</f>
        <v>Local Bus</v>
      </c>
      <c r="J366" t="str">
        <f>[5]trip_summary_region!J366</f>
        <v>2012/13</v>
      </c>
    </row>
    <row r="367" spans="1:10" x14ac:dyDescent="0.2">
      <c r="A367" t="str">
        <f>[5]trip_summary_region!A367</f>
        <v>05 GISBORNE</v>
      </c>
      <c r="B367">
        <f>[5]trip_summary_region!B367</f>
        <v>7</v>
      </c>
      <c r="C367">
        <f>[5]trip_summary_region!C367</f>
        <v>2018</v>
      </c>
      <c r="D367">
        <f>[5]trip_summary_region!D367</f>
        <v>18</v>
      </c>
      <c r="E367">
        <f>[5]trip_summary_region!E367</f>
        <v>34</v>
      </c>
      <c r="F367">
        <f>[5]trip_summary_region!F367</f>
        <v>0.32561049520000002</v>
      </c>
      <c r="G367">
        <f>[5]trip_summary_region!G367</f>
        <v>3.9560555215000002</v>
      </c>
      <c r="H367">
        <f>[5]trip_summary_region!H367</f>
        <v>0.14737933010000001</v>
      </c>
      <c r="I367" t="str">
        <f>[5]trip_summary_region!I367</f>
        <v>Local Bus</v>
      </c>
      <c r="J367" t="str">
        <f>[5]trip_summary_region!J367</f>
        <v>2017/18</v>
      </c>
    </row>
    <row r="368" spans="1:10" x14ac:dyDescent="0.2">
      <c r="A368" t="str">
        <f>[5]trip_summary_region!A368</f>
        <v>05 GISBORNE</v>
      </c>
      <c r="B368">
        <f>[5]trip_summary_region!B368</f>
        <v>7</v>
      </c>
      <c r="C368">
        <f>[5]trip_summary_region!C368</f>
        <v>2023</v>
      </c>
      <c r="D368">
        <f>[5]trip_summary_region!D368</f>
        <v>18</v>
      </c>
      <c r="E368">
        <f>[5]trip_summary_region!E368</f>
        <v>34</v>
      </c>
      <c r="F368">
        <f>[5]trip_summary_region!F368</f>
        <v>0.30948882170000003</v>
      </c>
      <c r="G368">
        <f>[5]trip_summary_region!G368</f>
        <v>3.6206602275000002</v>
      </c>
      <c r="H368">
        <f>[5]trip_summary_region!H368</f>
        <v>0.1399183886</v>
      </c>
      <c r="I368" t="str">
        <f>[5]trip_summary_region!I368</f>
        <v>Local Bus</v>
      </c>
      <c r="J368" t="str">
        <f>[5]trip_summary_region!J368</f>
        <v>2022/23</v>
      </c>
    </row>
    <row r="369" spans="1:10" x14ac:dyDescent="0.2">
      <c r="A369" t="str">
        <f>[5]trip_summary_region!A369</f>
        <v>05 GISBORNE</v>
      </c>
      <c r="B369">
        <f>[5]trip_summary_region!B369</f>
        <v>7</v>
      </c>
      <c r="C369">
        <f>[5]trip_summary_region!C369</f>
        <v>2028</v>
      </c>
      <c r="D369">
        <f>[5]trip_summary_region!D369</f>
        <v>18</v>
      </c>
      <c r="E369">
        <f>[5]trip_summary_region!E369</f>
        <v>34</v>
      </c>
      <c r="F369">
        <f>[5]trip_summary_region!F369</f>
        <v>0.31035847319999998</v>
      </c>
      <c r="G369">
        <f>[5]trip_summary_region!G369</f>
        <v>3.2354607871000001</v>
      </c>
      <c r="H369">
        <f>[5]trip_summary_region!H369</f>
        <v>0.1383155388</v>
      </c>
      <c r="I369" t="str">
        <f>[5]trip_summary_region!I369</f>
        <v>Local Bus</v>
      </c>
      <c r="J369" t="str">
        <f>[5]trip_summary_region!J369</f>
        <v>2027/28</v>
      </c>
    </row>
    <row r="370" spans="1:10" x14ac:dyDescent="0.2">
      <c r="A370" t="str">
        <f>[5]trip_summary_region!A370</f>
        <v>05 GISBORNE</v>
      </c>
      <c r="B370">
        <f>[5]trip_summary_region!B370</f>
        <v>7</v>
      </c>
      <c r="C370">
        <f>[5]trip_summary_region!C370</f>
        <v>2033</v>
      </c>
      <c r="D370">
        <f>[5]trip_summary_region!D370</f>
        <v>18</v>
      </c>
      <c r="E370">
        <f>[5]trip_summary_region!E370</f>
        <v>34</v>
      </c>
      <c r="F370">
        <f>[5]trip_summary_region!F370</f>
        <v>0.32691121229999998</v>
      </c>
      <c r="G370">
        <f>[5]trip_summary_region!G370</f>
        <v>2.8607936544000001</v>
      </c>
      <c r="H370">
        <f>[5]trip_summary_region!H370</f>
        <v>0.1420258385</v>
      </c>
      <c r="I370" t="str">
        <f>[5]trip_summary_region!I370</f>
        <v>Local Bus</v>
      </c>
      <c r="J370" t="str">
        <f>[5]trip_summary_region!J370</f>
        <v>2032/33</v>
      </c>
    </row>
    <row r="371" spans="1:10" x14ac:dyDescent="0.2">
      <c r="A371" t="str">
        <f>[5]trip_summary_region!A371</f>
        <v>05 GISBORNE</v>
      </c>
      <c r="B371">
        <f>[5]trip_summary_region!B371</f>
        <v>7</v>
      </c>
      <c r="C371">
        <f>[5]trip_summary_region!C371</f>
        <v>2038</v>
      </c>
      <c r="D371">
        <f>[5]trip_summary_region!D371</f>
        <v>18</v>
      </c>
      <c r="E371">
        <f>[5]trip_summary_region!E371</f>
        <v>34</v>
      </c>
      <c r="F371">
        <f>[5]trip_summary_region!F371</f>
        <v>0.33939189320000002</v>
      </c>
      <c r="G371">
        <f>[5]trip_summary_region!G371</f>
        <v>2.6895364703000002</v>
      </c>
      <c r="H371">
        <f>[5]trip_summary_region!H371</f>
        <v>0.14740256860000001</v>
      </c>
      <c r="I371" t="str">
        <f>[5]trip_summary_region!I371</f>
        <v>Local Bus</v>
      </c>
      <c r="J371" t="str">
        <f>[5]trip_summary_region!J371</f>
        <v>2037/38</v>
      </c>
    </row>
    <row r="372" spans="1:10" x14ac:dyDescent="0.2">
      <c r="A372" t="str">
        <f>[5]trip_summary_region!A372</f>
        <v>05 GISBORNE</v>
      </c>
      <c r="B372">
        <f>[5]trip_summary_region!B372</f>
        <v>7</v>
      </c>
      <c r="C372">
        <f>[5]trip_summary_region!C372</f>
        <v>2043</v>
      </c>
      <c r="D372">
        <f>[5]trip_summary_region!D372</f>
        <v>18</v>
      </c>
      <c r="E372">
        <f>[5]trip_summary_region!E372</f>
        <v>34</v>
      </c>
      <c r="F372">
        <f>[5]trip_summary_region!F372</f>
        <v>0.35667972619999999</v>
      </c>
      <c r="G372">
        <f>[5]trip_summary_region!G372</f>
        <v>2.5386672350000001</v>
      </c>
      <c r="H372">
        <f>[5]trip_summary_region!H372</f>
        <v>0.1542887272</v>
      </c>
      <c r="I372" t="str">
        <f>[5]trip_summary_region!I372</f>
        <v>Local Bus</v>
      </c>
      <c r="J372" t="str">
        <f>[5]trip_summary_region!J372</f>
        <v>2042/43</v>
      </c>
    </row>
    <row r="373" spans="1:10" x14ac:dyDescent="0.2">
      <c r="A373" t="str">
        <f>[5]trip_summary_region!A373</f>
        <v>05 GISBORNE</v>
      </c>
      <c r="B373">
        <f>[5]trip_summary_region!B373</f>
        <v>8</v>
      </c>
      <c r="C373">
        <f>[5]trip_summary_region!C373</f>
        <v>2013</v>
      </c>
      <c r="D373">
        <f>[5]trip_summary_region!D373</f>
        <v>1</v>
      </c>
      <c r="E373">
        <f>[5]trip_summary_region!E373</f>
        <v>2</v>
      </c>
      <c r="F373">
        <f>[5]trip_summary_region!F373</f>
        <v>1.5651153399999999E-2</v>
      </c>
      <c r="G373">
        <f>[5]trip_summary_region!G373</f>
        <v>0</v>
      </c>
      <c r="H373">
        <f>[5]trip_summary_region!H373</f>
        <v>6.5213138999999998E-3</v>
      </c>
      <c r="I373" t="str">
        <f>[5]trip_summary_region!I373</f>
        <v>Local Ferry</v>
      </c>
      <c r="J373" t="str">
        <f>[5]trip_summary_region!J373</f>
        <v>2012/13</v>
      </c>
    </row>
    <row r="374" spans="1:10" x14ac:dyDescent="0.2">
      <c r="A374" t="str">
        <f>[5]trip_summary_region!A374</f>
        <v>05 GISBORNE</v>
      </c>
      <c r="B374">
        <f>[5]trip_summary_region!B374</f>
        <v>8</v>
      </c>
      <c r="C374">
        <f>[5]trip_summary_region!C374</f>
        <v>2018</v>
      </c>
      <c r="D374">
        <f>[5]trip_summary_region!D374</f>
        <v>1</v>
      </c>
      <c r="E374">
        <f>[5]trip_summary_region!E374</f>
        <v>2</v>
      </c>
      <c r="F374">
        <f>[5]trip_summary_region!F374</f>
        <v>1.4467232E-2</v>
      </c>
      <c r="G374">
        <f>[5]trip_summary_region!G374</f>
        <v>0</v>
      </c>
      <c r="H374">
        <f>[5]trip_summary_region!H374</f>
        <v>6.0280133000000001E-3</v>
      </c>
      <c r="I374" t="str">
        <f>[5]trip_summary_region!I374</f>
        <v>Local Ferry</v>
      </c>
      <c r="J374" t="str">
        <f>[5]trip_summary_region!J374</f>
        <v>2017/18</v>
      </c>
    </row>
    <row r="375" spans="1:10" x14ac:dyDescent="0.2">
      <c r="A375" t="str">
        <f>[5]trip_summary_region!A375</f>
        <v>05 GISBORNE</v>
      </c>
      <c r="B375">
        <f>[5]trip_summary_region!B375</f>
        <v>8</v>
      </c>
      <c r="C375">
        <f>[5]trip_summary_region!C375</f>
        <v>2023</v>
      </c>
      <c r="D375">
        <f>[5]trip_summary_region!D375</f>
        <v>1</v>
      </c>
      <c r="E375">
        <f>[5]trip_summary_region!E375</f>
        <v>2</v>
      </c>
      <c r="F375">
        <f>[5]trip_summary_region!F375</f>
        <v>1.31863398E-2</v>
      </c>
      <c r="G375">
        <f>[5]trip_summary_region!G375</f>
        <v>0</v>
      </c>
      <c r="H375">
        <f>[5]trip_summary_region!H375</f>
        <v>5.4943081999999999E-3</v>
      </c>
      <c r="I375" t="str">
        <f>[5]trip_summary_region!I375</f>
        <v>Local Ferry</v>
      </c>
      <c r="J375" t="str">
        <f>[5]trip_summary_region!J375</f>
        <v>2022/23</v>
      </c>
    </row>
    <row r="376" spans="1:10" x14ac:dyDescent="0.2">
      <c r="A376" t="str">
        <f>[5]trip_summary_region!A376</f>
        <v>05 GISBORNE</v>
      </c>
      <c r="B376">
        <f>[5]trip_summary_region!B376</f>
        <v>8</v>
      </c>
      <c r="C376">
        <f>[5]trip_summary_region!C376</f>
        <v>2028</v>
      </c>
      <c r="D376">
        <f>[5]trip_summary_region!D376</f>
        <v>1</v>
      </c>
      <c r="E376">
        <f>[5]trip_summary_region!E376</f>
        <v>2</v>
      </c>
      <c r="F376">
        <f>[5]trip_summary_region!F376</f>
        <v>1.3009267E-2</v>
      </c>
      <c r="G376">
        <f>[5]trip_summary_region!G376</f>
        <v>0</v>
      </c>
      <c r="H376">
        <f>[5]trip_summary_region!H376</f>
        <v>5.4205279000000004E-3</v>
      </c>
      <c r="I376" t="str">
        <f>[5]trip_summary_region!I376</f>
        <v>Local Ferry</v>
      </c>
      <c r="J376" t="str">
        <f>[5]trip_summary_region!J376</f>
        <v>2027/28</v>
      </c>
    </row>
    <row r="377" spans="1:10" x14ac:dyDescent="0.2">
      <c r="A377" t="str">
        <f>[5]trip_summary_region!A377</f>
        <v>05 GISBORNE</v>
      </c>
      <c r="B377">
        <f>[5]trip_summary_region!B377</f>
        <v>8</v>
      </c>
      <c r="C377">
        <f>[5]trip_summary_region!C377</f>
        <v>2033</v>
      </c>
      <c r="D377">
        <f>[5]trip_summary_region!D377</f>
        <v>1</v>
      </c>
      <c r="E377">
        <f>[5]trip_summary_region!E377</f>
        <v>2</v>
      </c>
      <c r="F377">
        <f>[5]trip_summary_region!F377</f>
        <v>1.4411093E-2</v>
      </c>
      <c r="G377">
        <f>[5]trip_summary_region!G377</f>
        <v>0</v>
      </c>
      <c r="H377">
        <f>[5]trip_summary_region!H377</f>
        <v>6.0046220999999999E-3</v>
      </c>
      <c r="I377" t="str">
        <f>[5]trip_summary_region!I377</f>
        <v>Local Ferry</v>
      </c>
      <c r="J377" t="str">
        <f>[5]trip_summary_region!J377</f>
        <v>2032/33</v>
      </c>
    </row>
    <row r="378" spans="1:10" x14ac:dyDescent="0.2">
      <c r="A378" t="str">
        <f>[5]trip_summary_region!A378</f>
        <v>05 GISBORNE</v>
      </c>
      <c r="B378">
        <f>[5]trip_summary_region!B378</f>
        <v>8</v>
      </c>
      <c r="C378">
        <f>[5]trip_summary_region!C378</f>
        <v>2038</v>
      </c>
      <c r="D378">
        <f>[5]trip_summary_region!D378</f>
        <v>1</v>
      </c>
      <c r="E378">
        <f>[5]trip_summary_region!E378</f>
        <v>2</v>
      </c>
      <c r="F378">
        <f>[5]trip_summary_region!F378</f>
        <v>1.7040618300000001E-2</v>
      </c>
      <c r="G378">
        <f>[5]trip_summary_region!G378</f>
        <v>0</v>
      </c>
      <c r="H378">
        <f>[5]trip_summary_region!H378</f>
        <v>7.1002575999999998E-3</v>
      </c>
      <c r="I378" t="str">
        <f>[5]trip_summary_region!I378</f>
        <v>Local Ferry</v>
      </c>
      <c r="J378" t="str">
        <f>[5]trip_summary_region!J378</f>
        <v>2037/38</v>
      </c>
    </row>
    <row r="379" spans="1:10" x14ac:dyDescent="0.2">
      <c r="A379" t="str">
        <f>[5]trip_summary_region!A379</f>
        <v>05 GISBORNE</v>
      </c>
      <c r="B379">
        <f>[5]trip_summary_region!B379</f>
        <v>8</v>
      </c>
      <c r="C379">
        <f>[5]trip_summary_region!C379</f>
        <v>2043</v>
      </c>
      <c r="D379">
        <f>[5]trip_summary_region!D379</f>
        <v>1</v>
      </c>
      <c r="E379">
        <f>[5]trip_summary_region!E379</f>
        <v>2</v>
      </c>
      <c r="F379">
        <f>[5]trip_summary_region!F379</f>
        <v>1.9717857200000001E-2</v>
      </c>
      <c r="G379">
        <f>[5]trip_summary_region!G379</f>
        <v>0</v>
      </c>
      <c r="H379">
        <f>[5]trip_summary_region!H379</f>
        <v>8.2157737999999994E-3</v>
      </c>
      <c r="I379" t="str">
        <f>[5]trip_summary_region!I379</f>
        <v>Local Ferry</v>
      </c>
      <c r="J379" t="str">
        <f>[5]trip_summary_region!J379</f>
        <v>2042/43</v>
      </c>
    </row>
    <row r="380" spans="1:10" x14ac:dyDescent="0.2">
      <c r="A380" t="str">
        <f>[5]trip_summary_region!A380</f>
        <v>05 GISBORNE</v>
      </c>
      <c r="B380">
        <f>[5]trip_summary_region!B380</f>
        <v>9</v>
      </c>
      <c r="C380">
        <f>[5]trip_summary_region!C380</f>
        <v>2013</v>
      </c>
      <c r="D380">
        <f>[5]trip_summary_region!D380</f>
        <v>1</v>
      </c>
      <c r="E380">
        <f>[5]trip_summary_region!E380</f>
        <v>2</v>
      </c>
      <c r="F380">
        <f>[5]trip_summary_region!F380</f>
        <v>3.13358953E-2</v>
      </c>
      <c r="G380">
        <f>[5]trip_summary_region!G380</f>
        <v>0</v>
      </c>
      <c r="H380">
        <f>[5]trip_summary_region!H380</f>
        <v>5.2226492000000003E-3</v>
      </c>
      <c r="I380" t="str">
        <f>[5]trip_summary_region!I380</f>
        <v>Other Household Travel</v>
      </c>
      <c r="J380" t="str">
        <f>[5]trip_summary_region!J380</f>
        <v>2012/13</v>
      </c>
    </row>
    <row r="381" spans="1:10" x14ac:dyDescent="0.2">
      <c r="A381" t="str">
        <f>[5]trip_summary_region!A381</f>
        <v>05 GISBORNE</v>
      </c>
      <c r="B381">
        <f>[5]trip_summary_region!B381</f>
        <v>9</v>
      </c>
      <c r="C381">
        <f>[5]trip_summary_region!C381</f>
        <v>2018</v>
      </c>
      <c r="D381">
        <f>[5]trip_summary_region!D381</f>
        <v>1</v>
      </c>
      <c r="E381">
        <f>[5]trip_summary_region!E381</f>
        <v>2</v>
      </c>
      <c r="F381">
        <f>[5]trip_summary_region!F381</f>
        <v>2.3792926799999999E-2</v>
      </c>
      <c r="G381">
        <f>[5]trip_summary_region!G381</f>
        <v>0</v>
      </c>
      <c r="H381">
        <f>[5]trip_summary_region!H381</f>
        <v>3.9654877999999996E-3</v>
      </c>
      <c r="I381" t="str">
        <f>[5]trip_summary_region!I381</f>
        <v>Other Household Travel</v>
      </c>
      <c r="J381" t="str">
        <f>[5]trip_summary_region!J381</f>
        <v>2017/18</v>
      </c>
    </row>
    <row r="382" spans="1:10" x14ac:dyDescent="0.2">
      <c r="A382" t="str">
        <f>[5]trip_summary_region!A382</f>
        <v>05 GISBORNE</v>
      </c>
      <c r="B382">
        <f>[5]trip_summary_region!B382</f>
        <v>9</v>
      </c>
      <c r="C382">
        <f>[5]trip_summary_region!C382</f>
        <v>2023</v>
      </c>
      <c r="D382">
        <f>[5]trip_summary_region!D382</f>
        <v>1</v>
      </c>
      <c r="E382">
        <f>[5]trip_summary_region!E382</f>
        <v>2</v>
      </c>
      <c r="F382">
        <f>[5]trip_summary_region!F382</f>
        <v>1.7145705899999999E-2</v>
      </c>
      <c r="G382">
        <f>[5]trip_summary_region!G382</f>
        <v>0</v>
      </c>
      <c r="H382">
        <f>[5]trip_summary_region!H382</f>
        <v>2.8576177E-3</v>
      </c>
      <c r="I382" t="str">
        <f>[5]trip_summary_region!I382</f>
        <v>Other Household Travel</v>
      </c>
      <c r="J382" t="str">
        <f>[5]trip_summary_region!J382</f>
        <v>2022/23</v>
      </c>
    </row>
    <row r="383" spans="1:10" x14ac:dyDescent="0.2">
      <c r="A383" t="str">
        <f>[5]trip_summary_region!A383</f>
        <v>05 GISBORNE</v>
      </c>
      <c r="B383">
        <f>[5]trip_summary_region!B383</f>
        <v>9</v>
      </c>
      <c r="C383">
        <f>[5]trip_summary_region!C383</f>
        <v>2028</v>
      </c>
      <c r="D383">
        <f>[5]trip_summary_region!D383</f>
        <v>1</v>
      </c>
      <c r="E383">
        <f>[5]trip_summary_region!E383</f>
        <v>2</v>
      </c>
      <c r="F383">
        <f>[5]trip_summary_region!F383</f>
        <v>1.31948359E-2</v>
      </c>
      <c r="G383">
        <f>[5]trip_summary_region!G383</f>
        <v>0</v>
      </c>
      <c r="H383">
        <f>[5]trip_summary_region!H383</f>
        <v>2.1991392999999998E-3</v>
      </c>
      <c r="I383" t="str">
        <f>[5]trip_summary_region!I383</f>
        <v>Other Household Travel</v>
      </c>
      <c r="J383" t="str">
        <f>[5]trip_summary_region!J383</f>
        <v>2027/28</v>
      </c>
    </row>
    <row r="384" spans="1:10" x14ac:dyDescent="0.2">
      <c r="A384" t="str">
        <f>[5]trip_summary_region!A384</f>
        <v>05 GISBORNE</v>
      </c>
      <c r="B384">
        <f>[5]trip_summary_region!B384</f>
        <v>9</v>
      </c>
      <c r="C384">
        <f>[5]trip_summary_region!C384</f>
        <v>2033</v>
      </c>
      <c r="D384">
        <f>[5]trip_summary_region!D384</f>
        <v>1</v>
      </c>
      <c r="E384">
        <f>[5]trip_summary_region!E384</f>
        <v>2</v>
      </c>
      <c r="F384">
        <f>[5]trip_summary_region!F384</f>
        <v>9.4502109000000004E-3</v>
      </c>
      <c r="G384">
        <f>[5]trip_summary_region!G384</f>
        <v>0</v>
      </c>
      <c r="H384">
        <f>[5]trip_summary_region!H384</f>
        <v>1.5750351000000001E-3</v>
      </c>
      <c r="I384" t="str">
        <f>[5]trip_summary_region!I384</f>
        <v>Other Household Travel</v>
      </c>
      <c r="J384" t="str">
        <f>[5]trip_summary_region!J384</f>
        <v>2032/33</v>
      </c>
    </row>
    <row r="385" spans="1:10" x14ac:dyDescent="0.2">
      <c r="A385" t="str">
        <f>[5]trip_summary_region!A385</f>
        <v>05 GISBORNE</v>
      </c>
      <c r="B385">
        <f>[5]trip_summary_region!B385</f>
        <v>9</v>
      </c>
      <c r="C385">
        <f>[5]trip_summary_region!C385</f>
        <v>2038</v>
      </c>
      <c r="D385">
        <f>[5]trip_summary_region!D385</f>
        <v>1</v>
      </c>
      <c r="E385">
        <f>[5]trip_summary_region!E385</f>
        <v>2</v>
      </c>
      <c r="F385">
        <f>[5]trip_summary_region!F385</f>
        <v>5.6836604999999998E-3</v>
      </c>
      <c r="G385">
        <f>[5]trip_summary_region!G385</f>
        <v>0</v>
      </c>
      <c r="H385">
        <f>[5]trip_summary_region!H385</f>
        <v>9.4727669999999996E-4</v>
      </c>
      <c r="I385" t="str">
        <f>[5]trip_summary_region!I385</f>
        <v>Other Household Travel</v>
      </c>
      <c r="J385" t="str">
        <f>[5]trip_summary_region!J385</f>
        <v>2037/38</v>
      </c>
    </row>
    <row r="386" spans="1:10" x14ac:dyDescent="0.2">
      <c r="A386" t="str">
        <f>[5]trip_summary_region!A386</f>
        <v>05 GISBORNE</v>
      </c>
      <c r="B386">
        <f>[5]trip_summary_region!B386</f>
        <v>9</v>
      </c>
      <c r="C386">
        <f>[5]trip_summary_region!C386</f>
        <v>2043</v>
      </c>
      <c r="D386">
        <f>[5]trip_summary_region!D386</f>
        <v>1</v>
      </c>
      <c r="E386">
        <f>[5]trip_summary_region!E386</f>
        <v>2</v>
      </c>
      <c r="F386">
        <f>[5]trip_summary_region!F386</f>
        <v>3.1182524999999999E-3</v>
      </c>
      <c r="G386">
        <f>[5]trip_summary_region!G386</f>
        <v>0</v>
      </c>
      <c r="H386">
        <f>[5]trip_summary_region!H386</f>
        <v>5.1970879999999997E-4</v>
      </c>
      <c r="I386" t="str">
        <f>[5]trip_summary_region!I386</f>
        <v>Other Household Travel</v>
      </c>
      <c r="J386" t="str">
        <f>[5]trip_summary_region!J386</f>
        <v>2042/43</v>
      </c>
    </row>
    <row r="387" spans="1:10" x14ac:dyDescent="0.2">
      <c r="A387" t="str">
        <f>[5]trip_summary_region!A387</f>
        <v>05 GISBORNE</v>
      </c>
      <c r="B387">
        <f>[5]trip_summary_region!B387</f>
        <v>10</v>
      </c>
      <c r="C387">
        <f>[5]trip_summary_region!C387</f>
        <v>2013</v>
      </c>
      <c r="D387">
        <f>[5]trip_summary_region!D387</f>
        <v>12</v>
      </c>
      <c r="E387">
        <f>[5]trip_summary_region!E387</f>
        <v>20</v>
      </c>
      <c r="F387">
        <f>[5]trip_summary_region!F387</f>
        <v>0.31271654580000002</v>
      </c>
      <c r="G387">
        <f>[5]trip_summary_region!G387</f>
        <v>23.012948782999999</v>
      </c>
      <c r="H387">
        <f>[5]trip_summary_region!H387</f>
        <v>0.66485160600000004</v>
      </c>
      <c r="I387" t="str">
        <f>[5]trip_summary_region!I387</f>
        <v>Air/Non-Local PT</v>
      </c>
      <c r="J387" t="str">
        <f>[5]trip_summary_region!J387</f>
        <v>2012/13</v>
      </c>
    </row>
    <row r="388" spans="1:10" x14ac:dyDescent="0.2">
      <c r="A388" t="str">
        <f>[5]trip_summary_region!A388</f>
        <v>05 GISBORNE</v>
      </c>
      <c r="B388">
        <f>[5]trip_summary_region!B388</f>
        <v>10</v>
      </c>
      <c r="C388">
        <f>[5]trip_summary_region!C388</f>
        <v>2018</v>
      </c>
      <c r="D388">
        <f>[5]trip_summary_region!D388</f>
        <v>12</v>
      </c>
      <c r="E388">
        <f>[5]trip_summary_region!E388</f>
        <v>20</v>
      </c>
      <c r="F388">
        <f>[5]trip_summary_region!F388</f>
        <v>0.2952591222</v>
      </c>
      <c r="G388">
        <f>[5]trip_summary_region!G388</f>
        <v>21.703982919000001</v>
      </c>
      <c r="H388">
        <f>[5]trip_summary_region!H388</f>
        <v>0.61755028960000002</v>
      </c>
      <c r="I388" t="str">
        <f>[5]trip_summary_region!I388</f>
        <v>Air/Non-Local PT</v>
      </c>
      <c r="J388" t="str">
        <f>[5]trip_summary_region!J388</f>
        <v>2017/18</v>
      </c>
    </row>
    <row r="389" spans="1:10" x14ac:dyDescent="0.2">
      <c r="A389" t="str">
        <f>[5]trip_summary_region!A389</f>
        <v>05 GISBORNE</v>
      </c>
      <c r="B389">
        <f>[5]trip_summary_region!B389</f>
        <v>10</v>
      </c>
      <c r="C389">
        <f>[5]trip_summary_region!C389</f>
        <v>2023</v>
      </c>
      <c r="D389">
        <f>[5]trip_summary_region!D389</f>
        <v>12</v>
      </c>
      <c r="E389">
        <f>[5]trip_summary_region!E389</f>
        <v>20</v>
      </c>
      <c r="F389">
        <f>[5]trip_summary_region!F389</f>
        <v>0.2940768165</v>
      </c>
      <c r="G389">
        <f>[5]trip_summary_region!G389</f>
        <v>21.088433228</v>
      </c>
      <c r="H389">
        <f>[5]trip_summary_region!H389</f>
        <v>0.60327027649999998</v>
      </c>
      <c r="I389" t="str">
        <f>[5]trip_summary_region!I389</f>
        <v>Air/Non-Local PT</v>
      </c>
      <c r="J389" t="str">
        <f>[5]trip_summary_region!J389</f>
        <v>2022/23</v>
      </c>
    </row>
    <row r="390" spans="1:10" x14ac:dyDescent="0.2">
      <c r="A390" t="str">
        <f>[5]trip_summary_region!A390</f>
        <v>05 GISBORNE</v>
      </c>
      <c r="B390">
        <f>[5]trip_summary_region!B390</f>
        <v>10</v>
      </c>
      <c r="C390">
        <f>[5]trip_summary_region!C390</f>
        <v>2028</v>
      </c>
      <c r="D390">
        <f>[5]trip_summary_region!D390</f>
        <v>12</v>
      </c>
      <c r="E390">
        <f>[5]trip_summary_region!E390</f>
        <v>20</v>
      </c>
      <c r="F390">
        <f>[5]trip_summary_region!F390</f>
        <v>0.29857858809999999</v>
      </c>
      <c r="G390">
        <f>[5]trip_summary_region!G390</f>
        <v>20.307054149999999</v>
      </c>
      <c r="H390">
        <f>[5]trip_summary_region!H390</f>
        <v>0.5968311932</v>
      </c>
      <c r="I390" t="str">
        <f>[5]trip_summary_region!I390</f>
        <v>Air/Non-Local PT</v>
      </c>
      <c r="J390" t="str">
        <f>[5]trip_summary_region!J390</f>
        <v>2027/28</v>
      </c>
    </row>
    <row r="391" spans="1:10" x14ac:dyDescent="0.2">
      <c r="A391" t="str">
        <f>[5]trip_summary_region!A391</f>
        <v>05 GISBORNE</v>
      </c>
      <c r="B391">
        <f>[5]trip_summary_region!B391</f>
        <v>10</v>
      </c>
      <c r="C391">
        <f>[5]trip_summary_region!C391</f>
        <v>2033</v>
      </c>
      <c r="D391">
        <f>[5]trip_summary_region!D391</f>
        <v>12</v>
      </c>
      <c r="E391">
        <f>[5]trip_summary_region!E391</f>
        <v>20</v>
      </c>
      <c r="F391">
        <f>[5]trip_summary_region!F391</f>
        <v>0.30372182130000003</v>
      </c>
      <c r="G391">
        <f>[5]trip_summary_region!G391</f>
        <v>19.612375862</v>
      </c>
      <c r="H391">
        <f>[5]trip_summary_region!H391</f>
        <v>0.59133466879999996</v>
      </c>
      <c r="I391" t="str">
        <f>[5]trip_summary_region!I391</f>
        <v>Air/Non-Local PT</v>
      </c>
      <c r="J391" t="str">
        <f>[5]trip_summary_region!J391</f>
        <v>2032/33</v>
      </c>
    </row>
    <row r="392" spans="1:10" x14ac:dyDescent="0.2">
      <c r="A392" t="str">
        <f>[5]trip_summary_region!A392</f>
        <v>05 GISBORNE</v>
      </c>
      <c r="B392">
        <f>[5]trip_summary_region!B392</f>
        <v>10</v>
      </c>
      <c r="C392">
        <f>[5]trip_summary_region!C392</f>
        <v>2038</v>
      </c>
      <c r="D392">
        <f>[5]trip_summary_region!D392</f>
        <v>12</v>
      </c>
      <c r="E392">
        <f>[5]trip_summary_region!E392</f>
        <v>20</v>
      </c>
      <c r="F392">
        <f>[5]trip_summary_region!F392</f>
        <v>0.30360431180000003</v>
      </c>
      <c r="G392">
        <f>[5]trip_summary_region!G392</f>
        <v>19.172497795000002</v>
      </c>
      <c r="H392">
        <f>[5]trip_summary_region!H392</f>
        <v>0.57751973020000003</v>
      </c>
      <c r="I392" t="str">
        <f>[5]trip_summary_region!I392</f>
        <v>Air/Non-Local PT</v>
      </c>
      <c r="J392" t="str">
        <f>[5]trip_summary_region!J392</f>
        <v>2037/38</v>
      </c>
    </row>
    <row r="393" spans="1:10" x14ac:dyDescent="0.2">
      <c r="A393" t="str">
        <f>[5]trip_summary_region!A393</f>
        <v>05 GISBORNE</v>
      </c>
      <c r="B393">
        <f>[5]trip_summary_region!B393</f>
        <v>10</v>
      </c>
      <c r="C393">
        <f>[5]trip_summary_region!C393</f>
        <v>2043</v>
      </c>
      <c r="D393">
        <f>[5]trip_summary_region!D393</f>
        <v>12</v>
      </c>
      <c r="E393">
        <f>[5]trip_summary_region!E393</f>
        <v>20</v>
      </c>
      <c r="F393">
        <f>[5]trip_summary_region!F393</f>
        <v>0.3059667197</v>
      </c>
      <c r="G393">
        <f>[5]trip_summary_region!G393</f>
        <v>18.802244043999998</v>
      </c>
      <c r="H393">
        <f>[5]trip_summary_region!H393</f>
        <v>0.56814199809999999</v>
      </c>
      <c r="I393" t="str">
        <f>[5]trip_summary_region!I393</f>
        <v>Air/Non-Local PT</v>
      </c>
      <c r="J393" t="str">
        <f>[5]trip_summary_region!J393</f>
        <v>2042/43</v>
      </c>
    </row>
    <row r="394" spans="1:10" x14ac:dyDescent="0.2">
      <c r="A394" t="str">
        <f>[5]trip_summary_region!A394</f>
        <v>05 GISBORNE</v>
      </c>
      <c r="B394">
        <f>[5]trip_summary_region!B394</f>
        <v>11</v>
      </c>
      <c r="C394">
        <f>[5]trip_summary_region!C394</f>
        <v>2013</v>
      </c>
      <c r="D394">
        <f>[5]trip_summary_region!D394</f>
        <v>8</v>
      </c>
      <c r="E394">
        <f>[5]trip_summary_region!E394</f>
        <v>22</v>
      </c>
      <c r="F394">
        <f>[5]trip_summary_region!F394</f>
        <v>0.24434687620000001</v>
      </c>
      <c r="G394">
        <f>[5]trip_summary_region!G394</f>
        <v>9.0032605469</v>
      </c>
      <c r="H394">
        <f>[5]trip_summary_region!H394</f>
        <v>0.1991820503</v>
      </c>
      <c r="I394" t="str">
        <f>[5]trip_summary_region!I394</f>
        <v>Non-Household Travel</v>
      </c>
      <c r="J394" t="str">
        <f>[5]trip_summary_region!J394</f>
        <v>2012/13</v>
      </c>
    </row>
    <row r="395" spans="1:10" x14ac:dyDescent="0.2">
      <c r="A395" t="str">
        <f>[5]trip_summary_region!A395</f>
        <v>05 GISBORNE</v>
      </c>
      <c r="B395">
        <f>[5]trip_summary_region!B395</f>
        <v>11</v>
      </c>
      <c r="C395">
        <f>[5]trip_summary_region!C395</f>
        <v>2018</v>
      </c>
      <c r="D395">
        <f>[5]trip_summary_region!D395</f>
        <v>8</v>
      </c>
      <c r="E395">
        <f>[5]trip_summary_region!E395</f>
        <v>22</v>
      </c>
      <c r="F395">
        <f>[5]trip_summary_region!F395</f>
        <v>0.25207000619999997</v>
      </c>
      <c r="G395">
        <f>[5]trip_summary_region!G395</f>
        <v>8.9857057945999994</v>
      </c>
      <c r="H395">
        <f>[5]trip_summary_region!H395</f>
        <v>0.1983831412</v>
      </c>
      <c r="I395" t="str">
        <f>[5]trip_summary_region!I395</f>
        <v>Non-Household Travel</v>
      </c>
      <c r="J395" t="str">
        <f>[5]trip_summary_region!J395</f>
        <v>2017/18</v>
      </c>
    </row>
    <row r="396" spans="1:10" x14ac:dyDescent="0.2">
      <c r="A396" t="str">
        <f>[5]trip_summary_region!A396</f>
        <v>05 GISBORNE</v>
      </c>
      <c r="B396">
        <f>[5]trip_summary_region!B396</f>
        <v>11</v>
      </c>
      <c r="C396">
        <f>[5]trip_summary_region!C396</f>
        <v>2023</v>
      </c>
      <c r="D396">
        <f>[5]trip_summary_region!D396</f>
        <v>8</v>
      </c>
      <c r="E396">
        <f>[5]trip_summary_region!E396</f>
        <v>22</v>
      </c>
      <c r="F396">
        <f>[5]trip_summary_region!F396</f>
        <v>0.27057232959999999</v>
      </c>
      <c r="G396">
        <f>[5]trip_summary_region!G396</f>
        <v>9.2325790056999999</v>
      </c>
      <c r="H396">
        <f>[5]trip_summary_region!H396</f>
        <v>0.20550869159999999</v>
      </c>
      <c r="I396" t="str">
        <f>[5]trip_summary_region!I396</f>
        <v>Non-Household Travel</v>
      </c>
      <c r="J396" t="str">
        <f>[5]trip_summary_region!J396</f>
        <v>2022/23</v>
      </c>
    </row>
    <row r="397" spans="1:10" x14ac:dyDescent="0.2">
      <c r="A397" t="str">
        <f>[5]trip_summary_region!A397</f>
        <v>05 GISBORNE</v>
      </c>
      <c r="B397">
        <f>[5]trip_summary_region!B397</f>
        <v>11</v>
      </c>
      <c r="C397">
        <f>[5]trip_summary_region!C397</f>
        <v>2028</v>
      </c>
      <c r="D397">
        <f>[5]trip_summary_region!D397</f>
        <v>8</v>
      </c>
      <c r="E397">
        <f>[5]trip_summary_region!E397</f>
        <v>22</v>
      </c>
      <c r="F397">
        <f>[5]trip_summary_region!F397</f>
        <v>0.26407965709999998</v>
      </c>
      <c r="G397">
        <f>[5]trip_summary_region!G397</f>
        <v>8.6011114134</v>
      </c>
      <c r="H397">
        <f>[5]trip_summary_region!H397</f>
        <v>0.1933502825</v>
      </c>
      <c r="I397" t="str">
        <f>[5]trip_summary_region!I397</f>
        <v>Non-Household Travel</v>
      </c>
      <c r="J397" t="str">
        <f>[5]trip_summary_region!J397</f>
        <v>2027/28</v>
      </c>
    </row>
    <row r="398" spans="1:10" x14ac:dyDescent="0.2">
      <c r="A398" t="str">
        <f>[5]trip_summary_region!A398</f>
        <v>05 GISBORNE</v>
      </c>
      <c r="B398">
        <f>[5]trip_summary_region!B398</f>
        <v>11</v>
      </c>
      <c r="C398">
        <f>[5]trip_summary_region!C398</f>
        <v>2033</v>
      </c>
      <c r="D398">
        <f>[5]trip_summary_region!D398</f>
        <v>8</v>
      </c>
      <c r="E398">
        <f>[5]trip_summary_region!E398</f>
        <v>22</v>
      </c>
      <c r="F398">
        <f>[5]trip_summary_region!F398</f>
        <v>0.2556355119</v>
      </c>
      <c r="G398">
        <f>[5]trip_summary_region!G398</f>
        <v>7.6257574034999998</v>
      </c>
      <c r="H398">
        <f>[5]trip_summary_region!H398</f>
        <v>0.17626418069999999</v>
      </c>
      <c r="I398" t="str">
        <f>[5]trip_summary_region!I398</f>
        <v>Non-Household Travel</v>
      </c>
      <c r="J398" t="str">
        <f>[5]trip_summary_region!J398</f>
        <v>2032/33</v>
      </c>
    </row>
    <row r="399" spans="1:10" x14ac:dyDescent="0.2">
      <c r="A399" t="str">
        <f>[5]trip_summary_region!A399</f>
        <v>05 GISBORNE</v>
      </c>
      <c r="B399">
        <f>[5]trip_summary_region!B399</f>
        <v>11</v>
      </c>
      <c r="C399">
        <f>[5]trip_summary_region!C399</f>
        <v>2038</v>
      </c>
      <c r="D399">
        <f>[5]trip_summary_region!D399</f>
        <v>8</v>
      </c>
      <c r="E399">
        <f>[5]trip_summary_region!E399</f>
        <v>22</v>
      </c>
      <c r="F399">
        <f>[5]trip_summary_region!F399</f>
        <v>0.25158420240000001</v>
      </c>
      <c r="G399">
        <f>[5]trip_summary_region!G399</f>
        <v>6.5977799710999996</v>
      </c>
      <c r="H399">
        <f>[5]trip_summary_region!H399</f>
        <v>0.16000818999999999</v>
      </c>
      <c r="I399" t="str">
        <f>[5]trip_summary_region!I399</f>
        <v>Non-Household Travel</v>
      </c>
      <c r="J399" t="str">
        <f>[5]trip_summary_region!J399</f>
        <v>2037/38</v>
      </c>
    </row>
    <row r="400" spans="1:10" x14ac:dyDescent="0.2">
      <c r="A400" t="str">
        <f>[5]trip_summary_region!A400</f>
        <v>05 GISBORNE</v>
      </c>
      <c r="B400">
        <f>[5]trip_summary_region!B400</f>
        <v>11</v>
      </c>
      <c r="C400">
        <f>[5]trip_summary_region!C400</f>
        <v>2043</v>
      </c>
      <c r="D400">
        <f>[5]trip_summary_region!D400</f>
        <v>8</v>
      </c>
      <c r="E400">
        <f>[5]trip_summary_region!E400</f>
        <v>22</v>
      </c>
      <c r="F400">
        <f>[5]trip_summary_region!F400</f>
        <v>0.2493582258</v>
      </c>
      <c r="G400">
        <f>[5]trip_summary_region!G400</f>
        <v>5.6724947164000001</v>
      </c>
      <c r="H400">
        <f>[5]trip_summary_region!H400</f>
        <v>0.14561966740000001</v>
      </c>
      <c r="I400" t="str">
        <f>[5]trip_summary_region!I400</f>
        <v>Non-Household Travel</v>
      </c>
      <c r="J400" t="str">
        <f>[5]trip_summary_region!J400</f>
        <v>2042/43</v>
      </c>
    </row>
    <row r="401" spans="1:10" x14ac:dyDescent="0.2">
      <c r="A401" t="str">
        <f>[5]trip_summary_region!A401</f>
        <v>06 HAWKE`S BAY</v>
      </c>
      <c r="B401">
        <f>[5]trip_summary_region!B401</f>
        <v>0</v>
      </c>
      <c r="C401">
        <f>[5]trip_summary_region!C401</f>
        <v>2013</v>
      </c>
      <c r="D401">
        <f>[5]trip_summary_region!D401</f>
        <v>221</v>
      </c>
      <c r="E401">
        <f>[5]trip_summary_region!E401</f>
        <v>754</v>
      </c>
      <c r="F401">
        <f>[5]trip_summary_region!F401</f>
        <v>26.538300281000001</v>
      </c>
      <c r="G401">
        <f>[5]trip_summary_region!G401</f>
        <v>22.691613215</v>
      </c>
      <c r="H401">
        <f>[5]trip_summary_region!H401</f>
        <v>5.9462513095</v>
      </c>
      <c r="I401" t="str">
        <f>[5]trip_summary_region!I401</f>
        <v>Pedestrian</v>
      </c>
      <c r="J401" t="str">
        <f>[5]trip_summary_region!J401</f>
        <v>2012/13</v>
      </c>
    </row>
    <row r="402" spans="1:10" x14ac:dyDescent="0.2">
      <c r="A402" t="str">
        <f>[5]trip_summary_region!A402</f>
        <v>06 HAWKE`S BAY</v>
      </c>
      <c r="B402">
        <f>[5]trip_summary_region!B402</f>
        <v>0</v>
      </c>
      <c r="C402">
        <f>[5]trip_summary_region!C402</f>
        <v>2018</v>
      </c>
      <c r="D402">
        <f>[5]trip_summary_region!D402</f>
        <v>221</v>
      </c>
      <c r="E402">
        <f>[5]trip_summary_region!E402</f>
        <v>754</v>
      </c>
      <c r="F402">
        <f>[5]trip_summary_region!F402</f>
        <v>25.790480690999999</v>
      </c>
      <c r="G402">
        <f>[5]trip_summary_region!G402</f>
        <v>21.746599830000001</v>
      </c>
      <c r="H402">
        <f>[5]trip_summary_region!H402</f>
        <v>5.6967903254000003</v>
      </c>
      <c r="I402" t="str">
        <f>[5]trip_summary_region!I402</f>
        <v>Pedestrian</v>
      </c>
      <c r="J402" t="str">
        <f>[5]trip_summary_region!J402</f>
        <v>2017/18</v>
      </c>
    </row>
    <row r="403" spans="1:10" x14ac:dyDescent="0.2">
      <c r="A403" t="str">
        <f>[5]trip_summary_region!A403</f>
        <v>06 HAWKE`S BAY</v>
      </c>
      <c r="B403">
        <f>[5]trip_summary_region!B403</f>
        <v>0</v>
      </c>
      <c r="C403">
        <f>[5]trip_summary_region!C403</f>
        <v>2023</v>
      </c>
      <c r="D403">
        <f>[5]trip_summary_region!D403</f>
        <v>221</v>
      </c>
      <c r="E403">
        <f>[5]trip_summary_region!E403</f>
        <v>754</v>
      </c>
      <c r="F403">
        <f>[5]trip_summary_region!F403</f>
        <v>27.202256567999999</v>
      </c>
      <c r="G403">
        <f>[5]trip_summary_region!G403</f>
        <v>22.596554269999999</v>
      </c>
      <c r="H403">
        <f>[5]trip_summary_region!H403</f>
        <v>5.9482388637000003</v>
      </c>
      <c r="I403" t="str">
        <f>[5]trip_summary_region!I403</f>
        <v>Pedestrian</v>
      </c>
      <c r="J403" t="str">
        <f>[5]trip_summary_region!J403</f>
        <v>2022/23</v>
      </c>
    </row>
    <row r="404" spans="1:10" x14ac:dyDescent="0.2">
      <c r="A404" t="str">
        <f>[5]trip_summary_region!A404</f>
        <v>06 HAWKE`S BAY</v>
      </c>
      <c r="B404">
        <f>[5]trip_summary_region!B404</f>
        <v>0</v>
      </c>
      <c r="C404">
        <f>[5]trip_summary_region!C404</f>
        <v>2028</v>
      </c>
      <c r="D404">
        <f>[5]trip_summary_region!D404</f>
        <v>221</v>
      </c>
      <c r="E404">
        <f>[5]trip_summary_region!E404</f>
        <v>754</v>
      </c>
      <c r="F404">
        <f>[5]trip_summary_region!F404</f>
        <v>26.611566149000002</v>
      </c>
      <c r="G404">
        <f>[5]trip_summary_region!G404</f>
        <v>22.121791979000001</v>
      </c>
      <c r="H404">
        <f>[5]trip_summary_region!H404</f>
        <v>5.7677316062999999</v>
      </c>
      <c r="I404" t="str">
        <f>[5]trip_summary_region!I404</f>
        <v>Pedestrian</v>
      </c>
      <c r="J404" t="str">
        <f>[5]trip_summary_region!J404</f>
        <v>2027/28</v>
      </c>
    </row>
    <row r="405" spans="1:10" x14ac:dyDescent="0.2">
      <c r="A405" t="str">
        <f>[5]trip_summary_region!A405</f>
        <v>06 HAWKE`S BAY</v>
      </c>
      <c r="B405">
        <f>[5]trip_summary_region!B405</f>
        <v>0</v>
      </c>
      <c r="C405">
        <f>[5]trip_summary_region!C405</f>
        <v>2033</v>
      </c>
      <c r="D405">
        <f>[5]trip_summary_region!D405</f>
        <v>221</v>
      </c>
      <c r="E405">
        <f>[5]trip_summary_region!E405</f>
        <v>754</v>
      </c>
      <c r="F405">
        <f>[5]trip_summary_region!F405</f>
        <v>25.634795661999998</v>
      </c>
      <c r="G405">
        <f>[5]trip_summary_region!G405</f>
        <v>21.554506726</v>
      </c>
      <c r="H405">
        <f>[5]trip_summary_region!H405</f>
        <v>5.5624385375000003</v>
      </c>
      <c r="I405" t="str">
        <f>[5]trip_summary_region!I405</f>
        <v>Pedestrian</v>
      </c>
      <c r="J405" t="str">
        <f>[5]trip_summary_region!J405</f>
        <v>2032/33</v>
      </c>
    </row>
    <row r="406" spans="1:10" x14ac:dyDescent="0.2">
      <c r="A406" t="str">
        <f>[5]trip_summary_region!A406</f>
        <v>06 HAWKE`S BAY</v>
      </c>
      <c r="B406">
        <f>[5]trip_summary_region!B406</f>
        <v>0</v>
      </c>
      <c r="C406">
        <f>[5]trip_summary_region!C406</f>
        <v>2038</v>
      </c>
      <c r="D406">
        <f>[5]trip_summary_region!D406</f>
        <v>221</v>
      </c>
      <c r="E406">
        <f>[5]trip_summary_region!E406</f>
        <v>754</v>
      </c>
      <c r="F406">
        <f>[5]trip_summary_region!F406</f>
        <v>24.606867941000001</v>
      </c>
      <c r="G406">
        <f>[5]trip_summary_region!G406</f>
        <v>21.142325306</v>
      </c>
      <c r="H406">
        <f>[5]trip_summary_region!H406</f>
        <v>5.3943456775999996</v>
      </c>
      <c r="I406" t="str">
        <f>[5]trip_summary_region!I406</f>
        <v>Pedestrian</v>
      </c>
      <c r="J406" t="str">
        <f>[5]trip_summary_region!J406</f>
        <v>2037/38</v>
      </c>
    </row>
    <row r="407" spans="1:10" x14ac:dyDescent="0.2">
      <c r="A407" t="str">
        <f>[5]trip_summary_region!A407</f>
        <v>06 HAWKE`S BAY</v>
      </c>
      <c r="B407">
        <f>[5]trip_summary_region!B407</f>
        <v>0</v>
      </c>
      <c r="C407">
        <f>[5]trip_summary_region!C407</f>
        <v>2043</v>
      </c>
      <c r="D407">
        <f>[5]trip_summary_region!D407</f>
        <v>221</v>
      </c>
      <c r="E407">
        <f>[5]trip_summary_region!E407</f>
        <v>754</v>
      </c>
      <c r="F407">
        <f>[5]trip_summary_region!F407</f>
        <v>23.519077129999999</v>
      </c>
      <c r="G407">
        <f>[5]trip_summary_region!G407</f>
        <v>20.689245753000002</v>
      </c>
      <c r="H407">
        <f>[5]trip_summary_region!H407</f>
        <v>5.2241302718</v>
      </c>
      <c r="I407" t="str">
        <f>[5]trip_summary_region!I407</f>
        <v>Pedestrian</v>
      </c>
      <c r="J407" t="str">
        <f>[5]trip_summary_region!J407</f>
        <v>2042/43</v>
      </c>
    </row>
    <row r="408" spans="1:10" x14ac:dyDescent="0.2">
      <c r="A408" t="str">
        <f>[5]trip_summary_region!A408</f>
        <v>06 HAWKE`S BAY</v>
      </c>
      <c r="B408">
        <f>[5]trip_summary_region!B408</f>
        <v>1</v>
      </c>
      <c r="C408">
        <f>[5]trip_summary_region!C408</f>
        <v>2013</v>
      </c>
      <c r="D408">
        <f>[5]trip_summary_region!D408</f>
        <v>30</v>
      </c>
      <c r="E408">
        <f>[5]trip_summary_region!E408</f>
        <v>93</v>
      </c>
      <c r="F408">
        <f>[5]trip_summary_region!F408</f>
        <v>3.1819840940000002</v>
      </c>
      <c r="G408">
        <f>[5]trip_summary_region!G408</f>
        <v>9.5482363540000001</v>
      </c>
      <c r="H408">
        <f>[5]trip_summary_region!H408</f>
        <v>0.88401106659999995</v>
      </c>
      <c r="I408" t="str">
        <f>[5]trip_summary_region!I408</f>
        <v>Cyclist</v>
      </c>
      <c r="J408" t="str">
        <f>[5]trip_summary_region!J408</f>
        <v>2012/13</v>
      </c>
    </row>
    <row r="409" spans="1:10" x14ac:dyDescent="0.2">
      <c r="A409" t="str">
        <f>[5]trip_summary_region!A409</f>
        <v>06 HAWKE`S BAY</v>
      </c>
      <c r="B409">
        <f>[5]trip_summary_region!B409</f>
        <v>1</v>
      </c>
      <c r="C409">
        <f>[5]trip_summary_region!C409</f>
        <v>2018</v>
      </c>
      <c r="D409">
        <f>[5]trip_summary_region!D409</f>
        <v>30</v>
      </c>
      <c r="E409">
        <f>[5]trip_summary_region!E409</f>
        <v>93</v>
      </c>
      <c r="F409">
        <f>[5]trip_summary_region!F409</f>
        <v>3.0986368579999999</v>
      </c>
      <c r="G409">
        <f>[5]trip_summary_region!G409</f>
        <v>9.5686196717000005</v>
      </c>
      <c r="H409">
        <f>[5]trip_summary_region!H409</f>
        <v>0.88773321140000006</v>
      </c>
      <c r="I409" t="str">
        <f>[5]trip_summary_region!I409</f>
        <v>Cyclist</v>
      </c>
      <c r="J409" t="str">
        <f>[5]trip_summary_region!J409</f>
        <v>2017/18</v>
      </c>
    </row>
    <row r="410" spans="1:10" x14ac:dyDescent="0.2">
      <c r="A410" t="str">
        <f>[5]trip_summary_region!A410</f>
        <v>06 HAWKE`S BAY</v>
      </c>
      <c r="B410">
        <f>[5]trip_summary_region!B410</f>
        <v>1</v>
      </c>
      <c r="C410">
        <f>[5]trip_summary_region!C410</f>
        <v>2023</v>
      </c>
      <c r="D410">
        <f>[5]trip_summary_region!D410</f>
        <v>30</v>
      </c>
      <c r="E410">
        <f>[5]trip_summary_region!E410</f>
        <v>93</v>
      </c>
      <c r="F410">
        <f>[5]trip_summary_region!F410</f>
        <v>3.2697771376000002</v>
      </c>
      <c r="G410">
        <f>[5]trip_summary_region!G410</f>
        <v>10.3123857</v>
      </c>
      <c r="H410">
        <f>[5]trip_summary_region!H410</f>
        <v>0.94579678869999995</v>
      </c>
      <c r="I410" t="str">
        <f>[5]trip_summary_region!I410</f>
        <v>Cyclist</v>
      </c>
      <c r="J410" t="str">
        <f>[5]trip_summary_region!J410</f>
        <v>2022/23</v>
      </c>
    </row>
    <row r="411" spans="1:10" x14ac:dyDescent="0.2">
      <c r="A411" t="str">
        <f>[5]trip_summary_region!A411</f>
        <v>06 HAWKE`S BAY</v>
      </c>
      <c r="B411">
        <f>[5]trip_summary_region!B411</f>
        <v>1</v>
      </c>
      <c r="C411">
        <f>[5]trip_summary_region!C411</f>
        <v>2028</v>
      </c>
      <c r="D411">
        <f>[5]trip_summary_region!D411</f>
        <v>30</v>
      </c>
      <c r="E411">
        <f>[5]trip_summary_region!E411</f>
        <v>93</v>
      </c>
      <c r="F411">
        <f>[5]trip_summary_region!F411</f>
        <v>3.2775508490999998</v>
      </c>
      <c r="G411">
        <f>[5]trip_summary_region!G411</f>
        <v>10.561035244999999</v>
      </c>
      <c r="H411">
        <f>[5]trip_summary_region!H411</f>
        <v>0.96778292560000001</v>
      </c>
      <c r="I411" t="str">
        <f>[5]trip_summary_region!I411</f>
        <v>Cyclist</v>
      </c>
      <c r="J411" t="str">
        <f>[5]trip_summary_region!J411</f>
        <v>2027/28</v>
      </c>
    </row>
    <row r="412" spans="1:10" x14ac:dyDescent="0.2">
      <c r="A412" t="str">
        <f>[5]trip_summary_region!A412</f>
        <v>06 HAWKE`S BAY</v>
      </c>
      <c r="B412">
        <f>[5]trip_summary_region!B412</f>
        <v>1</v>
      </c>
      <c r="C412">
        <f>[5]trip_summary_region!C412</f>
        <v>2033</v>
      </c>
      <c r="D412">
        <f>[5]trip_summary_region!D412</f>
        <v>30</v>
      </c>
      <c r="E412">
        <f>[5]trip_summary_region!E412</f>
        <v>93</v>
      </c>
      <c r="F412">
        <f>[5]trip_summary_region!F412</f>
        <v>3.1906249385000001</v>
      </c>
      <c r="G412">
        <f>[5]trip_summary_region!G412</f>
        <v>10.720975509000001</v>
      </c>
      <c r="H412">
        <f>[5]trip_summary_region!H412</f>
        <v>0.9788395848</v>
      </c>
      <c r="I412" t="str">
        <f>[5]trip_summary_region!I412</f>
        <v>Cyclist</v>
      </c>
      <c r="J412" t="str">
        <f>[5]trip_summary_region!J412</f>
        <v>2032/33</v>
      </c>
    </row>
    <row r="413" spans="1:10" x14ac:dyDescent="0.2">
      <c r="A413" t="str">
        <f>[5]trip_summary_region!A413</f>
        <v>06 HAWKE`S BAY</v>
      </c>
      <c r="B413">
        <f>[5]trip_summary_region!B413</f>
        <v>1</v>
      </c>
      <c r="C413">
        <f>[5]trip_summary_region!C413</f>
        <v>2038</v>
      </c>
      <c r="D413">
        <f>[5]trip_summary_region!D413</f>
        <v>30</v>
      </c>
      <c r="E413">
        <f>[5]trip_summary_region!E413</f>
        <v>93</v>
      </c>
      <c r="F413">
        <f>[5]trip_summary_region!F413</f>
        <v>3.1018794663000002</v>
      </c>
      <c r="G413">
        <f>[5]trip_summary_region!G413</f>
        <v>10.588288277</v>
      </c>
      <c r="H413">
        <f>[5]trip_summary_region!H413</f>
        <v>0.97666469769999997</v>
      </c>
      <c r="I413" t="str">
        <f>[5]trip_summary_region!I413</f>
        <v>Cyclist</v>
      </c>
      <c r="J413" t="str">
        <f>[5]trip_summary_region!J413</f>
        <v>2037/38</v>
      </c>
    </row>
    <row r="414" spans="1:10" x14ac:dyDescent="0.2">
      <c r="A414" t="str">
        <f>[5]trip_summary_region!A414</f>
        <v>06 HAWKE`S BAY</v>
      </c>
      <c r="B414">
        <f>[5]trip_summary_region!B414</f>
        <v>1</v>
      </c>
      <c r="C414">
        <f>[5]trip_summary_region!C414</f>
        <v>2043</v>
      </c>
      <c r="D414">
        <f>[5]trip_summary_region!D414</f>
        <v>30</v>
      </c>
      <c r="E414">
        <f>[5]trip_summary_region!E414</f>
        <v>93</v>
      </c>
      <c r="F414">
        <f>[5]trip_summary_region!F414</f>
        <v>2.9833470930999999</v>
      </c>
      <c r="G414">
        <f>[5]trip_summary_region!G414</f>
        <v>10.343207591000001</v>
      </c>
      <c r="H414">
        <f>[5]trip_summary_region!H414</f>
        <v>0.96497309519999996</v>
      </c>
      <c r="I414" t="str">
        <f>[5]trip_summary_region!I414</f>
        <v>Cyclist</v>
      </c>
      <c r="J414" t="str">
        <f>[5]trip_summary_region!J414</f>
        <v>2042/43</v>
      </c>
    </row>
    <row r="415" spans="1:10" x14ac:dyDescent="0.2">
      <c r="A415" t="str">
        <f>[5]trip_summary_region!A415</f>
        <v>06 HAWKE`S BAY</v>
      </c>
      <c r="B415">
        <f>[5]trip_summary_region!B415</f>
        <v>2</v>
      </c>
      <c r="C415">
        <f>[5]trip_summary_region!C415</f>
        <v>2013</v>
      </c>
      <c r="D415">
        <f>[5]trip_summary_region!D415</f>
        <v>446</v>
      </c>
      <c r="E415">
        <f>[5]trip_summary_region!E415</f>
        <v>3171</v>
      </c>
      <c r="F415">
        <f>[5]trip_summary_region!F415</f>
        <v>111.16933473</v>
      </c>
      <c r="G415">
        <f>[5]trip_summary_region!G415</f>
        <v>1001.7566771</v>
      </c>
      <c r="H415">
        <f>[5]trip_summary_region!H415</f>
        <v>25.377986313000001</v>
      </c>
      <c r="I415" t="str">
        <f>[5]trip_summary_region!I415</f>
        <v>Light Vehicle Driver</v>
      </c>
      <c r="J415" t="str">
        <f>[5]trip_summary_region!J415</f>
        <v>2012/13</v>
      </c>
    </row>
    <row r="416" spans="1:10" x14ac:dyDescent="0.2">
      <c r="A416" t="str">
        <f>[5]trip_summary_region!A416</f>
        <v>06 HAWKE`S BAY</v>
      </c>
      <c r="B416">
        <f>[5]trip_summary_region!B416</f>
        <v>2</v>
      </c>
      <c r="C416">
        <f>[5]trip_summary_region!C416</f>
        <v>2018</v>
      </c>
      <c r="D416">
        <f>[5]trip_summary_region!D416</f>
        <v>446</v>
      </c>
      <c r="E416">
        <f>[5]trip_summary_region!E416</f>
        <v>3171</v>
      </c>
      <c r="F416">
        <f>[5]trip_summary_region!F416</f>
        <v>110.15783963</v>
      </c>
      <c r="G416">
        <f>[5]trip_summary_region!G416</f>
        <v>1001.2096487</v>
      </c>
      <c r="H416">
        <f>[5]trip_summary_region!H416</f>
        <v>25.281594783999999</v>
      </c>
      <c r="I416" t="str">
        <f>[5]trip_summary_region!I416</f>
        <v>Light Vehicle Driver</v>
      </c>
      <c r="J416" t="str">
        <f>[5]trip_summary_region!J416</f>
        <v>2017/18</v>
      </c>
    </row>
    <row r="417" spans="1:10" x14ac:dyDescent="0.2">
      <c r="A417" t="str">
        <f>[5]trip_summary_region!A417</f>
        <v>06 HAWKE`S BAY</v>
      </c>
      <c r="B417">
        <f>[5]trip_summary_region!B417</f>
        <v>2</v>
      </c>
      <c r="C417">
        <f>[5]trip_summary_region!C417</f>
        <v>2023</v>
      </c>
      <c r="D417">
        <f>[5]trip_summary_region!D417</f>
        <v>446</v>
      </c>
      <c r="E417">
        <f>[5]trip_summary_region!E417</f>
        <v>3171</v>
      </c>
      <c r="F417">
        <f>[5]trip_summary_region!F417</f>
        <v>117.14312771</v>
      </c>
      <c r="G417">
        <f>[5]trip_summary_region!G417</f>
        <v>1072.1660652999999</v>
      </c>
      <c r="H417">
        <f>[5]trip_summary_region!H417</f>
        <v>27.041360605000001</v>
      </c>
      <c r="I417" t="str">
        <f>[5]trip_summary_region!I417</f>
        <v>Light Vehicle Driver</v>
      </c>
      <c r="J417" t="str">
        <f>[5]trip_summary_region!J417</f>
        <v>2022/23</v>
      </c>
    </row>
    <row r="418" spans="1:10" x14ac:dyDescent="0.2">
      <c r="A418" t="str">
        <f>[5]trip_summary_region!A418</f>
        <v>06 HAWKE`S BAY</v>
      </c>
      <c r="B418">
        <f>[5]trip_summary_region!B418</f>
        <v>2</v>
      </c>
      <c r="C418">
        <f>[5]trip_summary_region!C418</f>
        <v>2028</v>
      </c>
      <c r="D418">
        <f>[5]trip_summary_region!D418</f>
        <v>446</v>
      </c>
      <c r="E418">
        <f>[5]trip_summary_region!E418</f>
        <v>3171</v>
      </c>
      <c r="F418">
        <f>[5]trip_summary_region!F418</f>
        <v>119.72515236</v>
      </c>
      <c r="G418">
        <f>[5]trip_summary_region!G418</f>
        <v>1102.3103787</v>
      </c>
      <c r="H418">
        <f>[5]trip_summary_region!H418</f>
        <v>27.810910332999999</v>
      </c>
      <c r="I418" t="str">
        <f>[5]trip_summary_region!I418</f>
        <v>Light Vehicle Driver</v>
      </c>
      <c r="J418" t="str">
        <f>[5]trip_summary_region!J418</f>
        <v>2027/28</v>
      </c>
    </row>
    <row r="419" spans="1:10" x14ac:dyDescent="0.2">
      <c r="A419" t="str">
        <f>[5]trip_summary_region!A419</f>
        <v>06 HAWKE`S BAY</v>
      </c>
      <c r="B419">
        <f>[5]trip_summary_region!B419</f>
        <v>2</v>
      </c>
      <c r="C419">
        <f>[5]trip_summary_region!C419</f>
        <v>2033</v>
      </c>
      <c r="D419">
        <f>[5]trip_summary_region!D419</f>
        <v>446</v>
      </c>
      <c r="E419">
        <f>[5]trip_summary_region!E419</f>
        <v>3171</v>
      </c>
      <c r="F419">
        <f>[5]trip_summary_region!F419</f>
        <v>120.71939752</v>
      </c>
      <c r="G419">
        <f>[5]trip_summary_region!G419</f>
        <v>1116.1093768000001</v>
      </c>
      <c r="H419">
        <f>[5]trip_summary_region!H419</f>
        <v>28.171041206999998</v>
      </c>
      <c r="I419" t="str">
        <f>[5]trip_summary_region!I419</f>
        <v>Light Vehicle Driver</v>
      </c>
      <c r="J419" t="str">
        <f>[5]trip_summary_region!J419</f>
        <v>2032/33</v>
      </c>
    </row>
    <row r="420" spans="1:10" x14ac:dyDescent="0.2">
      <c r="A420" t="str">
        <f>[5]trip_summary_region!A420</f>
        <v>06 HAWKE`S BAY</v>
      </c>
      <c r="B420">
        <f>[5]trip_summary_region!B420</f>
        <v>2</v>
      </c>
      <c r="C420">
        <f>[5]trip_summary_region!C420</f>
        <v>2038</v>
      </c>
      <c r="D420">
        <f>[5]trip_summary_region!D420</f>
        <v>446</v>
      </c>
      <c r="E420">
        <f>[5]trip_summary_region!E420</f>
        <v>3171</v>
      </c>
      <c r="F420">
        <f>[5]trip_summary_region!F420</f>
        <v>119.48841401</v>
      </c>
      <c r="G420">
        <f>[5]trip_summary_region!G420</f>
        <v>1106.1066840000001</v>
      </c>
      <c r="H420">
        <f>[5]trip_summary_region!H420</f>
        <v>27.96309269</v>
      </c>
      <c r="I420" t="str">
        <f>[5]trip_summary_region!I420</f>
        <v>Light Vehicle Driver</v>
      </c>
      <c r="J420" t="str">
        <f>[5]trip_summary_region!J420</f>
        <v>2037/38</v>
      </c>
    </row>
    <row r="421" spans="1:10" x14ac:dyDescent="0.2">
      <c r="A421" t="str">
        <f>[5]trip_summary_region!A421</f>
        <v>06 HAWKE`S BAY</v>
      </c>
      <c r="B421">
        <f>[5]trip_summary_region!B421</f>
        <v>2</v>
      </c>
      <c r="C421">
        <f>[5]trip_summary_region!C421</f>
        <v>2043</v>
      </c>
      <c r="D421">
        <f>[5]trip_summary_region!D421</f>
        <v>446</v>
      </c>
      <c r="E421">
        <f>[5]trip_summary_region!E421</f>
        <v>3171</v>
      </c>
      <c r="F421">
        <f>[5]trip_summary_region!F421</f>
        <v>117.82202875</v>
      </c>
      <c r="G421">
        <f>[5]trip_summary_region!G421</f>
        <v>1091.5939119</v>
      </c>
      <c r="H421">
        <f>[5]trip_summary_region!H421</f>
        <v>27.633206221999998</v>
      </c>
      <c r="I421" t="str">
        <f>[5]trip_summary_region!I421</f>
        <v>Light Vehicle Driver</v>
      </c>
      <c r="J421" t="str">
        <f>[5]trip_summary_region!J421</f>
        <v>2042/43</v>
      </c>
    </row>
    <row r="422" spans="1:10" x14ac:dyDescent="0.2">
      <c r="A422" t="str">
        <f>[5]trip_summary_region!A422</f>
        <v>06 HAWKE`S BAY</v>
      </c>
      <c r="B422">
        <f>[5]trip_summary_region!B422</f>
        <v>3</v>
      </c>
      <c r="C422">
        <f>[5]trip_summary_region!C422</f>
        <v>2013</v>
      </c>
      <c r="D422">
        <f>[5]trip_summary_region!D422</f>
        <v>300</v>
      </c>
      <c r="E422">
        <f>[5]trip_summary_region!E422</f>
        <v>1579</v>
      </c>
      <c r="F422">
        <f>[5]trip_summary_region!F422</f>
        <v>58.497679761999997</v>
      </c>
      <c r="G422">
        <f>[5]trip_summary_region!G422</f>
        <v>607.82570181000006</v>
      </c>
      <c r="H422">
        <f>[5]trip_summary_region!H422</f>
        <v>15.230731736999999</v>
      </c>
      <c r="I422" t="str">
        <f>[5]trip_summary_region!I422</f>
        <v>Light Vehicle Passenger</v>
      </c>
      <c r="J422" t="str">
        <f>[5]trip_summary_region!J422</f>
        <v>2012/13</v>
      </c>
    </row>
    <row r="423" spans="1:10" x14ac:dyDescent="0.2">
      <c r="A423" t="str">
        <f>[5]trip_summary_region!A423</f>
        <v>06 HAWKE`S BAY</v>
      </c>
      <c r="B423">
        <f>[5]trip_summary_region!B423</f>
        <v>3</v>
      </c>
      <c r="C423">
        <f>[5]trip_summary_region!C423</f>
        <v>2018</v>
      </c>
      <c r="D423">
        <f>[5]trip_summary_region!D423</f>
        <v>300</v>
      </c>
      <c r="E423">
        <f>[5]trip_summary_region!E423</f>
        <v>1579</v>
      </c>
      <c r="F423">
        <f>[5]trip_summary_region!F423</f>
        <v>55.911286386</v>
      </c>
      <c r="G423">
        <f>[5]trip_summary_region!G423</f>
        <v>595.01570763999996</v>
      </c>
      <c r="H423">
        <f>[5]trip_summary_region!H423</f>
        <v>14.761676072</v>
      </c>
      <c r="I423" t="str">
        <f>[5]trip_summary_region!I423</f>
        <v>Light Vehicle Passenger</v>
      </c>
      <c r="J423" t="str">
        <f>[5]trip_summary_region!J423</f>
        <v>2017/18</v>
      </c>
    </row>
    <row r="424" spans="1:10" x14ac:dyDescent="0.2">
      <c r="A424" t="str">
        <f>[5]trip_summary_region!A424</f>
        <v>06 HAWKE`S BAY</v>
      </c>
      <c r="B424">
        <f>[5]trip_summary_region!B424</f>
        <v>3</v>
      </c>
      <c r="C424">
        <f>[5]trip_summary_region!C424</f>
        <v>2023</v>
      </c>
      <c r="D424">
        <f>[5]trip_summary_region!D424</f>
        <v>300</v>
      </c>
      <c r="E424">
        <f>[5]trip_summary_region!E424</f>
        <v>1579</v>
      </c>
      <c r="F424">
        <f>[5]trip_summary_region!F424</f>
        <v>58.452653067999996</v>
      </c>
      <c r="G424">
        <f>[5]trip_summary_region!G424</f>
        <v>634.56914041000005</v>
      </c>
      <c r="H424">
        <f>[5]trip_summary_region!H424</f>
        <v>15.652335471000001</v>
      </c>
      <c r="I424" t="str">
        <f>[5]trip_summary_region!I424</f>
        <v>Light Vehicle Passenger</v>
      </c>
      <c r="J424" t="str">
        <f>[5]trip_summary_region!J424</f>
        <v>2022/23</v>
      </c>
    </row>
    <row r="425" spans="1:10" x14ac:dyDescent="0.2">
      <c r="A425" t="str">
        <f>[5]trip_summary_region!A425</f>
        <v>06 HAWKE`S BAY</v>
      </c>
      <c r="B425">
        <f>[5]trip_summary_region!B425</f>
        <v>3</v>
      </c>
      <c r="C425">
        <f>[5]trip_summary_region!C425</f>
        <v>2028</v>
      </c>
      <c r="D425">
        <f>[5]trip_summary_region!D425</f>
        <v>300</v>
      </c>
      <c r="E425">
        <f>[5]trip_summary_region!E425</f>
        <v>1579</v>
      </c>
      <c r="F425">
        <f>[5]trip_summary_region!F425</f>
        <v>59.282564911999998</v>
      </c>
      <c r="G425">
        <f>[5]trip_summary_region!G425</f>
        <v>640.46610392000002</v>
      </c>
      <c r="H425">
        <f>[5]trip_summary_region!H425</f>
        <v>15.876182489</v>
      </c>
      <c r="I425" t="str">
        <f>[5]trip_summary_region!I425</f>
        <v>Light Vehicle Passenger</v>
      </c>
      <c r="J425" t="str">
        <f>[5]trip_summary_region!J425</f>
        <v>2027/28</v>
      </c>
    </row>
    <row r="426" spans="1:10" x14ac:dyDescent="0.2">
      <c r="A426" t="str">
        <f>[5]trip_summary_region!A426</f>
        <v>06 HAWKE`S BAY</v>
      </c>
      <c r="B426">
        <f>[5]trip_summary_region!B426</f>
        <v>3</v>
      </c>
      <c r="C426">
        <f>[5]trip_summary_region!C426</f>
        <v>2033</v>
      </c>
      <c r="D426">
        <f>[5]trip_summary_region!D426</f>
        <v>300</v>
      </c>
      <c r="E426">
        <f>[5]trip_summary_region!E426</f>
        <v>1579</v>
      </c>
      <c r="F426">
        <f>[5]trip_summary_region!F426</f>
        <v>59.090741975999997</v>
      </c>
      <c r="G426">
        <f>[5]trip_summary_region!G426</f>
        <v>631.43287674999999</v>
      </c>
      <c r="H426">
        <f>[5]trip_summary_region!H426</f>
        <v>15.740171337</v>
      </c>
      <c r="I426" t="str">
        <f>[5]trip_summary_region!I426</f>
        <v>Light Vehicle Passenger</v>
      </c>
      <c r="J426" t="str">
        <f>[5]trip_summary_region!J426</f>
        <v>2032/33</v>
      </c>
    </row>
    <row r="427" spans="1:10" x14ac:dyDescent="0.2">
      <c r="A427" t="str">
        <f>[5]trip_summary_region!A427</f>
        <v>06 HAWKE`S BAY</v>
      </c>
      <c r="B427">
        <f>[5]trip_summary_region!B427</f>
        <v>3</v>
      </c>
      <c r="C427">
        <f>[5]trip_summary_region!C427</f>
        <v>2038</v>
      </c>
      <c r="D427">
        <f>[5]trip_summary_region!D427</f>
        <v>300</v>
      </c>
      <c r="E427">
        <f>[5]trip_summary_region!E427</f>
        <v>1579</v>
      </c>
      <c r="F427">
        <f>[5]trip_summary_region!F427</f>
        <v>58.745729402000002</v>
      </c>
      <c r="G427">
        <f>[5]trip_summary_region!G427</f>
        <v>614.96116789999996</v>
      </c>
      <c r="H427">
        <f>[5]trip_summary_region!H427</f>
        <v>15.421817612</v>
      </c>
      <c r="I427" t="str">
        <f>[5]trip_summary_region!I427</f>
        <v>Light Vehicle Passenger</v>
      </c>
      <c r="J427" t="str">
        <f>[5]trip_summary_region!J427</f>
        <v>2037/38</v>
      </c>
    </row>
    <row r="428" spans="1:10" x14ac:dyDescent="0.2">
      <c r="A428" t="str">
        <f>[5]trip_summary_region!A428</f>
        <v>06 HAWKE`S BAY</v>
      </c>
      <c r="B428">
        <f>[5]trip_summary_region!B428</f>
        <v>3</v>
      </c>
      <c r="C428">
        <f>[5]trip_summary_region!C428</f>
        <v>2043</v>
      </c>
      <c r="D428">
        <f>[5]trip_summary_region!D428</f>
        <v>300</v>
      </c>
      <c r="E428">
        <f>[5]trip_summary_region!E428</f>
        <v>1579</v>
      </c>
      <c r="F428">
        <f>[5]trip_summary_region!F428</f>
        <v>58.195328977000003</v>
      </c>
      <c r="G428">
        <f>[5]trip_summary_region!G428</f>
        <v>596.36011757999995</v>
      </c>
      <c r="H428">
        <f>[5]trip_summary_region!H428</f>
        <v>15.0461987</v>
      </c>
      <c r="I428" t="str">
        <f>[5]trip_summary_region!I428</f>
        <v>Light Vehicle Passenger</v>
      </c>
      <c r="J428" t="str">
        <f>[5]trip_summary_region!J428</f>
        <v>2042/43</v>
      </c>
    </row>
    <row r="429" spans="1:10" x14ac:dyDescent="0.2">
      <c r="A429" t="str">
        <f>[5]trip_summary_region!A429</f>
        <v>06 HAWKE`S BAY</v>
      </c>
      <c r="B429">
        <f>[5]trip_summary_region!B429</f>
        <v>4</v>
      </c>
      <c r="C429">
        <f>[5]trip_summary_region!C429</f>
        <v>2013</v>
      </c>
      <c r="D429">
        <f>[5]trip_summary_region!D429</f>
        <v>4</v>
      </c>
      <c r="E429">
        <f>[5]trip_summary_region!E429</f>
        <v>8</v>
      </c>
      <c r="F429">
        <f>[5]trip_summary_region!F429</f>
        <v>0.32519619989999998</v>
      </c>
      <c r="G429">
        <f>[5]trip_summary_region!G429</f>
        <v>1.7589425135000001</v>
      </c>
      <c r="H429">
        <f>[5]trip_summary_region!H429</f>
        <v>4.5837477299999999E-2</v>
      </c>
      <c r="I429" t="s">
        <v>116</v>
      </c>
      <c r="J429" t="str">
        <f>[5]trip_summary_region!J429</f>
        <v>2012/13</v>
      </c>
    </row>
    <row r="430" spans="1:10" x14ac:dyDescent="0.2">
      <c r="A430" t="str">
        <f>[5]trip_summary_region!A430</f>
        <v>06 HAWKE`S BAY</v>
      </c>
      <c r="B430">
        <f>[5]trip_summary_region!B430</f>
        <v>4</v>
      </c>
      <c r="C430">
        <f>[5]trip_summary_region!C430</f>
        <v>2018</v>
      </c>
      <c r="D430">
        <f>[5]trip_summary_region!D430</f>
        <v>4</v>
      </c>
      <c r="E430">
        <f>[5]trip_summary_region!E430</f>
        <v>8</v>
      </c>
      <c r="F430">
        <f>[5]trip_summary_region!F430</f>
        <v>0.31852379790000002</v>
      </c>
      <c r="G430">
        <f>[5]trip_summary_region!G430</f>
        <v>1.6247499005999999</v>
      </c>
      <c r="H430">
        <f>[5]trip_summary_region!H430</f>
        <v>4.5503553799999999E-2</v>
      </c>
      <c r="I430" t="s">
        <v>116</v>
      </c>
      <c r="J430" t="str">
        <f>[5]trip_summary_region!J430</f>
        <v>2017/18</v>
      </c>
    </row>
    <row r="431" spans="1:10" x14ac:dyDescent="0.2">
      <c r="A431" t="str">
        <f>[5]trip_summary_region!A431</f>
        <v>06 HAWKE`S BAY</v>
      </c>
      <c r="B431">
        <f>[5]trip_summary_region!B431</f>
        <v>4</v>
      </c>
      <c r="C431">
        <f>[5]trip_summary_region!C431</f>
        <v>2023</v>
      </c>
      <c r="D431">
        <f>[5]trip_summary_region!D431</f>
        <v>4</v>
      </c>
      <c r="E431">
        <f>[5]trip_summary_region!E431</f>
        <v>8</v>
      </c>
      <c r="F431">
        <f>[5]trip_summary_region!F431</f>
        <v>0.33841531380000001</v>
      </c>
      <c r="G431">
        <f>[5]trip_summary_region!G431</f>
        <v>1.6325766732</v>
      </c>
      <c r="H431">
        <f>[5]trip_summary_region!H431</f>
        <v>4.7981795000000001E-2</v>
      </c>
      <c r="I431" t="s">
        <v>116</v>
      </c>
      <c r="J431" t="str">
        <f>[5]trip_summary_region!J431</f>
        <v>2022/23</v>
      </c>
    </row>
    <row r="432" spans="1:10" x14ac:dyDescent="0.2">
      <c r="A432" t="str">
        <f>[5]trip_summary_region!A432</f>
        <v>06 HAWKE`S BAY</v>
      </c>
      <c r="B432">
        <f>[5]trip_summary_region!B432</f>
        <v>4</v>
      </c>
      <c r="C432">
        <f>[5]trip_summary_region!C432</f>
        <v>2028</v>
      </c>
      <c r="D432">
        <f>[5]trip_summary_region!D432</f>
        <v>4</v>
      </c>
      <c r="E432">
        <f>[5]trip_summary_region!E432</f>
        <v>8</v>
      </c>
      <c r="F432">
        <f>[5]trip_summary_region!F432</f>
        <v>0.34275326010000001</v>
      </c>
      <c r="G432">
        <f>[5]trip_summary_region!G432</f>
        <v>1.6226645195</v>
      </c>
      <c r="H432">
        <f>[5]trip_summary_region!H432</f>
        <v>4.8511216099999997E-2</v>
      </c>
      <c r="I432" t="s">
        <v>116</v>
      </c>
      <c r="J432" t="str">
        <f>[5]trip_summary_region!J432</f>
        <v>2027/28</v>
      </c>
    </row>
    <row r="433" spans="1:10" x14ac:dyDescent="0.2">
      <c r="A433" t="str">
        <f>[5]trip_summary_region!A433</f>
        <v>06 HAWKE`S BAY</v>
      </c>
      <c r="B433">
        <f>[5]trip_summary_region!B433</f>
        <v>4</v>
      </c>
      <c r="C433">
        <f>[5]trip_summary_region!C433</f>
        <v>2033</v>
      </c>
      <c r="D433">
        <f>[5]trip_summary_region!D433</f>
        <v>4</v>
      </c>
      <c r="E433">
        <f>[5]trip_summary_region!E433</f>
        <v>8</v>
      </c>
      <c r="F433">
        <f>[5]trip_summary_region!F433</f>
        <v>0.33840122239999998</v>
      </c>
      <c r="G433">
        <f>[5]trip_summary_region!G433</f>
        <v>1.5874506062</v>
      </c>
      <c r="H433">
        <f>[5]trip_summary_region!H433</f>
        <v>4.8424815400000001E-2</v>
      </c>
      <c r="I433" t="s">
        <v>116</v>
      </c>
      <c r="J433" t="str">
        <f>[5]trip_summary_region!J433</f>
        <v>2032/33</v>
      </c>
    </row>
    <row r="434" spans="1:10" x14ac:dyDescent="0.2">
      <c r="A434" t="str">
        <f>[5]trip_summary_region!A434</f>
        <v>06 HAWKE`S BAY</v>
      </c>
      <c r="B434">
        <f>[5]trip_summary_region!B434</f>
        <v>4</v>
      </c>
      <c r="C434">
        <f>[5]trip_summary_region!C434</f>
        <v>2038</v>
      </c>
      <c r="D434">
        <f>[5]trip_summary_region!D434</f>
        <v>4</v>
      </c>
      <c r="E434">
        <f>[5]trip_summary_region!E434</f>
        <v>8</v>
      </c>
      <c r="F434">
        <f>[5]trip_summary_region!F434</f>
        <v>0.30471381240000001</v>
      </c>
      <c r="G434">
        <f>[5]trip_summary_region!G434</f>
        <v>1.4540046515</v>
      </c>
      <c r="H434">
        <f>[5]trip_summary_region!H434</f>
        <v>4.4135964299999997E-2</v>
      </c>
      <c r="I434" t="s">
        <v>116</v>
      </c>
      <c r="J434" t="str">
        <f>[5]trip_summary_region!J434</f>
        <v>2037/38</v>
      </c>
    </row>
    <row r="435" spans="1:10" x14ac:dyDescent="0.2">
      <c r="A435" t="str">
        <f>[5]trip_summary_region!A435</f>
        <v>06 HAWKE`S BAY</v>
      </c>
      <c r="B435">
        <f>[5]trip_summary_region!B435</f>
        <v>4</v>
      </c>
      <c r="C435">
        <f>[5]trip_summary_region!C435</f>
        <v>2043</v>
      </c>
      <c r="D435">
        <f>[5]trip_summary_region!D435</f>
        <v>4</v>
      </c>
      <c r="E435">
        <f>[5]trip_summary_region!E435</f>
        <v>8</v>
      </c>
      <c r="F435">
        <f>[5]trip_summary_region!F435</f>
        <v>0.25969020929999997</v>
      </c>
      <c r="G435">
        <f>[5]trip_summary_region!G435</f>
        <v>1.2925164807</v>
      </c>
      <c r="H435">
        <f>[5]trip_summary_region!H435</f>
        <v>3.7666103200000002E-2</v>
      </c>
      <c r="I435" t="s">
        <v>116</v>
      </c>
      <c r="J435" t="str">
        <f>[5]trip_summary_region!J435</f>
        <v>2042/43</v>
      </c>
    </row>
    <row r="436" spans="1:10" x14ac:dyDescent="0.2">
      <c r="A436" t="str">
        <f>[5]trip_summary_region!A436</f>
        <v>06 HAWKE`S BAY</v>
      </c>
      <c r="B436">
        <f>[5]trip_summary_region!B436</f>
        <v>5</v>
      </c>
      <c r="C436">
        <f>[5]trip_summary_region!C436</f>
        <v>2013</v>
      </c>
      <c r="D436">
        <f>[5]trip_summary_region!D436</f>
        <v>6</v>
      </c>
      <c r="E436">
        <f>[5]trip_summary_region!E436</f>
        <v>19</v>
      </c>
      <c r="F436">
        <f>[5]trip_summary_region!F436</f>
        <v>0.65061969099999994</v>
      </c>
      <c r="G436">
        <f>[5]trip_summary_region!G436</f>
        <v>3.0321841239</v>
      </c>
      <c r="H436">
        <f>[5]trip_summary_region!H436</f>
        <v>0.11763194120000001</v>
      </c>
      <c r="I436" t="str">
        <f>[5]trip_summary_region!I436</f>
        <v>Motorcyclist</v>
      </c>
      <c r="J436" t="str">
        <f>[5]trip_summary_region!J436</f>
        <v>2012/13</v>
      </c>
    </row>
    <row r="437" spans="1:10" x14ac:dyDescent="0.2">
      <c r="A437" t="str">
        <f>[5]trip_summary_region!A437</f>
        <v>06 HAWKE`S BAY</v>
      </c>
      <c r="B437">
        <f>[5]trip_summary_region!B437</f>
        <v>5</v>
      </c>
      <c r="C437">
        <f>[5]trip_summary_region!C437</f>
        <v>2018</v>
      </c>
      <c r="D437">
        <f>[5]trip_summary_region!D437</f>
        <v>6</v>
      </c>
      <c r="E437">
        <f>[5]trip_summary_region!E437</f>
        <v>19</v>
      </c>
      <c r="F437">
        <f>[5]trip_summary_region!F437</f>
        <v>0.56268429389999997</v>
      </c>
      <c r="G437">
        <f>[5]trip_summary_region!G437</f>
        <v>2.9542272621999999</v>
      </c>
      <c r="H437">
        <f>[5]trip_summary_region!H437</f>
        <v>0.10360596919999999</v>
      </c>
      <c r="I437" t="str">
        <f>[5]trip_summary_region!I437</f>
        <v>Motorcyclist</v>
      </c>
      <c r="J437" t="str">
        <f>[5]trip_summary_region!J437</f>
        <v>2017/18</v>
      </c>
    </row>
    <row r="438" spans="1:10" x14ac:dyDescent="0.2">
      <c r="A438" t="str">
        <f>[5]trip_summary_region!A438</f>
        <v>06 HAWKE`S BAY</v>
      </c>
      <c r="B438">
        <f>[5]trip_summary_region!B438</f>
        <v>5</v>
      </c>
      <c r="C438">
        <f>[5]trip_summary_region!C438</f>
        <v>2023</v>
      </c>
      <c r="D438">
        <f>[5]trip_summary_region!D438</f>
        <v>6</v>
      </c>
      <c r="E438">
        <f>[5]trip_summary_region!E438</f>
        <v>19</v>
      </c>
      <c r="F438">
        <f>[5]trip_summary_region!F438</f>
        <v>0.49586737190000002</v>
      </c>
      <c r="G438">
        <f>[5]trip_summary_region!G438</f>
        <v>2.9146494843999999</v>
      </c>
      <c r="H438">
        <f>[5]trip_summary_region!H438</f>
        <v>9.65029949E-2</v>
      </c>
      <c r="I438" t="str">
        <f>[5]trip_summary_region!I438</f>
        <v>Motorcyclist</v>
      </c>
      <c r="J438" t="str">
        <f>[5]trip_summary_region!J438</f>
        <v>2022/23</v>
      </c>
    </row>
    <row r="439" spans="1:10" x14ac:dyDescent="0.2">
      <c r="A439" t="str">
        <f>[5]trip_summary_region!A439</f>
        <v>06 HAWKE`S BAY</v>
      </c>
      <c r="B439">
        <f>[5]trip_summary_region!B439</f>
        <v>5</v>
      </c>
      <c r="C439">
        <f>[5]trip_summary_region!C439</f>
        <v>2028</v>
      </c>
      <c r="D439">
        <f>[5]trip_summary_region!D439</f>
        <v>6</v>
      </c>
      <c r="E439">
        <f>[5]trip_summary_region!E439</f>
        <v>19</v>
      </c>
      <c r="F439">
        <f>[5]trip_summary_region!F439</f>
        <v>0.43699670899999998</v>
      </c>
      <c r="G439">
        <f>[5]trip_summary_region!G439</f>
        <v>2.6259315085999999</v>
      </c>
      <c r="H439">
        <f>[5]trip_summary_region!H439</f>
        <v>8.7309250699999993E-2</v>
      </c>
      <c r="I439" t="str">
        <f>[5]trip_summary_region!I439</f>
        <v>Motorcyclist</v>
      </c>
      <c r="J439" t="str">
        <f>[5]trip_summary_region!J439</f>
        <v>2027/28</v>
      </c>
    </row>
    <row r="440" spans="1:10" x14ac:dyDescent="0.2">
      <c r="A440" t="str">
        <f>[5]trip_summary_region!A440</f>
        <v>06 HAWKE`S BAY</v>
      </c>
      <c r="B440">
        <f>[5]trip_summary_region!B440</f>
        <v>5</v>
      </c>
      <c r="C440">
        <f>[5]trip_summary_region!C440</f>
        <v>2033</v>
      </c>
      <c r="D440">
        <f>[5]trip_summary_region!D440</f>
        <v>6</v>
      </c>
      <c r="E440">
        <f>[5]trip_summary_region!E440</f>
        <v>19</v>
      </c>
      <c r="F440">
        <f>[5]trip_summary_region!F440</f>
        <v>0.37858385880000001</v>
      </c>
      <c r="G440">
        <f>[5]trip_summary_region!G440</f>
        <v>2.3340800031</v>
      </c>
      <c r="H440">
        <f>[5]trip_summary_region!H440</f>
        <v>7.6741086799999997E-2</v>
      </c>
      <c r="I440" t="str">
        <f>[5]trip_summary_region!I440</f>
        <v>Motorcyclist</v>
      </c>
      <c r="J440" t="str">
        <f>[5]trip_summary_region!J440</f>
        <v>2032/33</v>
      </c>
    </row>
    <row r="441" spans="1:10" x14ac:dyDescent="0.2">
      <c r="A441" t="str">
        <f>[5]trip_summary_region!A441</f>
        <v>06 HAWKE`S BAY</v>
      </c>
      <c r="B441">
        <f>[5]trip_summary_region!B441</f>
        <v>5</v>
      </c>
      <c r="C441">
        <f>[5]trip_summary_region!C441</f>
        <v>2038</v>
      </c>
      <c r="D441">
        <f>[5]trip_summary_region!D441</f>
        <v>6</v>
      </c>
      <c r="E441">
        <f>[5]trip_summary_region!E441</f>
        <v>19</v>
      </c>
      <c r="F441">
        <f>[5]trip_summary_region!F441</f>
        <v>0.33150135200000003</v>
      </c>
      <c r="G441">
        <f>[5]trip_summary_region!G441</f>
        <v>2.122583691</v>
      </c>
      <c r="H441">
        <f>[5]trip_summary_region!H441</f>
        <v>7.0237036500000002E-2</v>
      </c>
      <c r="I441" t="str">
        <f>[5]trip_summary_region!I441</f>
        <v>Motorcyclist</v>
      </c>
      <c r="J441" t="str">
        <f>[5]trip_summary_region!J441</f>
        <v>2037/38</v>
      </c>
    </row>
    <row r="442" spans="1:10" x14ac:dyDescent="0.2">
      <c r="A442" t="str">
        <f>[5]trip_summary_region!A442</f>
        <v>06 HAWKE`S BAY</v>
      </c>
      <c r="B442">
        <f>[5]trip_summary_region!B442</f>
        <v>5</v>
      </c>
      <c r="C442">
        <f>[5]trip_summary_region!C442</f>
        <v>2043</v>
      </c>
      <c r="D442">
        <f>[5]trip_summary_region!D442</f>
        <v>6</v>
      </c>
      <c r="E442">
        <f>[5]trip_summary_region!E442</f>
        <v>19</v>
      </c>
      <c r="F442">
        <f>[5]trip_summary_region!F442</f>
        <v>0.29141081600000002</v>
      </c>
      <c r="G442">
        <f>[5]trip_summary_region!G442</f>
        <v>1.9429965157</v>
      </c>
      <c r="H442">
        <f>[5]trip_summary_region!H442</f>
        <v>6.4651145199999996E-2</v>
      </c>
      <c r="I442" t="str">
        <f>[5]trip_summary_region!I442</f>
        <v>Motorcyclist</v>
      </c>
      <c r="J442" t="str">
        <f>[5]trip_summary_region!J442</f>
        <v>2042/43</v>
      </c>
    </row>
    <row r="443" spans="1:10" x14ac:dyDescent="0.2">
      <c r="A443" t="str">
        <f>[5]trip_summary_region!A443</f>
        <v>06 HAWKE`S BAY</v>
      </c>
      <c r="B443">
        <f>[5]trip_summary_region!B443</f>
        <v>7</v>
      </c>
      <c r="C443">
        <f>[5]trip_summary_region!C443</f>
        <v>2013</v>
      </c>
      <c r="D443">
        <f>[5]trip_summary_region!D443</f>
        <v>50</v>
      </c>
      <c r="E443">
        <f>[5]trip_summary_region!E443</f>
        <v>142</v>
      </c>
      <c r="F443">
        <f>[5]trip_summary_region!F443</f>
        <v>4.5218645043999999</v>
      </c>
      <c r="G443">
        <f>[5]trip_summary_region!G443</f>
        <v>39.591997026999998</v>
      </c>
      <c r="H443">
        <f>[5]trip_summary_region!H443</f>
        <v>1.3660147812000001</v>
      </c>
      <c r="I443" t="str">
        <f>[5]trip_summary_region!I443</f>
        <v>Local Bus</v>
      </c>
      <c r="J443" t="str">
        <f>[5]trip_summary_region!J443</f>
        <v>2012/13</v>
      </c>
    </row>
    <row r="444" spans="1:10" x14ac:dyDescent="0.2">
      <c r="A444" t="str">
        <f>[5]trip_summary_region!A444</f>
        <v>06 HAWKE`S BAY</v>
      </c>
      <c r="B444">
        <f>[5]trip_summary_region!B444</f>
        <v>7</v>
      </c>
      <c r="C444">
        <f>[5]trip_summary_region!C444</f>
        <v>2018</v>
      </c>
      <c r="D444">
        <f>[5]trip_summary_region!D444</f>
        <v>50</v>
      </c>
      <c r="E444">
        <f>[5]trip_summary_region!E444</f>
        <v>142</v>
      </c>
      <c r="F444">
        <f>[5]trip_summary_region!F444</f>
        <v>4.2128943276999999</v>
      </c>
      <c r="G444">
        <f>[5]trip_summary_region!G444</f>
        <v>35.820083236999999</v>
      </c>
      <c r="H444">
        <f>[5]trip_summary_region!H444</f>
        <v>1.2779562759</v>
      </c>
      <c r="I444" t="str">
        <f>[5]trip_summary_region!I444</f>
        <v>Local Bus</v>
      </c>
      <c r="J444" t="str">
        <f>[5]trip_summary_region!J444</f>
        <v>2017/18</v>
      </c>
    </row>
    <row r="445" spans="1:10" x14ac:dyDescent="0.2">
      <c r="A445" t="str">
        <f>[5]trip_summary_region!A445</f>
        <v>06 HAWKE`S BAY</v>
      </c>
      <c r="B445">
        <f>[5]trip_summary_region!B445</f>
        <v>7</v>
      </c>
      <c r="C445">
        <f>[5]trip_summary_region!C445</f>
        <v>2023</v>
      </c>
      <c r="D445">
        <f>[5]trip_summary_region!D445</f>
        <v>50</v>
      </c>
      <c r="E445">
        <f>[5]trip_summary_region!E445</f>
        <v>142</v>
      </c>
      <c r="F445">
        <f>[5]trip_summary_region!F445</f>
        <v>4.3603953235999997</v>
      </c>
      <c r="G445">
        <f>[5]trip_summary_region!G445</f>
        <v>35.956778356000001</v>
      </c>
      <c r="H445">
        <f>[5]trip_summary_region!H445</f>
        <v>1.3255580378</v>
      </c>
      <c r="I445" t="str">
        <f>[5]trip_summary_region!I445</f>
        <v>Local Bus</v>
      </c>
      <c r="J445" t="str">
        <f>[5]trip_summary_region!J445</f>
        <v>2022/23</v>
      </c>
    </row>
    <row r="446" spans="1:10" x14ac:dyDescent="0.2">
      <c r="A446" t="str">
        <f>[5]trip_summary_region!A446</f>
        <v>06 HAWKE`S BAY</v>
      </c>
      <c r="B446">
        <f>[5]trip_summary_region!B446</f>
        <v>7</v>
      </c>
      <c r="C446">
        <f>[5]trip_summary_region!C446</f>
        <v>2028</v>
      </c>
      <c r="D446">
        <f>[5]trip_summary_region!D446</f>
        <v>50</v>
      </c>
      <c r="E446">
        <f>[5]trip_summary_region!E446</f>
        <v>142</v>
      </c>
      <c r="F446">
        <f>[5]trip_summary_region!F446</f>
        <v>4.4003058816999996</v>
      </c>
      <c r="G446">
        <f>[5]trip_summary_region!G446</f>
        <v>36.433417120000001</v>
      </c>
      <c r="H446">
        <f>[5]trip_summary_region!H446</f>
        <v>1.3360469043000001</v>
      </c>
      <c r="I446" t="str">
        <f>[5]trip_summary_region!I446</f>
        <v>Local Bus</v>
      </c>
      <c r="J446" t="str">
        <f>[5]trip_summary_region!J446</f>
        <v>2027/28</v>
      </c>
    </row>
    <row r="447" spans="1:10" x14ac:dyDescent="0.2">
      <c r="A447" t="str">
        <f>[5]trip_summary_region!A447</f>
        <v>06 HAWKE`S BAY</v>
      </c>
      <c r="B447">
        <f>[5]trip_summary_region!B447</f>
        <v>7</v>
      </c>
      <c r="C447">
        <f>[5]trip_summary_region!C447</f>
        <v>2033</v>
      </c>
      <c r="D447">
        <f>[5]trip_summary_region!D447</f>
        <v>50</v>
      </c>
      <c r="E447">
        <f>[5]trip_summary_region!E447</f>
        <v>142</v>
      </c>
      <c r="F447">
        <f>[5]trip_summary_region!F447</f>
        <v>4.3032782383999999</v>
      </c>
      <c r="G447">
        <f>[5]trip_summary_region!G447</f>
        <v>35.806194775000002</v>
      </c>
      <c r="H447">
        <f>[5]trip_summary_region!H447</f>
        <v>1.3020808343000001</v>
      </c>
      <c r="I447" t="str">
        <f>[5]trip_summary_region!I447</f>
        <v>Local Bus</v>
      </c>
      <c r="J447" t="str">
        <f>[5]trip_summary_region!J447</f>
        <v>2032/33</v>
      </c>
    </row>
    <row r="448" spans="1:10" x14ac:dyDescent="0.2">
      <c r="A448" t="str">
        <f>[5]trip_summary_region!A448</f>
        <v>06 HAWKE`S BAY</v>
      </c>
      <c r="B448">
        <f>[5]trip_summary_region!B448</f>
        <v>7</v>
      </c>
      <c r="C448">
        <f>[5]trip_summary_region!C448</f>
        <v>2038</v>
      </c>
      <c r="D448">
        <f>[5]trip_summary_region!D448</f>
        <v>50</v>
      </c>
      <c r="E448">
        <f>[5]trip_summary_region!E448</f>
        <v>142</v>
      </c>
      <c r="F448">
        <f>[5]trip_summary_region!F448</f>
        <v>4.2865295565999997</v>
      </c>
      <c r="G448">
        <f>[5]trip_summary_region!G448</f>
        <v>35.890975459000003</v>
      </c>
      <c r="H448">
        <f>[5]trip_summary_region!H448</f>
        <v>1.2966185906000001</v>
      </c>
      <c r="I448" t="str">
        <f>[5]trip_summary_region!I448</f>
        <v>Local Bus</v>
      </c>
      <c r="J448" t="str">
        <f>[5]trip_summary_region!J448</f>
        <v>2037/38</v>
      </c>
    </row>
    <row r="449" spans="1:10" x14ac:dyDescent="0.2">
      <c r="A449" t="str">
        <f>[5]trip_summary_region!A449</f>
        <v>06 HAWKE`S BAY</v>
      </c>
      <c r="B449">
        <f>[5]trip_summary_region!B449</f>
        <v>7</v>
      </c>
      <c r="C449">
        <f>[5]trip_summary_region!C449</f>
        <v>2043</v>
      </c>
      <c r="D449">
        <f>[5]trip_summary_region!D449</f>
        <v>50</v>
      </c>
      <c r="E449">
        <f>[5]trip_summary_region!E449</f>
        <v>142</v>
      </c>
      <c r="F449">
        <f>[5]trip_summary_region!F449</f>
        <v>4.2449323743000003</v>
      </c>
      <c r="G449">
        <f>[5]trip_summary_region!G449</f>
        <v>35.774455017000001</v>
      </c>
      <c r="H449">
        <f>[5]trip_summary_region!H449</f>
        <v>1.2828472934999999</v>
      </c>
      <c r="I449" t="str">
        <f>[5]trip_summary_region!I449</f>
        <v>Local Bus</v>
      </c>
      <c r="J449" t="str">
        <f>[5]trip_summary_region!J449</f>
        <v>2042/43</v>
      </c>
    </row>
    <row r="450" spans="1:10" x14ac:dyDescent="0.2">
      <c r="A450" t="str">
        <f>[5]trip_summary_region!A450</f>
        <v>06 HAWKE`S BAY</v>
      </c>
      <c r="B450">
        <f>[5]trip_summary_region!B450</f>
        <v>9</v>
      </c>
      <c r="C450">
        <f>[5]trip_summary_region!C450</f>
        <v>2013</v>
      </c>
      <c r="D450">
        <f>[5]trip_summary_region!D450</f>
        <v>3</v>
      </c>
      <c r="E450">
        <f>[5]trip_summary_region!E450</f>
        <v>10</v>
      </c>
      <c r="F450">
        <f>[5]trip_summary_region!F450</f>
        <v>0.49138149730000003</v>
      </c>
      <c r="G450">
        <f>[5]trip_summary_region!G450</f>
        <v>0</v>
      </c>
      <c r="H450">
        <f>[5]trip_summary_region!H450</f>
        <v>0.15778150060000001</v>
      </c>
      <c r="I450" t="str">
        <f>[5]trip_summary_region!I450</f>
        <v>Other Household Travel</v>
      </c>
      <c r="J450" t="str">
        <f>[5]trip_summary_region!J450</f>
        <v>2012/13</v>
      </c>
    </row>
    <row r="451" spans="1:10" x14ac:dyDescent="0.2">
      <c r="A451" t="str">
        <f>[5]trip_summary_region!A451</f>
        <v>06 HAWKE`S BAY</v>
      </c>
      <c r="B451">
        <f>[5]trip_summary_region!B451</f>
        <v>9</v>
      </c>
      <c r="C451">
        <f>[5]trip_summary_region!C451</f>
        <v>2018</v>
      </c>
      <c r="D451">
        <f>[5]trip_summary_region!D451</f>
        <v>3</v>
      </c>
      <c r="E451">
        <f>[5]trip_summary_region!E451</f>
        <v>10</v>
      </c>
      <c r="F451">
        <f>[5]trip_summary_region!F451</f>
        <v>0.50665771959999995</v>
      </c>
      <c r="G451">
        <f>[5]trip_summary_region!G451</f>
        <v>0</v>
      </c>
      <c r="H451">
        <f>[5]trip_summary_region!H451</f>
        <v>0.15860784310000001</v>
      </c>
      <c r="I451" t="str">
        <f>[5]trip_summary_region!I451</f>
        <v>Other Household Travel</v>
      </c>
      <c r="J451" t="str">
        <f>[5]trip_summary_region!J451</f>
        <v>2017/18</v>
      </c>
    </row>
    <row r="452" spans="1:10" x14ac:dyDescent="0.2">
      <c r="A452" t="str">
        <f>[5]trip_summary_region!A452</f>
        <v>06 HAWKE`S BAY</v>
      </c>
      <c r="B452">
        <f>[5]trip_summary_region!B452</f>
        <v>9</v>
      </c>
      <c r="C452">
        <f>[5]trip_summary_region!C452</f>
        <v>2023</v>
      </c>
      <c r="D452">
        <f>[5]trip_summary_region!D452</f>
        <v>3</v>
      </c>
      <c r="E452">
        <f>[5]trip_summary_region!E452</f>
        <v>10</v>
      </c>
      <c r="F452">
        <f>[5]trip_summary_region!F452</f>
        <v>0.5787658242</v>
      </c>
      <c r="G452">
        <f>[5]trip_summary_region!G452</f>
        <v>0</v>
      </c>
      <c r="H452">
        <f>[5]trip_summary_region!H452</f>
        <v>0.1780779542</v>
      </c>
      <c r="I452" t="str">
        <f>[5]trip_summary_region!I452</f>
        <v>Other Household Travel</v>
      </c>
      <c r="J452" t="str">
        <f>[5]trip_summary_region!J452</f>
        <v>2022/23</v>
      </c>
    </row>
    <row r="453" spans="1:10" x14ac:dyDescent="0.2">
      <c r="A453" t="str">
        <f>[5]trip_summary_region!A453</f>
        <v>06 HAWKE`S BAY</v>
      </c>
      <c r="B453">
        <f>[5]trip_summary_region!B453</f>
        <v>9</v>
      </c>
      <c r="C453">
        <f>[5]trip_summary_region!C453</f>
        <v>2028</v>
      </c>
      <c r="D453">
        <f>[5]trip_summary_region!D453</f>
        <v>3</v>
      </c>
      <c r="E453">
        <f>[5]trip_summary_region!E453</f>
        <v>10</v>
      </c>
      <c r="F453">
        <f>[5]trip_summary_region!F453</f>
        <v>0.67262502700000004</v>
      </c>
      <c r="G453">
        <f>[5]trip_summary_region!G453</f>
        <v>0</v>
      </c>
      <c r="H453">
        <f>[5]trip_summary_region!H453</f>
        <v>0.20079019040000001</v>
      </c>
      <c r="I453" t="str">
        <f>[5]trip_summary_region!I453</f>
        <v>Other Household Travel</v>
      </c>
      <c r="J453" t="str">
        <f>[5]trip_summary_region!J453</f>
        <v>2027/28</v>
      </c>
    </row>
    <row r="454" spans="1:10" x14ac:dyDescent="0.2">
      <c r="A454" t="str">
        <f>[5]trip_summary_region!A454</f>
        <v>06 HAWKE`S BAY</v>
      </c>
      <c r="B454">
        <f>[5]trip_summary_region!B454</f>
        <v>9</v>
      </c>
      <c r="C454">
        <f>[5]trip_summary_region!C454</f>
        <v>2033</v>
      </c>
      <c r="D454">
        <f>[5]trip_summary_region!D454</f>
        <v>3</v>
      </c>
      <c r="E454">
        <f>[5]trip_summary_region!E454</f>
        <v>10</v>
      </c>
      <c r="F454">
        <f>[5]trip_summary_region!F454</f>
        <v>0.75037808930000005</v>
      </c>
      <c r="G454">
        <f>[5]trip_summary_region!G454</f>
        <v>0</v>
      </c>
      <c r="H454">
        <f>[5]trip_summary_region!H454</f>
        <v>0.21856149010000001</v>
      </c>
      <c r="I454" t="str">
        <f>[5]trip_summary_region!I454</f>
        <v>Other Household Travel</v>
      </c>
      <c r="J454" t="str">
        <f>[5]trip_summary_region!J454</f>
        <v>2032/33</v>
      </c>
    </row>
    <row r="455" spans="1:10" x14ac:dyDescent="0.2">
      <c r="A455" t="str">
        <f>[5]trip_summary_region!A455</f>
        <v>06 HAWKE`S BAY</v>
      </c>
      <c r="B455">
        <f>[5]trip_summary_region!B455</f>
        <v>9</v>
      </c>
      <c r="C455">
        <f>[5]trip_summary_region!C455</f>
        <v>2038</v>
      </c>
      <c r="D455">
        <f>[5]trip_summary_region!D455</f>
        <v>3</v>
      </c>
      <c r="E455">
        <f>[5]trip_summary_region!E455</f>
        <v>10</v>
      </c>
      <c r="F455">
        <f>[5]trip_summary_region!F455</f>
        <v>0.83222729689999997</v>
      </c>
      <c r="G455">
        <f>[5]trip_summary_region!G455</f>
        <v>0</v>
      </c>
      <c r="H455">
        <f>[5]trip_summary_region!H455</f>
        <v>0.23916129119999999</v>
      </c>
      <c r="I455" t="str">
        <f>[5]trip_summary_region!I455</f>
        <v>Other Household Travel</v>
      </c>
      <c r="J455" t="str">
        <f>[5]trip_summary_region!J455</f>
        <v>2037/38</v>
      </c>
    </row>
    <row r="456" spans="1:10" x14ac:dyDescent="0.2">
      <c r="A456" t="str">
        <f>[5]trip_summary_region!A456</f>
        <v>06 HAWKE`S BAY</v>
      </c>
      <c r="B456">
        <f>[5]trip_summary_region!B456</f>
        <v>9</v>
      </c>
      <c r="C456">
        <f>[5]trip_summary_region!C456</f>
        <v>2043</v>
      </c>
      <c r="D456">
        <f>[5]trip_summary_region!D456</f>
        <v>3</v>
      </c>
      <c r="E456">
        <f>[5]trip_summary_region!E456</f>
        <v>10</v>
      </c>
      <c r="F456">
        <f>[5]trip_summary_region!F456</f>
        <v>0.91127611720000001</v>
      </c>
      <c r="G456">
        <f>[5]trip_summary_region!G456</f>
        <v>0</v>
      </c>
      <c r="H456">
        <f>[5]trip_summary_region!H456</f>
        <v>0.25893084220000001</v>
      </c>
      <c r="I456" t="str">
        <f>[5]trip_summary_region!I456</f>
        <v>Other Household Travel</v>
      </c>
      <c r="J456" t="str">
        <f>[5]trip_summary_region!J456</f>
        <v>2042/43</v>
      </c>
    </row>
    <row r="457" spans="1:10" x14ac:dyDescent="0.2">
      <c r="A457" t="str">
        <f>[5]trip_summary_region!A457</f>
        <v>06 HAWKE`S BAY</v>
      </c>
      <c r="B457">
        <f>[5]trip_summary_region!B457</f>
        <v>10</v>
      </c>
      <c r="C457">
        <f>[5]trip_summary_region!C457</f>
        <v>2013</v>
      </c>
      <c r="D457">
        <f>[5]trip_summary_region!D457</f>
        <v>3</v>
      </c>
      <c r="E457">
        <f>[5]trip_summary_region!E457</f>
        <v>5</v>
      </c>
      <c r="F457">
        <f>[5]trip_summary_region!F457</f>
        <v>0.36260942909999999</v>
      </c>
      <c r="G457">
        <f>[5]trip_summary_region!G457</f>
        <v>56.865163273</v>
      </c>
      <c r="H457">
        <f>[5]trip_summary_region!H457</f>
        <v>0.96259589999999995</v>
      </c>
      <c r="I457" t="str">
        <f>[5]trip_summary_region!I457</f>
        <v>Air/Non-Local PT</v>
      </c>
      <c r="J457" t="str">
        <f>[5]trip_summary_region!J457</f>
        <v>2012/13</v>
      </c>
    </row>
    <row r="458" spans="1:10" x14ac:dyDescent="0.2">
      <c r="A458" t="str">
        <f>[5]trip_summary_region!A458</f>
        <v>06 HAWKE`S BAY</v>
      </c>
      <c r="B458">
        <f>[5]trip_summary_region!B458</f>
        <v>10</v>
      </c>
      <c r="C458">
        <f>[5]trip_summary_region!C458</f>
        <v>2018</v>
      </c>
      <c r="D458">
        <f>[5]trip_summary_region!D458</f>
        <v>3</v>
      </c>
      <c r="E458">
        <f>[5]trip_summary_region!E458</f>
        <v>5</v>
      </c>
      <c r="F458">
        <f>[5]trip_summary_region!F458</f>
        <v>0.37865470690000003</v>
      </c>
      <c r="G458">
        <f>[5]trip_summary_region!G458</f>
        <v>59.005874759999998</v>
      </c>
      <c r="H458">
        <f>[5]trip_summary_region!H458</f>
        <v>1.0009403754999999</v>
      </c>
      <c r="I458" t="str">
        <f>[5]trip_summary_region!I458</f>
        <v>Air/Non-Local PT</v>
      </c>
      <c r="J458" t="str">
        <f>[5]trip_summary_region!J458</f>
        <v>2017/18</v>
      </c>
    </row>
    <row r="459" spans="1:10" x14ac:dyDescent="0.2">
      <c r="A459" t="str">
        <f>[5]trip_summary_region!A459</f>
        <v>06 HAWKE`S BAY</v>
      </c>
      <c r="B459">
        <f>[5]trip_summary_region!B459</f>
        <v>10</v>
      </c>
      <c r="C459">
        <f>[5]trip_summary_region!C459</f>
        <v>2023</v>
      </c>
      <c r="D459">
        <f>[5]trip_summary_region!D459</f>
        <v>3</v>
      </c>
      <c r="E459">
        <f>[5]trip_summary_region!E459</f>
        <v>5</v>
      </c>
      <c r="F459">
        <f>[5]trip_summary_region!F459</f>
        <v>0.41666653669999998</v>
      </c>
      <c r="G459">
        <f>[5]trip_summary_region!G459</f>
        <v>63.827006976</v>
      </c>
      <c r="H459">
        <f>[5]trip_summary_region!H459</f>
        <v>1.0891469415999999</v>
      </c>
      <c r="I459" t="str">
        <f>[5]trip_summary_region!I459</f>
        <v>Air/Non-Local PT</v>
      </c>
      <c r="J459" t="str">
        <f>[5]trip_summary_region!J459</f>
        <v>2022/23</v>
      </c>
    </row>
    <row r="460" spans="1:10" x14ac:dyDescent="0.2">
      <c r="A460" t="str">
        <f>[5]trip_summary_region!A460</f>
        <v>06 HAWKE`S BAY</v>
      </c>
      <c r="B460">
        <f>[5]trip_summary_region!B460</f>
        <v>10</v>
      </c>
      <c r="C460">
        <f>[5]trip_summary_region!C460</f>
        <v>2028</v>
      </c>
      <c r="D460">
        <f>[5]trip_summary_region!D460</f>
        <v>3</v>
      </c>
      <c r="E460">
        <f>[5]trip_summary_region!E460</f>
        <v>5</v>
      </c>
      <c r="F460">
        <f>[5]trip_summary_region!F460</f>
        <v>0.40107805790000001</v>
      </c>
      <c r="G460">
        <f>[5]trip_summary_region!G460</f>
        <v>61.406468627000002</v>
      </c>
      <c r="H460">
        <f>[5]trip_summary_region!H460</f>
        <v>1.0469769582999999</v>
      </c>
      <c r="I460" t="str">
        <f>[5]trip_summary_region!I460</f>
        <v>Air/Non-Local PT</v>
      </c>
      <c r="J460" t="str">
        <f>[5]trip_summary_region!J460</f>
        <v>2027/28</v>
      </c>
    </row>
    <row r="461" spans="1:10" x14ac:dyDescent="0.2">
      <c r="A461" t="str">
        <f>[5]trip_summary_region!A461</f>
        <v>06 HAWKE`S BAY</v>
      </c>
      <c r="B461">
        <f>[5]trip_summary_region!B461</f>
        <v>10</v>
      </c>
      <c r="C461">
        <f>[5]trip_summary_region!C461</f>
        <v>2033</v>
      </c>
      <c r="D461">
        <f>[5]trip_summary_region!D461</f>
        <v>3</v>
      </c>
      <c r="E461">
        <f>[5]trip_summary_region!E461</f>
        <v>5</v>
      </c>
      <c r="F461">
        <f>[5]trip_summary_region!F461</f>
        <v>0.37808810250000002</v>
      </c>
      <c r="G461">
        <f>[5]trip_summary_region!G461</f>
        <v>58.153289202000003</v>
      </c>
      <c r="H461">
        <f>[5]trip_summary_region!H461</f>
        <v>0.98928074889999995</v>
      </c>
      <c r="I461" t="str">
        <f>[5]trip_summary_region!I461</f>
        <v>Air/Non-Local PT</v>
      </c>
      <c r="J461" t="str">
        <f>[5]trip_summary_region!J461</f>
        <v>2032/33</v>
      </c>
    </row>
    <row r="462" spans="1:10" x14ac:dyDescent="0.2">
      <c r="A462" t="str">
        <f>[5]trip_summary_region!A462</f>
        <v>06 HAWKE`S BAY</v>
      </c>
      <c r="B462">
        <f>[5]trip_summary_region!B462</f>
        <v>10</v>
      </c>
      <c r="C462">
        <f>[5]trip_summary_region!C462</f>
        <v>2038</v>
      </c>
      <c r="D462">
        <f>[5]trip_summary_region!D462</f>
        <v>3</v>
      </c>
      <c r="E462">
        <f>[5]trip_summary_region!E462</f>
        <v>5</v>
      </c>
      <c r="F462">
        <f>[5]trip_summary_region!F462</f>
        <v>0.35679981919999998</v>
      </c>
      <c r="G462">
        <f>[5]trip_summary_region!G462</f>
        <v>57.484597776999998</v>
      </c>
      <c r="H462">
        <f>[5]trip_summary_region!H462</f>
        <v>0.959934124</v>
      </c>
      <c r="I462" t="str">
        <f>[5]trip_summary_region!I462</f>
        <v>Air/Non-Local PT</v>
      </c>
      <c r="J462" t="str">
        <f>[5]trip_summary_region!J462</f>
        <v>2037/38</v>
      </c>
    </row>
    <row r="463" spans="1:10" x14ac:dyDescent="0.2">
      <c r="A463" t="str">
        <f>[5]trip_summary_region!A463</f>
        <v>06 HAWKE`S BAY</v>
      </c>
      <c r="B463">
        <f>[5]trip_summary_region!B463</f>
        <v>10</v>
      </c>
      <c r="C463">
        <f>[5]trip_summary_region!C463</f>
        <v>2043</v>
      </c>
      <c r="D463">
        <f>[5]trip_summary_region!D463</f>
        <v>3</v>
      </c>
      <c r="E463">
        <f>[5]trip_summary_region!E463</f>
        <v>5</v>
      </c>
      <c r="F463">
        <f>[5]trip_summary_region!F463</f>
        <v>0.3295314573</v>
      </c>
      <c r="G463">
        <f>[5]trip_summary_region!G463</f>
        <v>55.980426549999997</v>
      </c>
      <c r="H463">
        <f>[5]trip_summary_region!H463</f>
        <v>0.91580033319999998</v>
      </c>
      <c r="I463" t="str">
        <f>[5]trip_summary_region!I463</f>
        <v>Air/Non-Local PT</v>
      </c>
      <c r="J463" t="str">
        <f>[5]trip_summary_region!J463</f>
        <v>2042/43</v>
      </c>
    </row>
    <row r="464" spans="1:10" x14ac:dyDescent="0.2">
      <c r="A464" t="str">
        <f>[5]trip_summary_region!A464</f>
        <v>06 HAWKE`S BAY</v>
      </c>
      <c r="B464">
        <f>[5]trip_summary_region!B464</f>
        <v>11</v>
      </c>
      <c r="C464">
        <f>[5]trip_summary_region!C464</f>
        <v>2013</v>
      </c>
      <c r="D464">
        <f>[5]trip_summary_region!D464</f>
        <v>8</v>
      </c>
      <c r="E464">
        <f>[5]trip_summary_region!E464</f>
        <v>27</v>
      </c>
      <c r="F464">
        <f>[5]trip_summary_region!F464</f>
        <v>0.84253347339999995</v>
      </c>
      <c r="G464">
        <f>[5]trip_summary_region!G464</f>
        <v>31.621733808999998</v>
      </c>
      <c r="H464">
        <f>[5]trip_summary_region!H464</f>
        <v>0.62196297879999995</v>
      </c>
      <c r="I464" t="str">
        <f>[5]trip_summary_region!I464</f>
        <v>Non-Household Travel</v>
      </c>
      <c r="J464" t="str">
        <f>[5]trip_summary_region!J464</f>
        <v>2012/13</v>
      </c>
    </row>
    <row r="465" spans="1:10" x14ac:dyDescent="0.2">
      <c r="A465" t="str">
        <f>[5]trip_summary_region!A465</f>
        <v>06 HAWKE`S BAY</v>
      </c>
      <c r="B465">
        <f>[5]trip_summary_region!B465</f>
        <v>11</v>
      </c>
      <c r="C465">
        <f>[5]trip_summary_region!C465</f>
        <v>2018</v>
      </c>
      <c r="D465">
        <f>[5]trip_summary_region!D465</f>
        <v>8</v>
      </c>
      <c r="E465">
        <f>[5]trip_summary_region!E465</f>
        <v>27</v>
      </c>
      <c r="F465">
        <f>[5]trip_summary_region!F465</f>
        <v>0.89379086969999999</v>
      </c>
      <c r="G465">
        <f>[5]trip_summary_region!G465</f>
        <v>34.505102184000002</v>
      </c>
      <c r="H465">
        <f>[5]trip_summary_region!H465</f>
        <v>0.67625827910000003</v>
      </c>
      <c r="I465" t="str">
        <f>[5]trip_summary_region!I465</f>
        <v>Non-Household Travel</v>
      </c>
      <c r="J465" t="str">
        <f>[5]trip_summary_region!J465</f>
        <v>2017/18</v>
      </c>
    </row>
    <row r="466" spans="1:10" x14ac:dyDescent="0.2">
      <c r="A466" t="str">
        <f>[5]trip_summary_region!A466</f>
        <v>06 HAWKE`S BAY</v>
      </c>
      <c r="B466">
        <f>[5]trip_summary_region!B466</f>
        <v>11</v>
      </c>
      <c r="C466">
        <f>[5]trip_summary_region!C466</f>
        <v>2023</v>
      </c>
      <c r="D466">
        <f>[5]trip_summary_region!D466</f>
        <v>8</v>
      </c>
      <c r="E466">
        <f>[5]trip_summary_region!E466</f>
        <v>27</v>
      </c>
      <c r="F466">
        <f>[5]trip_summary_region!F466</f>
        <v>1.0146238932</v>
      </c>
      <c r="G466">
        <f>[5]trip_summary_region!G466</f>
        <v>39.158363110000003</v>
      </c>
      <c r="H466">
        <f>[5]trip_summary_region!H466</f>
        <v>0.77213565470000001</v>
      </c>
      <c r="I466" t="str">
        <f>[5]trip_summary_region!I466</f>
        <v>Non-Household Travel</v>
      </c>
      <c r="J466" t="str">
        <f>[5]trip_summary_region!J466</f>
        <v>2022/23</v>
      </c>
    </row>
    <row r="467" spans="1:10" x14ac:dyDescent="0.2">
      <c r="A467" t="str">
        <f>[5]trip_summary_region!A467</f>
        <v>06 HAWKE`S BAY</v>
      </c>
      <c r="B467">
        <f>[5]trip_summary_region!B467</f>
        <v>11</v>
      </c>
      <c r="C467">
        <f>[5]trip_summary_region!C467</f>
        <v>2028</v>
      </c>
      <c r="D467">
        <f>[5]trip_summary_region!D467</f>
        <v>8</v>
      </c>
      <c r="E467">
        <f>[5]trip_summary_region!E467</f>
        <v>27</v>
      </c>
      <c r="F467">
        <f>[5]trip_summary_region!F467</f>
        <v>1.0886396595000001</v>
      </c>
      <c r="G467">
        <f>[5]trip_summary_region!G467</f>
        <v>38.935815935999997</v>
      </c>
      <c r="H467">
        <f>[5]trip_summary_region!H467</f>
        <v>0.79244041409999999</v>
      </c>
      <c r="I467" t="str">
        <f>[5]trip_summary_region!I467</f>
        <v>Non-Household Travel</v>
      </c>
      <c r="J467" t="str">
        <f>[5]trip_summary_region!J467</f>
        <v>2027/28</v>
      </c>
    </row>
    <row r="468" spans="1:10" x14ac:dyDescent="0.2">
      <c r="A468" t="str">
        <f>[5]trip_summary_region!A468</f>
        <v>06 HAWKE`S BAY</v>
      </c>
      <c r="B468">
        <f>[5]trip_summary_region!B468</f>
        <v>11</v>
      </c>
      <c r="C468">
        <f>[5]trip_summary_region!C468</f>
        <v>2033</v>
      </c>
      <c r="D468">
        <f>[5]trip_summary_region!D468</f>
        <v>8</v>
      </c>
      <c r="E468">
        <f>[5]trip_summary_region!E468</f>
        <v>27</v>
      </c>
      <c r="F468">
        <f>[5]trip_summary_region!F468</f>
        <v>1.1390990838999999</v>
      </c>
      <c r="G468">
        <f>[5]trip_summary_region!G468</f>
        <v>39.060356079000002</v>
      </c>
      <c r="H468">
        <f>[5]trip_summary_region!H468</f>
        <v>0.81333783719999997</v>
      </c>
      <c r="I468" t="str">
        <f>[5]trip_summary_region!I468</f>
        <v>Non-Household Travel</v>
      </c>
      <c r="J468" t="str">
        <f>[5]trip_summary_region!J468</f>
        <v>2032/33</v>
      </c>
    </row>
    <row r="469" spans="1:10" x14ac:dyDescent="0.2">
      <c r="A469" t="str">
        <f>[5]trip_summary_region!A469</f>
        <v>06 HAWKE`S BAY</v>
      </c>
      <c r="B469">
        <f>[5]trip_summary_region!B469</f>
        <v>11</v>
      </c>
      <c r="C469">
        <f>[5]trip_summary_region!C469</f>
        <v>2038</v>
      </c>
      <c r="D469">
        <f>[5]trip_summary_region!D469</f>
        <v>8</v>
      </c>
      <c r="E469">
        <f>[5]trip_summary_region!E469</f>
        <v>27</v>
      </c>
      <c r="F469">
        <f>[5]trip_summary_region!F469</f>
        <v>1.19897999</v>
      </c>
      <c r="G469">
        <f>[5]trip_summary_region!G469</f>
        <v>39.924970807999998</v>
      </c>
      <c r="H469">
        <f>[5]trip_summary_region!H469</f>
        <v>0.84714647440000002</v>
      </c>
      <c r="I469" t="str">
        <f>[5]trip_summary_region!I469</f>
        <v>Non-Household Travel</v>
      </c>
      <c r="J469" t="str">
        <f>[5]trip_summary_region!J469</f>
        <v>2037/38</v>
      </c>
    </row>
    <row r="470" spans="1:10" x14ac:dyDescent="0.2">
      <c r="A470" t="str">
        <f>[5]trip_summary_region!A470</f>
        <v>06 HAWKE`S BAY</v>
      </c>
      <c r="B470">
        <f>[5]trip_summary_region!B470</f>
        <v>11</v>
      </c>
      <c r="C470">
        <f>[5]trip_summary_region!C470</f>
        <v>2043</v>
      </c>
      <c r="D470">
        <f>[5]trip_summary_region!D470</f>
        <v>8</v>
      </c>
      <c r="E470">
        <f>[5]trip_summary_region!E470</f>
        <v>27</v>
      </c>
      <c r="F470">
        <f>[5]trip_summary_region!F470</f>
        <v>1.2586015548</v>
      </c>
      <c r="G470">
        <f>[5]trip_summary_region!G470</f>
        <v>40.812535404000002</v>
      </c>
      <c r="H470">
        <f>[5]trip_summary_region!H470</f>
        <v>0.88127219160000003</v>
      </c>
      <c r="I470" t="str">
        <f>[5]trip_summary_region!I470</f>
        <v>Non-Household Travel</v>
      </c>
      <c r="J470" t="str">
        <f>[5]trip_summary_region!J470</f>
        <v>2042/43</v>
      </c>
    </row>
    <row r="471" spans="1:10" x14ac:dyDescent="0.2">
      <c r="A471" t="str">
        <f>[5]trip_summary_region!A471</f>
        <v>07 TARANAKI</v>
      </c>
      <c r="B471">
        <f>[5]trip_summary_region!B471</f>
        <v>0</v>
      </c>
      <c r="C471">
        <f>[5]trip_summary_region!C471</f>
        <v>2013</v>
      </c>
      <c r="D471">
        <f>[5]trip_summary_region!D471</f>
        <v>314</v>
      </c>
      <c r="E471">
        <f>[5]trip_summary_region!E471</f>
        <v>1091</v>
      </c>
      <c r="F471">
        <f>[5]trip_summary_region!F471</f>
        <v>23.308571313000002</v>
      </c>
      <c r="G471">
        <f>[5]trip_summary_region!G471</f>
        <v>16.820589198</v>
      </c>
      <c r="H471">
        <f>[5]trip_summary_region!H471</f>
        <v>4.7547330373000003</v>
      </c>
      <c r="I471" t="str">
        <f>[5]trip_summary_region!I471</f>
        <v>Pedestrian</v>
      </c>
      <c r="J471" t="str">
        <f>[5]trip_summary_region!J471</f>
        <v>2012/13</v>
      </c>
    </row>
    <row r="472" spans="1:10" x14ac:dyDescent="0.2">
      <c r="A472" t="str">
        <f>[5]trip_summary_region!A472</f>
        <v>07 TARANAKI</v>
      </c>
      <c r="B472">
        <f>[5]trip_summary_region!B472</f>
        <v>0</v>
      </c>
      <c r="C472">
        <f>[5]trip_summary_region!C472</f>
        <v>2018</v>
      </c>
      <c r="D472">
        <f>[5]trip_summary_region!D472</f>
        <v>314</v>
      </c>
      <c r="E472">
        <f>[5]trip_summary_region!E472</f>
        <v>1091</v>
      </c>
      <c r="F472">
        <f>[5]trip_summary_region!F472</f>
        <v>22.622772427000001</v>
      </c>
      <c r="G472">
        <f>[5]trip_summary_region!G472</f>
        <v>16.476627296</v>
      </c>
      <c r="H472">
        <f>[5]trip_summary_region!H472</f>
        <v>4.4616967658000002</v>
      </c>
      <c r="I472" t="str">
        <f>[5]trip_summary_region!I472</f>
        <v>Pedestrian</v>
      </c>
      <c r="J472" t="str">
        <f>[5]trip_summary_region!J472</f>
        <v>2017/18</v>
      </c>
    </row>
    <row r="473" spans="1:10" x14ac:dyDescent="0.2">
      <c r="A473" t="str">
        <f>[5]trip_summary_region!A473</f>
        <v>07 TARANAKI</v>
      </c>
      <c r="B473">
        <f>[5]trip_summary_region!B473</f>
        <v>0</v>
      </c>
      <c r="C473">
        <f>[5]trip_summary_region!C473</f>
        <v>2023</v>
      </c>
      <c r="D473">
        <f>[5]trip_summary_region!D473</f>
        <v>314</v>
      </c>
      <c r="E473">
        <f>[5]trip_summary_region!E473</f>
        <v>1091</v>
      </c>
      <c r="F473">
        <f>[5]trip_summary_region!F473</f>
        <v>23.619524414000001</v>
      </c>
      <c r="G473">
        <f>[5]trip_summary_region!G473</f>
        <v>17.421651743000002</v>
      </c>
      <c r="H473">
        <f>[5]trip_summary_region!H473</f>
        <v>4.5382522600000001</v>
      </c>
      <c r="I473" t="str">
        <f>[5]trip_summary_region!I473</f>
        <v>Pedestrian</v>
      </c>
      <c r="J473" t="str">
        <f>[5]trip_summary_region!J473</f>
        <v>2022/23</v>
      </c>
    </row>
    <row r="474" spans="1:10" x14ac:dyDescent="0.2">
      <c r="A474" t="str">
        <f>[5]trip_summary_region!A474</f>
        <v>07 TARANAKI</v>
      </c>
      <c r="B474">
        <f>[5]trip_summary_region!B474</f>
        <v>0</v>
      </c>
      <c r="C474">
        <f>[5]trip_summary_region!C474</f>
        <v>2028</v>
      </c>
      <c r="D474">
        <f>[5]trip_summary_region!D474</f>
        <v>314</v>
      </c>
      <c r="E474">
        <f>[5]trip_summary_region!E474</f>
        <v>1091</v>
      </c>
      <c r="F474">
        <f>[5]trip_summary_region!F474</f>
        <v>23.182809510999999</v>
      </c>
      <c r="G474">
        <f>[5]trip_summary_region!G474</f>
        <v>17.337091392000001</v>
      </c>
      <c r="H474">
        <f>[5]trip_summary_region!H474</f>
        <v>4.3849402961999999</v>
      </c>
      <c r="I474" t="str">
        <f>[5]trip_summary_region!I474</f>
        <v>Pedestrian</v>
      </c>
      <c r="J474" t="str">
        <f>[5]trip_summary_region!J474</f>
        <v>2027/28</v>
      </c>
    </row>
    <row r="475" spans="1:10" x14ac:dyDescent="0.2">
      <c r="A475" t="str">
        <f>[5]trip_summary_region!A475</f>
        <v>07 TARANAKI</v>
      </c>
      <c r="B475">
        <f>[5]trip_summary_region!B475</f>
        <v>0</v>
      </c>
      <c r="C475">
        <f>[5]trip_summary_region!C475</f>
        <v>2033</v>
      </c>
      <c r="D475">
        <f>[5]trip_summary_region!D475</f>
        <v>314</v>
      </c>
      <c r="E475">
        <f>[5]trip_summary_region!E475</f>
        <v>1091</v>
      </c>
      <c r="F475">
        <f>[5]trip_summary_region!F475</f>
        <v>22.684795899000001</v>
      </c>
      <c r="G475">
        <f>[5]trip_summary_region!G475</f>
        <v>17.158422262999999</v>
      </c>
      <c r="H475">
        <f>[5]trip_summary_region!H475</f>
        <v>4.248310923</v>
      </c>
      <c r="I475" t="str">
        <f>[5]trip_summary_region!I475</f>
        <v>Pedestrian</v>
      </c>
      <c r="J475" t="str">
        <f>[5]trip_summary_region!J475</f>
        <v>2032/33</v>
      </c>
    </row>
    <row r="476" spans="1:10" x14ac:dyDescent="0.2">
      <c r="A476" t="str">
        <f>[5]trip_summary_region!A476</f>
        <v>07 TARANAKI</v>
      </c>
      <c r="B476">
        <f>[5]trip_summary_region!B476</f>
        <v>0</v>
      </c>
      <c r="C476">
        <f>[5]trip_summary_region!C476</f>
        <v>2038</v>
      </c>
      <c r="D476">
        <f>[5]trip_summary_region!D476</f>
        <v>314</v>
      </c>
      <c r="E476">
        <f>[5]trip_summary_region!E476</f>
        <v>1091</v>
      </c>
      <c r="F476">
        <f>[5]trip_summary_region!F476</f>
        <v>22.150002843999999</v>
      </c>
      <c r="G476">
        <f>[5]trip_summary_region!G476</f>
        <v>16.988851086</v>
      </c>
      <c r="H476">
        <f>[5]trip_summary_region!H476</f>
        <v>4.1357848014999998</v>
      </c>
      <c r="I476" t="str">
        <f>[5]trip_summary_region!I476</f>
        <v>Pedestrian</v>
      </c>
      <c r="J476" t="str">
        <f>[5]trip_summary_region!J476</f>
        <v>2037/38</v>
      </c>
    </row>
    <row r="477" spans="1:10" x14ac:dyDescent="0.2">
      <c r="A477" t="str">
        <f>[5]trip_summary_region!A477</f>
        <v>07 TARANAKI</v>
      </c>
      <c r="B477">
        <f>[5]trip_summary_region!B477</f>
        <v>0</v>
      </c>
      <c r="C477">
        <f>[5]trip_summary_region!C477</f>
        <v>2043</v>
      </c>
      <c r="D477">
        <f>[5]trip_summary_region!D477</f>
        <v>314</v>
      </c>
      <c r="E477">
        <f>[5]trip_summary_region!E477</f>
        <v>1091</v>
      </c>
      <c r="F477">
        <f>[5]trip_summary_region!F477</f>
        <v>21.617359099000002</v>
      </c>
      <c r="G477">
        <f>[5]trip_summary_region!G477</f>
        <v>16.808457581999999</v>
      </c>
      <c r="H477">
        <f>[5]trip_summary_region!H477</f>
        <v>4.0338013247999998</v>
      </c>
      <c r="I477" t="str">
        <f>[5]trip_summary_region!I477</f>
        <v>Pedestrian</v>
      </c>
      <c r="J477" t="str">
        <f>[5]trip_summary_region!J477</f>
        <v>2042/43</v>
      </c>
    </row>
    <row r="478" spans="1:10" x14ac:dyDescent="0.2">
      <c r="A478" t="str">
        <f>[5]trip_summary_region!A478</f>
        <v>07 TARANAKI</v>
      </c>
      <c r="B478">
        <f>[5]trip_summary_region!B478</f>
        <v>1</v>
      </c>
      <c r="C478">
        <f>[5]trip_summary_region!C478</f>
        <v>2013</v>
      </c>
      <c r="D478">
        <f>[5]trip_summary_region!D478</f>
        <v>45</v>
      </c>
      <c r="E478">
        <f>[5]trip_summary_region!E478</f>
        <v>133</v>
      </c>
      <c r="F478">
        <f>[5]trip_summary_region!F478</f>
        <v>2.1611397319000001</v>
      </c>
      <c r="G478">
        <f>[5]trip_summary_region!G478</f>
        <v>5.5737915155</v>
      </c>
      <c r="H478">
        <f>[5]trip_summary_region!H478</f>
        <v>0.51341482110000003</v>
      </c>
      <c r="I478" t="str">
        <f>[5]trip_summary_region!I478</f>
        <v>Cyclist</v>
      </c>
      <c r="J478" t="str">
        <f>[5]trip_summary_region!J478</f>
        <v>2012/13</v>
      </c>
    </row>
    <row r="479" spans="1:10" x14ac:dyDescent="0.2">
      <c r="A479" t="str">
        <f>[5]trip_summary_region!A479</f>
        <v>07 TARANAKI</v>
      </c>
      <c r="B479">
        <f>[5]trip_summary_region!B479</f>
        <v>1</v>
      </c>
      <c r="C479">
        <f>[5]trip_summary_region!C479</f>
        <v>2018</v>
      </c>
      <c r="D479">
        <f>[5]trip_summary_region!D479</f>
        <v>45</v>
      </c>
      <c r="E479">
        <f>[5]trip_summary_region!E479</f>
        <v>133</v>
      </c>
      <c r="F479">
        <f>[5]trip_summary_region!F479</f>
        <v>2.0337103172000002</v>
      </c>
      <c r="G479">
        <f>[5]trip_summary_region!G479</f>
        <v>5.3359230288999999</v>
      </c>
      <c r="H479">
        <f>[5]trip_summary_region!H479</f>
        <v>0.49911730589999997</v>
      </c>
      <c r="I479" t="str">
        <f>[5]trip_summary_region!I479</f>
        <v>Cyclist</v>
      </c>
      <c r="J479" t="str">
        <f>[5]trip_summary_region!J479</f>
        <v>2017/18</v>
      </c>
    </row>
    <row r="480" spans="1:10" x14ac:dyDescent="0.2">
      <c r="A480" t="str">
        <f>[5]trip_summary_region!A480</f>
        <v>07 TARANAKI</v>
      </c>
      <c r="B480">
        <f>[5]trip_summary_region!B480</f>
        <v>1</v>
      </c>
      <c r="C480">
        <f>[5]trip_summary_region!C480</f>
        <v>2023</v>
      </c>
      <c r="D480">
        <f>[5]trip_summary_region!D480</f>
        <v>45</v>
      </c>
      <c r="E480">
        <f>[5]trip_summary_region!E480</f>
        <v>133</v>
      </c>
      <c r="F480">
        <f>[5]trip_summary_region!F480</f>
        <v>2.0569300792999998</v>
      </c>
      <c r="G480">
        <f>[5]trip_summary_region!G480</f>
        <v>5.5277498181000002</v>
      </c>
      <c r="H480">
        <f>[5]trip_summary_region!H480</f>
        <v>0.52075643410000005</v>
      </c>
      <c r="I480" t="str">
        <f>[5]trip_summary_region!I480</f>
        <v>Cyclist</v>
      </c>
      <c r="J480" t="str">
        <f>[5]trip_summary_region!J480</f>
        <v>2022/23</v>
      </c>
    </row>
    <row r="481" spans="1:10" x14ac:dyDescent="0.2">
      <c r="A481" t="str">
        <f>[5]trip_summary_region!A481</f>
        <v>07 TARANAKI</v>
      </c>
      <c r="B481">
        <f>[5]trip_summary_region!B481</f>
        <v>1</v>
      </c>
      <c r="C481">
        <f>[5]trip_summary_region!C481</f>
        <v>2028</v>
      </c>
      <c r="D481">
        <f>[5]trip_summary_region!D481</f>
        <v>45</v>
      </c>
      <c r="E481">
        <f>[5]trip_summary_region!E481</f>
        <v>133</v>
      </c>
      <c r="F481">
        <f>[5]trip_summary_region!F481</f>
        <v>1.9511277787000001</v>
      </c>
      <c r="G481">
        <f>[5]trip_summary_region!G481</f>
        <v>5.1984312132000001</v>
      </c>
      <c r="H481">
        <f>[5]trip_summary_region!H481</f>
        <v>0.49518417310000001</v>
      </c>
      <c r="I481" t="str">
        <f>[5]trip_summary_region!I481</f>
        <v>Cyclist</v>
      </c>
      <c r="J481" t="str">
        <f>[5]trip_summary_region!J481</f>
        <v>2027/28</v>
      </c>
    </row>
    <row r="482" spans="1:10" x14ac:dyDescent="0.2">
      <c r="A482" t="str">
        <f>[5]trip_summary_region!A482</f>
        <v>07 TARANAKI</v>
      </c>
      <c r="B482">
        <f>[5]trip_summary_region!B482</f>
        <v>1</v>
      </c>
      <c r="C482">
        <f>[5]trip_summary_region!C482</f>
        <v>2033</v>
      </c>
      <c r="D482">
        <f>[5]trip_summary_region!D482</f>
        <v>45</v>
      </c>
      <c r="E482">
        <f>[5]trip_summary_region!E482</f>
        <v>133</v>
      </c>
      <c r="F482">
        <f>[5]trip_summary_region!F482</f>
        <v>1.8640259592999999</v>
      </c>
      <c r="G482">
        <f>[5]trip_summary_region!G482</f>
        <v>5.0721984837000003</v>
      </c>
      <c r="H482">
        <f>[5]trip_summary_region!H482</f>
        <v>0.4859100261</v>
      </c>
      <c r="I482" t="str">
        <f>[5]trip_summary_region!I482</f>
        <v>Cyclist</v>
      </c>
      <c r="J482" t="str">
        <f>[5]trip_summary_region!J482</f>
        <v>2032/33</v>
      </c>
    </row>
    <row r="483" spans="1:10" x14ac:dyDescent="0.2">
      <c r="A483" t="str">
        <f>[5]trip_summary_region!A483</f>
        <v>07 TARANAKI</v>
      </c>
      <c r="B483">
        <f>[5]trip_summary_region!B483</f>
        <v>1</v>
      </c>
      <c r="C483">
        <f>[5]trip_summary_region!C483</f>
        <v>2038</v>
      </c>
      <c r="D483">
        <f>[5]trip_summary_region!D483</f>
        <v>45</v>
      </c>
      <c r="E483">
        <f>[5]trip_summary_region!E483</f>
        <v>133</v>
      </c>
      <c r="F483">
        <f>[5]trip_summary_region!F483</f>
        <v>1.7694692982</v>
      </c>
      <c r="G483">
        <f>[5]trip_summary_region!G483</f>
        <v>5.0969302025000003</v>
      </c>
      <c r="H483">
        <f>[5]trip_summary_region!H483</f>
        <v>0.48588268200000001</v>
      </c>
      <c r="I483" t="str">
        <f>[5]trip_summary_region!I483</f>
        <v>Cyclist</v>
      </c>
      <c r="J483" t="str">
        <f>[5]trip_summary_region!J483</f>
        <v>2037/38</v>
      </c>
    </row>
    <row r="484" spans="1:10" x14ac:dyDescent="0.2">
      <c r="A484" t="str">
        <f>[5]trip_summary_region!A484</f>
        <v>07 TARANAKI</v>
      </c>
      <c r="B484">
        <f>[5]trip_summary_region!B484</f>
        <v>1</v>
      </c>
      <c r="C484">
        <f>[5]trip_summary_region!C484</f>
        <v>2043</v>
      </c>
      <c r="D484">
        <f>[5]trip_summary_region!D484</f>
        <v>45</v>
      </c>
      <c r="E484">
        <f>[5]trip_summary_region!E484</f>
        <v>133</v>
      </c>
      <c r="F484">
        <f>[5]trip_summary_region!F484</f>
        <v>1.6936086236000001</v>
      </c>
      <c r="G484">
        <f>[5]trip_summary_region!G484</f>
        <v>5.1721720060000003</v>
      </c>
      <c r="H484">
        <f>[5]trip_summary_region!H484</f>
        <v>0.4902892284</v>
      </c>
      <c r="I484" t="str">
        <f>[5]trip_summary_region!I484</f>
        <v>Cyclist</v>
      </c>
      <c r="J484" t="str">
        <f>[5]trip_summary_region!J484</f>
        <v>2042/43</v>
      </c>
    </row>
    <row r="485" spans="1:10" x14ac:dyDescent="0.2">
      <c r="A485" t="str">
        <f>[5]trip_summary_region!A485</f>
        <v>07 TARANAKI</v>
      </c>
      <c r="B485">
        <f>[5]trip_summary_region!B485</f>
        <v>2</v>
      </c>
      <c r="C485">
        <f>[5]trip_summary_region!C485</f>
        <v>2013</v>
      </c>
      <c r="D485">
        <f>[5]trip_summary_region!D485</f>
        <v>575</v>
      </c>
      <c r="E485">
        <f>[5]trip_summary_region!E485</f>
        <v>4143</v>
      </c>
      <c r="F485">
        <f>[5]trip_summary_region!F485</f>
        <v>90.801950900999998</v>
      </c>
      <c r="G485">
        <f>[5]trip_summary_region!G485</f>
        <v>933.36875414999997</v>
      </c>
      <c r="H485">
        <f>[5]trip_summary_region!H485</f>
        <v>21.205429401</v>
      </c>
      <c r="I485" t="str">
        <f>[5]trip_summary_region!I485</f>
        <v>Light Vehicle Driver</v>
      </c>
      <c r="J485" t="str">
        <f>[5]trip_summary_region!J485</f>
        <v>2012/13</v>
      </c>
    </row>
    <row r="486" spans="1:10" x14ac:dyDescent="0.2">
      <c r="A486" t="str">
        <f>[5]trip_summary_region!A486</f>
        <v>07 TARANAKI</v>
      </c>
      <c r="B486">
        <f>[5]trip_summary_region!B486</f>
        <v>2</v>
      </c>
      <c r="C486">
        <f>[5]trip_summary_region!C486</f>
        <v>2018</v>
      </c>
      <c r="D486">
        <f>[5]trip_summary_region!D486</f>
        <v>575</v>
      </c>
      <c r="E486">
        <f>[5]trip_summary_region!E486</f>
        <v>4143</v>
      </c>
      <c r="F486">
        <f>[5]trip_summary_region!F486</f>
        <v>90.072080670000005</v>
      </c>
      <c r="G486">
        <f>[5]trip_summary_region!G486</f>
        <v>940.88617249000004</v>
      </c>
      <c r="H486">
        <f>[5]trip_summary_region!H486</f>
        <v>21.247732160000002</v>
      </c>
      <c r="I486" t="str">
        <f>[5]trip_summary_region!I486</f>
        <v>Light Vehicle Driver</v>
      </c>
      <c r="J486" t="str">
        <f>[5]trip_summary_region!J486</f>
        <v>2017/18</v>
      </c>
    </row>
    <row r="487" spans="1:10" x14ac:dyDescent="0.2">
      <c r="A487" t="str">
        <f>[5]trip_summary_region!A487</f>
        <v>07 TARANAKI</v>
      </c>
      <c r="B487">
        <f>[5]trip_summary_region!B487</f>
        <v>2</v>
      </c>
      <c r="C487">
        <f>[5]trip_summary_region!C487</f>
        <v>2023</v>
      </c>
      <c r="D487">
        <f>[5]trip_summary_region!D487</f>
        <v>575</v>
      </c>
      <c r="E487">
        <f>[5]trip_summary_region!E487</f>
        <v>4143</v>
      </c>
      <c r="F487">
        <f>[5]trip_summary_region!F487</f>
        <v>96.582340439999996</v>
      </c>
      <c r="G487">
        <f>[5]trip_summary_region!G487</f>
        <v>1025.2692817</v>
      </c>
      <c r="H487">
        <f>[5]trip_summary_region!H487</f>
        <v>23.024594200999999</v>
      </c>
      <c r="I487" t="str">
        <f>[5]trip_summary_region!I487</f>
        <v>Light Vehicle Driver</v>
      </c>
      <c r="J487" t="str">
        <f>[5]trip_summary_region!J487</f>
        <v>2022/23</v>
      </c>
    </row>
    <row r="488" spans="1:10" x14ac:dyDescent="0.2">
      <c r="A488" t="str">
        <f>[5]trip_summary_region!A488</f>
        <v>07 TARANAKI</v>
      </c>
      <c r="B488">
        <f>[5]trip_summary_region!B488</f>
        <v>2</v>
      </c>
      <c r="C488">
        <f>[5]trip_summary_region!C488</f>
        <v>2028</v>
      </c>
      <c r="D488">
        <f>[5]trip_summary_region!D488</f>
        <v>575</v>
      </c>
      <c r="E488">
        <f>[5]trip_summary_region!E488</f>
        <v>4143</v>
      </c>
      <c r="F488">
        <f>[5]trip_summary_region!F488</f>
        <v>97.664051392999994</v>
      </c>
      <c r="G488">
        <f>[5]trip_summary_region!G488</f>
        <v>1038.9268886</v>
      </c>
      <c r="H488">
        <f>[5]trip_summary_region!H488</f>
        <v>23.359628345000001</v>
      </c>
      <c r="I488" t="str">
        <f>[5]trip_summary_region!I488</f>
        <v>Light Vehicle Driver</v>
      </c>
      <c r="J488" t="str">
        <f>[5]trip_summary_region!J488</f>
        <v>2027/28</v>
      </c>
    </row>
    <row r="489" spans="1:10" x14ac:dyDescent="0.2">
      <c r="A489" t="str">
        <f>[5]trip_summary_region!A489</f>
        <v>07 TARANAKI</v>
      </c>
      <c r="B489">
        <f>[5]trip_summary_region!B489</f>
        <v>2</v>
      </c>
      <c r="C489">
        <f>[5]trip_summary_region!C489</f>
        <v>2033</v>
      </c>
      <c r="D489">
        <f>[5]trip_summary_region!D489</f>
        <v>575</v>
      </c>
      <c r="E489">
        <f>[5]trip_summary_region!E489</f>
        <v>4143</v>
      </c>
      <c r="F489">
        <f>[5]trip_summary_region!F489</f>
        <v>96.632365640000003</v>
      </c>
      <c r="G489">
        <f>[5]trip_summary_region!G489</f>
        <v>1028.3137004</v>
      </c>
      <c r="H489">
        <f>[5]trip_summary_region!H489</f>
        <v>23.178229661</v>
      </c>
      <c r="I489" t="str">
        <f>[5]trip_summary_region!I489</f>
        <v>Light Vehicle Driver</v>
      </c>
      <c r="J489" t="str">
        <f>[5]trip_summary_region!J489</f>
        <v>2032/33</v>
      </c>
    </row>
    <row r="490" spans="1:10" x14ac:dyDescent="0.2">
      <c r="A490" t="str">
        <f>[5]trip_summary_region!A490</f>
        <v>07 TARANAKI</v>
      </c>
      <c r="B490">
        <f>[5]trip_summary_region!B490</f>
        <v>2</v>
      </c>
      <c r="C490">
        <f>[5]trip_summary_region!C490</f>
        <v>2038</v>
      </c>
      <c r="D490">
        <f>[5]trip_summary_region!D490</f>
        <v>575</v>
      </c>
      <c r="E490">
        <f>[5]trip_summary_region!E490</f>
        <v>4143</v>
      </c>
      <c r="F490">
        <f>[5]trip_summary_region!F490</f>
        <v>95.079907431999999</v>
      </c>
      <c r="G490">
        <f>[5]trip_summary_region!G490</f>
        <v>1022.490081</v>
      </c>
      <c r="H490">
        <f>[5]trip_summary_region!H490</f>
        <v>22.981719905999999</v>
      </c>
      <c r="I490" t="str">
        <f>[5]trip_summary_region!I490</f>
        <v>Light Vehicle Driver</v>
      </c>
      <c r="J490" t="str">
        <f>[5]trip_summary_region!J490</f>
        <v>2037/38</v>
      </c>
    </row>
    <row r="491" spans="1:10" x14ac:dyDescent="0.2">
      <c r="A491" t="str">
        <f>[5]trip_summary_region!A491</f>
        <v>07 TARANAKI</v>
      </c>
      <c r="B491">
        <f>[5]trip_summary_region!B491</f>
        <v>2</v>
      </c>
      <c r="C491">
        <f>[5]trip_summary_region!C491</f>
        <v>2043</v>
      </c>
      <c r="D491">
        <f>[5]trip_summary_region!D491</f>
        <v>575</v>
      </c>
      <c r="E491">
        <f>[5]trip_summary_region!E491</f>
        <v>4143</v>
      </c>
      <c r="F491">
        <f>[5]trip_summary_region!F491</f>
        <v>93.023229925999999</v>
      </c>
      <c r="G491">
        <f>[5]trip_summary_region!G491</f>
        <v>1011.0955106</v>
      </c>
      <c r="H491">
        <f>[5]trip_summary_region!H491</f>
        <v>22.653376351999999</v>
      </c>
      <c r="I491" t="str">
        <f>[5]trip_summary_region!I491</f>
        <v>Light Vehicle Driver</v>
      </c>
      <c r="J491" t="str">
        <f>[5]trip_summary_region!J491</f>
        <v>2042/43</v>
      </c>
    </row>
    <row r="492" spans="1:10" x14ac:dyDescent="0.2">
      <c r="A492" t="str">
        <f>[5]trip_summary_region!A492</f>
        <v>07 TARANAKI</v>
      </c>
      <c r="B492">
        <f>[5]trip_summary_region!B492</f>
        <v>3</v>
      </c>
      <c r="C492">
        <f>[5]trip_summary_region!C492</f>
        <v>2013</v>
      </c>
      <c r="D492">
        <f>[5]trip_summary_region!D492</f>
        <v>446</v>
      </c>
      <c r="E492">
        <f>[5]trip_summary_region!E492</f>
        <v>2212</v>
      </c>
      <c r="F492">
        <f>[5]trip_summary_region!F492</f>
        <v>45.48406773</v>
      </c>
      <c r="G492">
        <f>[5]trip_summary_region!G492</f>
        <v>656.25872372000003</v>
      </c>
      <c r="H492">
        <f>[5]trip_summary_region!H492</f>
        <v>13.125178352000001</v>
      </c>
      <c r="I492" t="str">
        <f>[5]trip_summary_region!I492</f>
        <v>Light Vehicle Passenger</v>
      </c>
      <c r="J492" t="str">
        <f>[5]trip_summary_region!J492</f>
        <v>2012/13</v>
      </c>
    </row>
    <row r="493" spans="1:10" x14ac:dyDescent="0.2">
      <c r="A493" t="str">
        <f>[5]trip_summary_region!A493</f>
        <v>07 TARANAKI</v>
      </c>
      <c r="B493">
        <f>[5]trip_summary_region!B493</f>
        <v>3</v>
      </c>
      <c r="C493">
        <f>[5]trip_summary_region!C493</f>
        <v>2018</v>
      </c>
      <c r="D493">
        <f>[5]trip_summary_region!D493</f>
        <v>446</v>
      </c>
      <c r="E493">
        <f>[5]trip_summary_region!E493</f>
        <v>2212</v>
      </c>
      <c r="F493">
        <f>[5]trip_summary_region!F493</f>
        <v>42.519870167999997</v>
      </c>
      <c r="G493">
        <f>[5]trip_summary_region!G493</f>
        <v>608.73691880000001</v>
      </c>
      <c r="H493">
        <f>[5]trip_summary_region!H493</f>
        <v>12.19899197</v>
      </c>
      <c r="I493" t="str">
        <f>[5]trip_summary_region!I493</f>
        <v>Light Vehicle Passenger</v>
      </c>
      <c r="J493" t="str">
        <f>[5]trip_summary_region!J493</f>
        <v>2017/18</v>
      </c>
    </row>
    <row r="494" spans="1:10" x14ac:dyDescent="0.2">
      <c r="A494" t="str">
        <f>[5]trip_summary_region!A494</f>
        <v>07 TARANAKI</v>
      </c>
      <c r="B494">
        <f>[5]trip_summary_region!B494</f>
        <v>3</v>
      </c>
      <c r="C494">
        <f>[5]trip_summary_region!C494</f>
        <v>2023</v>
      </c>
      <c r="D494">
        <f>[5]trip_summary_region!D494</f>
        <v>446</v>
      </c>
      <c r="E494">
        <f>[5]trip_summary_region!E494</f>
        <v>2212</v>
      </c>
      <c r="F494">
        <f>[5]trip_summary_region!F494</f>
        <v>43.504686757999998</v>
      </c>
      <c r="G494">
        <f>[5]trip_summary_region!G494</f>
        <v>619.51150198000005</v>
      </c>
      <c r="H494">
        <f>[5]trip_summary_region!H494</f>
        <v>12.431189006</v>
      </c>
      <c r="I494" t="str">
        <f>[5]trip_summary_region!I494</f>
        <v>Light Vehicle Passenger</v>
      </c>
      <c r="J494" t="str">
        <f>[5]trip_summary_region!J494</f>
        <v>2022/23</v>
      </c>
    </row>
    <row r="495" spans="1:10" x14ac:dyDescent="0.2">
      <c r="A495" t="str">
        <f>[5]trip_summary_region!A495</f>
        <v>07 TARANAKI</v>
      </c>
      <c r="B495">
        <f>[5]trip_summary_region!B495</f>
        <v>3</v>
      </c>
      <c r="C495">
        <f>[5]trip_summary_region!C495</f>
        <v>2028</v>
      </c>
      <c r="D495">
        <f>[5]trip_summary_region!D495</f>
        <v>446</v>
      </c>
      <c r="E495">
        <f>[5]trip_summary_region!E495</f>
        <v>2212</v>
      </c>
      <c r="F495">
        <f>[5]trip_summary_region!F495</f>
        <v>42.752245596000002</v>
      </c>
      <c r="G495">
        <f>[5]trip_summary_region!G495</f>
        <v>609.72579507</v>
      </c>
      <c r="H495">
        <f>[5]trip_summary_region!H495</f>
        <v>12.249713206999999</v>
      </c>
      <c r="I495" t="str">
        <f>[5]trip_summary_region!I495</f>
        <v>Light Vehicle Passenger</v>
      </c>
      <c r="J495" t="str">
        <f>[5]trip_summary_region!J495</f>
        <v>2027/28</v>
      </c>
    </row>
    <row r="496" spans="1:10" x14ac:dyDescent="0.2">
      <c r="A496" t="str">
        <f>[5]trip_summary_region!A496</f>
        <v>07 TARANAKI</v>
      </c>
      <c r="B496">
        <f>[5]trip_summary_region!B496</f>
        <v>3</v>
      </c>
      <c r="C496">
        <f>[5]trip_summary_region!C496</f>
        <v>2033</v>
      </c>
      <c r="D496">
        <f>[5]trip_summary_region!D496</f>
        <v>446</v>
      </c>
      <c r="E496">
        <f>[5]trip_summary_region!E496</f>
        <v>2212</v>
      </c>
      <c r="F496">
        <f>[5]trip_summary_region!F496</f>
        <v>42.013913219000003</v>
      </c>
      <c r="G496">
        <f>[5]trip_summary_region!G496</f>
        <v>600.51011625000001</v>
      </c>
      <c r="H496">
        <f>[5]trip_summary_region!H496</f>
        <v>12.068543048</v>
      </c>
      <c r="I496" t="str">
        <f>[5]trip_summary_region!I496</f>
        <v>Light Vehicle Passenger</v>
      </c>
      <c r="J496" t="str">
        <f>[5]trip_summary_region!J496</f>
        <v>2032/33</v>
      </c>
    </row>
    <row r="497" spans="1:10" x14ac:dyDescent="0.2">
      <c r="A497" t="str">
        <f>[5]trip_summary_region!A497</f>
        <v>07 TARANAKI</v>
      </c>
      <c r="B497">
        <f>[5]trip_summary_region!B497</f>
        <v>3</v>
      </c>
      <c r="C497">
        <f>[5]trip_summary_region!C497</f>
        <v>2038</v>
      </c>
      <c r="D497">
        <f>[5]trip_summary_region!D497</f>
        <v>446</v>
      </c>
      <c r="E497">
        <f>[5]trip_summary_region!E497</f>
        <v>2212</v>
      </c>
      <c r="F497">
        <f>[5]trip_summary_region!F497</f>
        <v>40.992621790000001</v>
      </c>
      <c r="G497">
        <f>[5]trip_summary_region!G497</f>
        <v>584.99400001000004</v>
      </c>
      <c r="H497">
        <f>[5]trip_summary_region!H497</f>
        <v>11.772313054</v>
      </c>
      <c r="I497" t="str">
        <f>[5]trip_summary_region!I497</f>
        <v>Light Vehicle Passenger</v>
      </c>
      <c r="J497" t="str">
        <f>[5]trip_summary_region!J497</f>
        <v>2037/38</v>
      </c>
    </row>
    <row r="498" spans="1:10" x14ac:dyDescent="0.2">
      <c r="A498" t="str">
        <f>[5]trip_summary_region!A498</f>
        <v>07 TARANAKI</v>
      </c>
      <c r="B498">
        <f>[5]trip_summary_region!B498</f>
        <v>3</v>
      </c>
      <c r="C498">
        <f>[5]trip_summary_region!C498</f>
        <v>2043</v>
      </c>
      <c r="D498">
        <f>[5]trip_summary_region!D498</f>
        <v>446</v>
      </c>
      <c r="E498">
        <f>[5]trip_summary_region!E498</f>
        <v>2212</v>
      </c>
      <c r="F498">
        <f>[5]trip_summary_region!F498</f>
        <v>39.868114945000002</v>
      </c>
      <c r="G498">
        <f>[5]trip_summary_region!G498</f>
        <v>568.52799573000004</v>
      </c>
      <c r="H498">
        <f>[5]trip_summary_region!H498</f>
        <v>11.452158833</v>
      </c>
      <c r="I498" t="str">
        <f>[5]trip_summary_region!I498</f>
        <v>Light Vehicle Passenger</v>
      </c>
      <c r="J498" t="str">
        <f>[5]trip_summary_region!J498</f>
        <v>2042/43</v>
      </c>
    </row>
    <row r="499" spans="1:10" x14ac:dyDescent="0.2">
      <c r="A499" t="str">
        <f>[5]trip_summary_region!A499</f>
        <v>07 TARANAKI</v>
      </c>
      <c r="B499">
        <f>[5]trip_summary_region!B499</f>
        <v>4</v>
      </c>
      <c r="C499">
        <f>[5]trip_summary_region!C499</f>
        <v>2013</v>
      </c>
      <c r="D499">
        <f>[5]trip_summary_region!D499</f>
        <v>10</v>
      </c>
      <c r="E499">
        <f>[5]trip_summary_region!E499</f>
        <v>18</v>
      </c>
      <c r="F499">
        <f>[5]trip_summary_region!F499</f>
        <v>0.56194422089999996</v>
      </c>
      <c r="G499">
        <f>[5]trip_summary_region!G499</f>
        <v>1.1335038904000001</v>
      </c>
      <c r="H499">
        <f>[5]trip_summary_region!H499</f>
        <v>0.10005985589999999</v>
      </c>
      <c r="I499" t="s">
        <v>116</v>
      </c>
      <c r="J499" t="str">
        <f>[5]trip_summary_region!J499</f>
        <v>2012/13</v>
      </c>
    </row>
    <row r="500" spans="1:10" x14ac:dyDescent="0.2">
      <c r="A500" t="str">
        <f>[5]trip_summary_region!A500</f>
        <v>07 TARANAKI</v>
      </c>
      <c r="B500">
        <f>[5]trip_summary_region!B500</f>
        <v>4</v>
      </c>
      <c r="C500">
        <f>[5]trip_summary_region!C500</f>
        <v>2018</v>
      </c>
      <c r="D500">
        <f>[5]trip_summary_region!D500</f>
        <v>10</v>
      </c>
      <c r="E500">
        <f>[5]trip_summary_region!E500</f>
        <v>18</v>
      </c>
      <c r="F500">
        <f>[5]trip_summary_region!F500</f>
        <v>0.65963815029999995</v>
      </c>
      <c r="G500">
        <f>[5]trip_summary_region!G500</f>
        <v>1.3356170152</v>
      </c>
      <c r="H500">
        <f>[5]trip_summary_region!H500</f>
        <v>0.1183458758</v>
      </c>
      <c r="I500" t="s">
        <v>116</v>
      </c>
      <c r="J500" t="str">
        <f>[5]trip_summary_region!J500</f>
        <v>2017/18</v>
      </c>
    </row>
    <row r="501" spans="1:10" x14ac:dyDescent="0.2">
      <c r="A501" t="str">
        <f>[5]trip_summary_region!A501</f>
        <v>07 TARANAKI</v>
      </c>
      <c r="B501">
        <f>[5]trip_summary_region!B501</f>
        <v>4</v>
      </c>
      <c r="C501">
        <f>[5]trip_summary_region!C501</f>
        <v>2023</v>
      </c>
      <c r="D501">
        <f>[5]trip_summary_region!D501</f>
        <v>10</v>
      </c>
      <c r="E501">
        <f>[5]trip_summary_region!E501</f>
        <v>18</v>
      </c>
      <c r="F501">
        <f>[5]trip_summary_region!F501</f>
        <v>0.77940576070000001</v>
      </c>
      <c r="G501">
        <f>[5]trip_summary_region!G501</f>
        <v>1.5818231103</v>
      </c>
      <c r="H501">
        <f>[5]trip_summary_region!H501</f>
        <v>0.14008325460000001</v>
      </c>
      <c r="I501" t="s">
        <v>116</v>
      </c>
      <c r="J501" t="str">
        <f>[5]trip_summary_region!J501</f>
        <v>2022/23</v>
      </c>
    </row>
    <row r="502" spans="1:10" x14ac:dyDescent="0.2">
      <c r="A502" t="str">
        <f>[5]trip_summary_region!A502</f>
        <v>07 TARANAKI</v>
      </c>
      <c r="B502">
        <f>[5]trip_summary_region!B502</f>
        <v>4</v>
      </c>
      <c r="C502">
        <f>[5]trip_summary_region!C502</f>
        <v>2028</v>
      </c>
      <c r="D502">
        <f>[5]trip_summary_region!D502</f>
        <v>10</v>
      </c>
      <c r="E502">
        <f>[5]trip_summary_region!E502</f>
        <v>18</v>
      </c>
      <c r="F502">
        <f>[5]trip_summary_region!F502</f>
        <v>0.84687472850000001</v>
      </c>
      <c r="G502">
        <f>[5]trip_summary_region!G502</f>
        <v>1.7330735669999999</v>
      </c>
      <c r="H502">
        <f>[5]trip_summary_region!H502</f>
        <v>0.15281045569999999</v>
      </c>
      <c r="I502" t="s">
        <v>116</v>
      </c>
      <c r="J502" t="str">
        <f>[5]trip_summary_region!J502</f>
        <v>2027/28</v>
      </c>
    </row>
    <row r="503" spans="1:10" x14ac:dyDescent="0.2">
      <c r="A503" t="str">
        <f>[5]trip_summary_region!A503</f>
        <v>07 TARANAKI</v>
      </c>
      <c r="B503">
        <f>[5]trip_summary_region!B503</f>
        <v>4</v>
      </c>
      <c r="C503">
        <f>[5]trip_summary_region!C503</f>
        <v>2033</v>
      </c>
      <c r="D503">
        <f>[5]trip_summary_region!D503</f>
        <v>10</v>
      </c>
      <c r="E503">
        <f>[5]trip_summary_region!E503</f>
        <v>18</v>
      </c>
      <c r="F503">
        <f>[5]trip_summary_region!F503</f>
        <v>0.8650466912</v>
      </c>
      <c r="G503">
        <f>[5]trip_summary_region!G503</f>
        <v>1.7837627894000001</v>
      </c>
      <c r="H503">
        <f>[5]trip_summary_region!H503</f>
        <v>0.1568975125</v>
      </c>
      <c r="I503" t="s">
        <v>116</v>
      </c>
      <c r="J503" t="str">
        <f>[5]trip_summary_region!J503</f>
        <v>2032/33</v>
      </c>
    </row>
    <row r="504" spans="1:10" x14ac:dyDescent="0.2">
      <c r="A504" t="str">
        <f>[5]trip_summary_region!A504</f>
        <v>07 TARANAKI</v>
      </c>
      <c r="B504">
        <f>[5]trip_summary_region!B504</f>
        <v>4</v>
      </c>
      <c r="C504">
        <f>[5]trip_summary_region!C504</f>
        <v>2038</v>
      </c>
      <c r="D504">
        <f>[5]trip_summary_region!D504</f>
        <v>10</v>
      </c>
      <c r="E504">
        <f>[5]trip_summary_region!E504</f>
        <v>18</v>
      </c>
      <c r="F504">
        <f>[5]trip_summary_region!F504</f>
        <v>0.8743959751</v>
      </c>
      <c r="G504">
        <f>[5]trip_summary_region!G504</f>
        <v>1.8219587241999999</v>
      </c>
      <c r="H504">
        <f>[5]trip_summary_region!H504</f>
        <v>0.15863096339999999</v>
      </c>
      <c r="I504" t="s">
        <v>116</v>
      </c>
      <c r="J504" t="str">
        <f>[5]trip_summary_region!J504</f>
        <v>2037/38</v>
      </c>
    </row>
    <row r="505" spans="1:10" x14ac:dyDescent="0.2">
      <c r="A505" t="str">
        <f>[5]trip_summary_region!A505</f>
        <v>07 TARANAKI</v>
      </c>
      <c r="B505">
        <f>[5]trip_summary_region!B505</f>
        <v>4</v>
      </c>
      <c r="C505">
        <f>[5]trip_summary_region!C505</f>
        <v>2043</v>
      </c>
      <c r="D505">
        <f>[5]trip_summary_region!D505</f>
        <v>10</v>
      </c>
      <c r="E505">
        <f>[5]trip_summary_region!E505</f>
        <v>18</v>
      </c>
      <c r="F505">
        <f>[5]trip_summary_region!F505</f>
        <v>0.8712388741</v>
      </c>
      <c r="G505">
        <f>[5]trip_summary_region!G505</f>
        <v>1.8348403943</v>
      </c>
      <c r="H505">
        <f>[5]trip_summary_region!H505</f>
        <v>0.15809506030000001</v>
      </c>
      <c r="I505" t="s">
        <v>116</v>
      </c>
      <c r="J505" t="str">
        <f>[5]trip_summary_region!J505</f>
        <v>2042/43</v>
      </c>
    </row>
    <row r="506" spans="1:10" x14ac:dyDescent="0.2">
      <c r="A506" t="str">
        <f>[5]trip_summary_region!A506</f>
        <v>07 TARANAKI</v>
      </c>
      <c r="B506">
        <f>[5]trip_summary_region!B506</f>
        <v>5</v>
      </c>
      <c r="C506">
        <f>[5]trip_summary_region!C506</f>
        <v>2013</v>
      </c>
      <c r="D506">
        <f>[5]trip_summary_region!D506</f>
        <v>14</v>
      </c>
      <c r="E506">
        <f>[5]trip_summary_region!E506</f>
        <v>51</v>
      </c>
      <c r="F506">
        <f>[5]trip_summary_region!F506</f>
        <v>1.091812341</v>
      </c>
      <c r="G506">
        <f>[5]trip_summary_region!G506</f>
        <v>7.0100687938000004</v>
      </c>
      <c r="H506">
        <f>[5]trip_summary_region!H506</f>
        <v>0.25001806910000002</v>
      </c>
      <c r="I506" t="str">
        <f>[5]trip_summary_region!I506</f>
        <v>Motorcyclist</v>
      </c>
      <c r="J506" t="str">
        <f>[5]trip_summary_region!J506</f>
        <v>2012/13</v>
      </c>
    </row>
    <row r="507" spans="1:10" x14ac:dyDescent="0.2">
      <c r="A507" t="str">
        <f>[5]trip_summary_region!A507</f>
        <v>07 TARANAKI</v>
      </c>
      <c r="B507">
        <f>[5]trip_summary_region!B507</f>
        <v>5</v>
      </c>
      <c r="C507">
        <f>[5]trip_summary_region!C507</f>
        <v>2018</v>
      </c>
      <c r="D507">
        <f>[5]trip_summary_region!D507</f>
        <v>14</v>
      </c>
      <c r="E507">
        <f>[5]trip_summary_region!E507</f>
        <v>51</v>
      </c>
      <c r="F507">
        <f>[5]trip_summary_region!F507</f>
        <v>1.0657180475000001</v>
      </c>
      <c r="G507">
        <f>[5]trip_summary_region!G507</f>
        <v>6.7265298340999999</v>
      </c>
      <c r="H507">
        <f>[5]trip_summary_region!H507</f>
        <v>0.23823023409999999</v>
      </c>
      <c r="I507" t="str">
        <f>[5]trip_summary_region!I507</f>
        <v>Motorcyclist</v>
      </c>
      <c r="J507" t="str">
        <f>[5]trip_summary_region!J507</f>
        <v>2017/18</v>
      </c>
    </row>
    <row r="508" spans="1:10" x14ac:dyDescent="0.2">
      <c r="A508" t="str">
        <f>[5]trip_summary_region!A508</f>
        <v>07 TARANAKI</v>
      </c>
      <c r="B508">
        <f>[5]trip_summary_region!B508</f>
        <v>5</v>
      </c>
      <c r="C508">
        <f>[5]trip_summary_region!C508</f>
        <v>2023</v>
      </c>
      <c r="D508">
        <f>[5]trip_summary_region!D508</f>
        <v>14</v>
      </c>
      <c r="E508">
        <f>[5]trip_summary_region!E508</f>
        <v>51</v>
      </c>
      <c r="F508">
        <f>[5]trip_summary_region!F508</f>
        <v>1.0362364829999999</v>
      </c>
      <c r="G508">
        <f>[5]trip_summary_region!G508</f>
        <v>6.8784173278000003</v>
      </c>
      <c r="H508">
        <f>[5]trip_summary_region!H508</f>
        <v>0.2458029981</v>
      </c>
      <c r="I508" t="str">
        <f>[5]trip_summary_region!I508</f>
        <v>Motorcyclist</v>
      </c>
      <c r="J508" t="str">
        <f>[5]trip_summary_region!J508</f>
        <v>2022/23</v>
      </c>
    </row>
    <row r="509" spans="1:10" x14ac:dyDescent="0.2">
      <c r="A509" t="str">
        <f>[5]trip_summary_region!A509</f>
        <v>07 TARANAKI</v>
      </c>
      <c r="B509">
        <f>[5]trip_summary_region!B509</f>
        <v>5</v>
      </c>
      <c r="C509">
        <f>[5]trip_summary_region!C509</f>
        <v>2028</v>
      </c>
      <c r="D509">
        <f>[5]trip_summary_region!D509</f>
        <v>14</v>
      </c>
      <c r="E509">
        <f>[5]trip_summary_region!E509</f>
        <v>51</v>
      </c>
      <c r="F509">
        <f>[5]trip_summary_region!F509</f>
        <v>0.91454221999999996</v>
      </c>
      <c r="G509">
        <f>[5]trip_summary_region!G509</f>
        <v>6.5711368293000003</v>
      </c>
      <c r="H509">
        <f>[5]trip_summary_region!H509</f>
        <v>0.2334480203</v>
      </c>
      <c r="I509" t="str">
        <f>[5]trip_summary_region!I509</f>
        <v>Motorcyclist</v>
      </c>
      <c r="J509" t="str">
        <f>[5]trip_summary_region!J509</f>
        <v>2027/28</v>
      </c>
    </row>
    <row r="510" spans="1:10" x14ac:dyDescent="0.2">
      <c r="A510" t="str">
        <f>[5]trip_summary_region!A510</f>
        <v>07 TARANAKI</v>
      </c>
      <c r="B510">
        <f>[5]trip_summary_region!B510</f>
        <v>5</v>
      </c>
      <c r="C510">
        <f>[5]trip_summary_region!C510</f>
        <v>2033</v>
      </c>
      <c r="D510">
        <f>[5]trip_summary_region!D510</f>
        <v>14</v>
      </c>
      <c r="E510">
        <f>[5]trip_summary_region!E510</f>
        <v>51</v>
      </c>
      <c r="F510">
        <f>[5]trip_summary_region!F510</f>
        <v>0.81172604650000002</v>
      </c>
      <c r="G510">
        <f>[5]trip_summary_region!G510</f>
        <v>6.0828833970999998</v>
      </c>
      <c r="H510">
        <f>[5]trip_summary_region!H510</f>
        <v>0.2195899238</v>
      </c>
      <c r="I510" t="str">
        <f>[5]trip_summary_region!I510</f>
        <v>Motorcyclist</v>
      </c>
      <c r="J510" t="str">
        <f>[5]trip_summary_region!J510</f>
        <v>2032/33</v>
      </c>
    </row>
    <row r="511" spans="1:10" x14ac:dyDescent="0.2">
      <c r="A511" t="str">
        <f>[5]trip_summary_region!A511</f>
        <v>07 TARANAKI</v>
      </c>
      <c r="B511">
        <f>[5]trip_summary_region!B511</f>
        <v>5</v>
      </c>
      <c r="C511">
        <f>[5]trip_summary_region!C511</f>
        <v>2038</v>
      </c>
      <c r="D511">
        <f>[5]trip_summary_region!D511</f>
        <v>14</v>
      </c>
      <c r="E511">
        <f>[5]trip_summary_region!E511</f>
        <v>51</v>
      </c>
      <c r="F511">
        <f>[5]trip_summary_region!F511</f>
        <v>0.74469353559999996</v>
      </c>
      <c r="G511">
        <f>[5]trip_summary_region!G511</f>
        <v>5.5846944226000002</v>
      </c>
      <c r="H511">
        <f>[5]trip_summary_region!H511</f>
        <v>0.20747225020000001</v>
      </c>
      <c r="I511" t="str">
        <f>[5]trip_summary_region!I511</f>
        <v>Motorcyclist</v>
      </c>
      <c r="J511" t="str">
        <f>[5]trip_summary_region!J511</f>
        <v>2037/38</v>
      </c>
    </row>
    <row r="512" spans="1:10" x14ac:dyDescent="0.2">
      <c r="A512" t="str">
        <f>[5]trip_summary_region!A512</f>
        <v>07 TARANAKI</v>
      </c>
      <c r="B512">
        <f>[5]trip_summary_region!B512</f>
        <v>5</v>
      </c>
      <c r="C512">
        <f>[5]trip_summary_region!C512</f>
        <v>2043</v>
      </c>
      <c r="D512">
        <f>[5]trip_summary_region!D512</f>
        <v>14</v>
      </c>
      <c r="E512">
        <f>[5]trip_summary_region!E512</f>
        <v>51</v>
      </c>
      <c r="F512">
        <f>[5]trip_summary_region!F512</f>
        <v>0.68301997079999999</v>
      </c>
      <c r="G512">
        <f>[5]trip_summary_region!G512</f>
        <v>5.1220485657000001</v>
      </c>
      <c r="H512">
        <f>[5]trip_summary_region!H512</f>
        <v>0.19605607410000001</v>
      </c>
      <c r="I512" t="str">
        <f>[5]trip_summary_region!I512</f>
        <v>Motorcyclist</v>
      </c>
      <c r="J512" t="str">
        <f>[5]trip_summary_region!J512</f>
        <v>2042/43</v>
      </c>
    </row>
    <row r="513" spans="1:10" x14ac:dyDescent="0.2">
      <c r="A513" t="str">
        <f>[5]trip_summary_region!A513</f>
        <v>07 TARANAKI</v>
      </c>
      <c r="B513">
        <f>[5]trip_summary_region!B513</f>
        <v>6</v>
      </c>
      <c r="C513">
        <f>[5]trip_summary_region!C513</f>
        <v>2013</v>
      </c>
      <c r="D513">
        <f>[5]trip_summary_region!D513</f>
        <v>1</v>
      </c>
      <c r="E513">
        <f>[5]trip_summary_region!E513</f>
        <v>2</v>
      </c>
      <c r="F513">
        <f>[5]trip_summary_region!F513</f>
        <v>5.3266318100000001E-2</v>
      </c>
      <c r="G513">
        <f>[5]trip_summary_region!G513</f>
        <v>0.36455468079999997</v>
      </c>
      <c r="H513">
        <f>[5]trip_summary_region!H513</f>
        <v>8.8777196999999999E-3</v>
      </c>
      <c r="I513" t="str">
        <f>[5]trip_summary_region!I513</f>
        <v>Local Train</v>
      </c>
      <c r="J513" t="str">
        <f>[5]trip_summary_region!J513</f>
        <v>2012/13</v>
      </c>
    </row>
    <row r="514" spans="1:10" x14ac:dyDescent="0.2">
      <c r="A514" t="str">
        <f>[5]trip_summary_region!A514</f>
        <v>07 TARANAKI</v>
      </c>
      <c r="B514">
        <f>[5]trip_summary_region!B514</f>
        <v>6</v>
      </c>
      <c r="C514">
        <f>[5]trip_summary_region!C514</f>
        <v>2018</v>
      </c>
      <c r="D514">
        <f>[5]trip_summary_region!D514</f>
        <v>1</v>
      </c>
      <c r="E514">
        <f>[5]trip_summary_region!E514</f>
        <v>2</v>
      </c>
      <c r="F514">
        <f>[5]trip_summary_region!F514</f>
        <v>4.7478185399999998E-2</v>
      </c>
      <c r="G514">
        <f>[5]trip_summary_region!G514</f>
        <v>0.32494070110000001</v>
      </c>
      <c r="H514">
        <f>[5]trip_summary_region!H514</f>
        <v>7.9130308999999996E-3</v>
      </c>
      <c r="I514" t="str">
        <f>[5]trip_summary_region!I514</f>
        <v>Local Train</v>
      </c>
      <c r="J514" t="str">
        <f>[5]trip_summary_region!J514</f>
        <v>2017/18</v>
      </c>
    </row>
    <row r="515" spans="1:10" x14ac:dyDescent="0.2">
      <c r="A515" t="str">
        <f>[5]trip_summary_region!A515</f>
        <v>07 TARANAKI</v>
      </c>
      <c r="B515">
        <f>[5]trip_summary_region!B515</f>
        <v>6</v>
      </c>
      <c r="C515">
        <f>[5]trip_summary_region!C515</f>
        <v>2023</v>
      </c>
      <c r="D515">
        <f>[5]trip_summary_region!D515</f>
        <v>1</v>
      </c>
      <c r="E515">
        <f>[5]trip_summary_region!E515</f>
        <v>2</v>
      </c>
      <c r="F515">
        <f>[5]trip_summary_region!F515</f>
        <v>4.3247241499999999E-2</v>
      </c>
      <c r="G515">
        <f>[5]trip_summary_region!G515</f>
        <v>0.29598412099999999</v>
      </c>
      <c r="H515">
        <f>[5]trip_summary_region!H515</f>
        <v>7.2078736000000003E-3</v>
      </c>
      <c r="I515" t="str">
        <f>[5]trip_summary_region!I515</f>
        <v>Local Train</v>
      </c>
      <c r="J515" t="str">
        <f>[5]trip_summary_region!J515</f>
        <v>2022/23</v>
      </c>
    </row>
    <row r="516" spans="1:10" x14ac:dyDescent="0.2">
      <c r="A516" t="str">
        <f>[5]trip_summary_region!A516</f>
        <v>07 TARANAKI</v>
      </c>
      <c r="B516">
        <f>[5]trip_summary_region!B516</f>
        <v>6</v>
      </c>
      <c r="C516">
        <f>[5]trip_summary_region!C516</f>
        <v>2028</v>
      </c>
      <c r="D516">
        <f>[5]trip_summary_region!D516</f>
        <v>1</v>
      </c>
      <c r="E516">
        <f>[5]trip_summary_region!E516</f>
        <v>2</v>
      </c>
      <c r="F516">
        <f>[5]trip_summary_region!F516</f>
        <v>4.2021550499999998E-2</v>
      </c>
      <c r="G516">
        <f>[5]trip_summary_region!G516</f>
        <v>0.28759549169999998</v>
      </c>
      <c r="H516">
        <f>[5]trip_summary_region!H516</f>
        <v>7.0035918000000003E-3</v>
      </c>
      <c r="I516" t="str">
        <f>[5]trip_summary_region!I516</f>
        <v>Local Train</v>
      </c>
      <c r="J516" t="str">
        <f>[5]trip_summary_region!J516</f>
        <v>2027/28</v>
      </c>
    </row>
    <row r="517" spans="1:10" x14ac:dyDescent="0.2">
      <c r="A517" t="str">
        <f>[5]trip_summary_region!A517</f>
        <v>07 TARANAKI</v>
      </c>
      <c r="B517">
        <f>[5]trip_summary_region!B517</f>
        <v>6</v>
      </c>
      <c r="C517">
        <f>[5]trip_summary_region!C517</f>
        <v>2033</v>
      </c>
      <c r="D517">
        <f>[5]trip_summary_region!D517</f>
        <v>1</v>
      </c>
      <c r="E517">
        <f>[5]trip_summary_region!E517</f>
        <v>2</v>
      </c>
      <c r="F517">
        <f>[5]trip_summary_region!F517</f>
        <v>4.5695541800000003E-2</v>
      </c>
      <c r="G517">
        <f>[5]trip_summary_region!G517</f>
        <v>0.3127402883</v>
      </c>
      <c r="H517">
        <f>[5]trip_summary_region!H517</f>
        <v>7.6159236000000003E-3</v>
      </c>
      <c r="I517" t="str">
        <f>[5]trip_summary_region!I517</f>
        <v>Local Train</v>
      </c>
      <c r="J517" t="str">
        <f>[5]trip_summary_region!J517</f>
        <v>2032/33</v>
      </c>
    </row>
    <row r="518" spans="1:10" x14ac:dyDescent="0.2">
      <c r="A518" t="str">
        <f>[5]trip_summary_region!A518</f>
        <v>07 TARANAKI</v>
      </c>
      <c r="B518">
        <f>[5]trip_summary_region!B518</f>
        <v>6</v>
      </c>
      <c r="C518">
        <f>[5]trip_summary_region!C518</f>
        <v>2038</v>
      </c>
      <c r="D518">
        <f>[5]trip_summary_region!D518</f>
        <v>1</v>
      </c>
      <c r="E518">
        <f>[5]trip_summary_region!E518</f>
        <v>2</v>
      </c>
      <c r="F518">
        <f>[5]trip_summary_region!F518</f>
        <v>5.2861065999999998E-2</v>
      </c>
      <c r="G518">
        <f>[5]trip_summary_region!G518</f>
        <v>0.361781136</v>
      </c>
      <c r="H518">
        <f>[5]trip_summary_region!H518</f>
        <v>8.8101776999999996E-3</v>
      </c>
      <c r="I518" t="str">
        <f>[5]trip_summary_region!I518</f>
        <v>Local Train</v>
      </c>
      <c r="J518" t="str">
        <f>[5]trip_summary_region!J518</f>
        <v>2037/38</v>
      </c>
    </row>
    <row r="519" spans="1:10" x14ac:dyDescent="0.2">
      <c r="A519" t="str">
        <f>[5]trip_summary_region!A519</f>
        <v>07 TARANAKI</v>
      </c>
      <c r="B519">
        <f>[5]trip_summary_region!B519</f>
        <v>6</v>
      </c>
      <c r="C519">
        <f>[5]trip_summary_region!C519</f>
        <v>2043</v>
      </c>
      <c r="D519">
        <f>[5]trip_summary_region!D519</f>
        <v>1</v>
      </c>
      <c r="E519">
        <f>[5]trip_summary_region!E519</f>
        <v>2</v>
      </c>
      <c r="F519">
        <f>[5]trip_summary_region!F519</f>
        <v>5.9825714299999999E-2</v>
      </c>
      <c r="G519">
        <f>[5]trip_summary_region!G519</f>
        <v>0.4094471884</v>
      </c>
      <c r="H519">
        <f>[5]trip_summary_region!H519</f>
        <v>9.9709524000000001E-3</v>
      </c>
      <c r="I519" t="str">
        <f>[5]trip_summary_region!I519</f>
        <v>Local Train</v>
      </c>
      <c r="J519" t="str">
        <f>[5]trip_summary_region!J519</f>
        <v>2042/43</v>
      </c>
    </row>
    <row r="520" spans="1:10" x14ac:dyDescent="0.2">
      <c r="A520" t="str">
        <f>[5]trip_summary_region!A520</f>
        <v>07 TARANAKI</v>
      </c>
      <c r="B520">
        <f>[5]trip_summary_region!B520</f>
        <v>7</v>
      </c>
      <c r="C520">
        <f>[5]trip_summary_region!C520</f>
        <v>2013</v>
      </c>
      <c r="D520">
        <f>[5]trip_summary_region!D520</f>
        <v>22</v>
      </c>
      <c r="E520">
        <f>[5]trip_summary_region!E520</f>
        <v>54</v>
      </c>
      <c r="F520">
        <f>[5]trip_summary_region!F520</f>
        <v>1.2787514622</v>
      </c>
      <c r="G520">
        <f>[5]trip_summary_region!G520</f>
        <v>14.084735078</v>
      </c>
      <c r="H520">
        <f>[5]trip_summary_region!H520</f>
        <v>0.4632962336</v>
      </c>
      <c r="I520" t="str">
        <f>[5]trip_summary_region!I520</f>
        <v>Local Bus</v>
      </c>
      <c r="J520" t="str">
        <f>[5]trip_summary_region!J520</f>
        <v>2012/13</v>
      </c>
    </row>
    <row r="521" spans="1:10" x14ac:dyDescent="0.2">
      <c r="A521" t="str">
        <f>[5]trip_summary_region!A521</f>
        <v>07 TARANAKI</v>
      </c>
      <c r="B521">
        <f>[5]trip_summary_region!B521</f>
        <v>7</v>
      </c>
      <c r="C521">
        <f>[5]trip_summary_region!C521</f>
        <v>2018</v>
      </c>
      <c r="D521">
        <f>[5]trip_summary_region!D521</f>
        <v>22</v>
      </c>
      <c r="E521">
        <f>[5]trip_summary_region!E521</f>
        <v>54</v>
      </c>
      <c r="F521">
        <f>[5]trip_summary_region!F521</f>
        <v>1.2259846488999999</v>
      </c>
      <c r="G521">
        <f>[5]trip_summary_region!G521</f>
        <v>14.233859721</v>
      </c>
      <c r="H521">
        <f>[5]trip_summary_region!H521</f>
        <v>0.4401776268</v>
      </c>
      <c r="I521" t="str">
        <f>[5]trip_summary_region!I521</f>
        <v>Local Bus</v>
      </c>
      <c r="J521" t="str">
        <f>[5]trip_summary_region!J521</f>
        <v>2017/18</v>
      </c>
    </row>
    <row r="522" spans="1:10" x14ac:dyDescent="0.2">
      <c r="A522" t="str">
        <f>[5]trip_summary_region!A522</f>
        <v>07 TARANAKI</v>
      </c>
      <c r="B522">
        <f>[5]trip_summary_region!B522</f>
        <v>7</v>
      </c>
      <c r="C522">
        <f>[5]trip_summary_region!C522</f>
        <v>2023</v>
      </c>
      <c r="D522">
        <f>[5]trip_summary_region!D522</f>
        <v>22</v>
      </c>
      <c r="E522">
        <f>[5]trip_summary_region!E522</f>
        <v>54</v>
      </c>
      <c r="F522">
        <f>[5]trip_summary_region!F522</f>
        <v>1.2709805493999999</v>
      </c>
      <c r="G522">
        <f>[5]trip_summary_region!G522</f>
        <v>15.706100074</v>
      </c>
      <c r="H522">
        <f>[5]trip_summary_region!H522</f>
        <v>0.45922042800000001</v>
      </c>
      <c r="I522" t="str">
        <f>[5]trip_summary_region!I522</f>
        <v>Local Bus</v>
      </c>
      <c r="J522" t="str">
        <f>[5]trip_summary_region!J522</f>
        <v>2022/23</v>
      </c>
    </row>
    <row r="523" spans="1:10" x14ac:dyDescent="0.2">
      <c r="A523" t="str">
        <f>[5]trip_summary_region!A523</f>
        <v>07 TARANAKI</v>
      </c>
      <c r="B523">
        <f>[5]trip_summary_region!B523</f>
        <v>7</v>
      </c>
      <c r="C523">
        <f>[5]trip_summary_region!C523</f>
        <v>2028</v>
      </c>
      <c r="D523">
        <f>[5]trip_summary_region!D523</f>
        <v>22</v>
      </c>
      <c r="E523">
        <f>[5]trip_summary_region!E523</f>
        <v>54</v>
      </c>
      <c r="F523">
        <f>[5]trip_summary_region!F523</f>
        <v>1.2362657744000001</v>
      </c>
      <c r="G523">
        <f>[5]trip_summary_region!G523</f>
        <v>15.793887137</v>
      </c>
      <c r="H523">
        <f>[5]trip_summary_region!H523</f>
        <v>0.44999265170000002</v>
      </c>
      <c r="I523" t="str">
        <f>[5]trip_summary_region!I523</f>
        <v>Local Bus</v>
      </c>
      <c r="J523" t="str">
        <f>[5]trip_summary_region!J523</f>
        <v>2027/28</v>
      </c>
    </row>
    <row r="524" spans="1:10" x14ac:dyDescent="0.2">
      <c r="A524" t="str">
        <f>[5]trip_summary_region!A524</f>
        <v>07 TARANAKI</v>
      </c>
      <c r="B524">
        <f>[5]trip_summary_region!B524</f>
        <v>7</v>
      </c>
      <c r="C524">
        <f>[5]trip_summary_region!C524</f>
        <v>2033</v>
      </c>
      <c r="D524">
        <f>[5]trip_summary_region!D524</f>
        <v>22</v>
      </c>
      <c r="E524">
        <f>[5]trip_summary_region!E524</f>
        <v>54</v>
      </c>
      <c r="F524">
        <f>[5]trip_summary_region!F524</f>
        <v>1.1831858065</v>
      </c>
      <c r="G524">
        <f>[5]trip_summary_region!G524</f>
        <v>15.563459943</v>
      </c>
      <c r="H524">
        <f>[5]trip_summary_region!H524</f>
        <v>0.43446286099999998</v>
      </c>
      <c r="I524" t="str">
        <f>[5]trip_summary_region!I524</f>
        <v>Local Bus</v>
      </c>
      <c r="J524" t="str">
        <f>[5]trip_summary_region!J524</f>
        <v>2032/33</v>
      </c>
    </row>
    <row r="525" spans="1:10" x14ac:dyDescent="0.2">
      <c r="A525" t="str">
        <f>[5]trip_summary_region!A525</f>
        <v>07 TARANAKI</v>
      </c>
      <c r="B525">
        <f>[5]trip_summary_region!B525</f>
        <v>7</v>
      </c>
      <c r="C525">
        <f>[5]trip_summary_region!C525</f>
        <v>2038</v>
      </c>
      <c r="D525">
        <f>[5]trip_summary_region!D525</f>
        <v>22</v>
      </c>
      <c r="E525">
        <f>[5]trip_summary_region!E525</f>
        <v>54</v>
      </c>
      <c r="F525">
        <f>[5]trip_summary_region!F525</f>
        <v>1.1773097568999999</v>
      </c>
      <c r="G525">
        <f>[5]trip_summary_region!G525</f>
        <v>16.310720518</v>
      </c>
      <c r="H525">
        <f>[5]trip_summary_region!H525</f>
        <v>0.43955886779999997</v>
      </c>
      <c r="I525" t="str">
        <f>[5]trip_summary_region!I525</f>
        <v>Local Bus</v>
      </c>
      <c r="J525" t="str">
        <f>[5]trip_summary_region!J525</f>
        <v>2037/38</v>
      </c>
    </row>
    <row r="526" spans="1:10" x14ac:dyDescent="0.2">
      <c r="A526" t="str">
        <f>[5]trip_summary_region!A526</f>
        <v>07 TARANAKI</v>
      </c>
      <c r="B526">
        <f>[5]trip_summary_region!B526</f>
        <v>7</v>
      </c>
      <c r="C526">
        <f>[5]trip_summary_region!C526</f>
        <v>2043</v>
      </c>
      <c r="D526">
        <f>[5]trip_summary_region!D526</f>
        <v>22</v>
      </c>
      <c r="E526">
        <f>[5]trip_summary_region!E526</f>
        <v>54</v>
      </c>
      <c r="F526">
        <f>[5]trip_summary_region!F526</f>
        <v>1.1729988147999999</v>
      </c>
      <c r="G526">
        <f>[5]trip_summary_region!G526</f>
        <v>17.010189947000001</v>
      </c>
      <c r="H526">
        <f>[5]trip_summary_region!H526</f>
        <v>0.44480124669999999</v>
      </c>
      <c r="I526" t="str">
        <f>[5]trip_summary_region!I526</f>
        <v>Local Bus</v>
      </c>
      <c r="J526" t="str">
        <f>[5]trip_summary_region!J526</f>
        <v>2042/43</v>
      </c>
    </row>
    <row r="527" spans="1:10" x14ac:dyDescent="0.2">
      <c r="A527" t="str">
        <f>[5]trip_summary_region!A527</f>
        <v>07 TARANAKI</v>
      </c>
      <c r="B527">
        <f>[5]trip_summary_region!B527</f>
        <v>9</v>
      </c>
      <c r="C527">
        <f>[5]trip_summary_region!C527</f>
        <v>2013</v>
      </c>
      <c r="D527">
        <f>[5]trip_summary_region!D527</f>
        <v>4</v>
      </c>
      <c r="E527">
        <f>[5]trip_summary_region!E527</f>
        <v>11</v>
      </c>
      <c r="F527">
        <f>[5]trip_summary_region!F527</f>
        <v>0.17475937220000001</v>
      </c>
      <c r="G527">
        <f>[5]trip_summary_region!G527</f>
        <v>0</v>
      </c>
      <c r="H527">
        <f>[5]trip_summary_region!H527</f>
        <v>5.6354069499999999E-2</v>
      </c>
      <c r="I527" t="str">
        <f>[5]trip_summary_region!I527</f>
        <v>Other Household Travel</v>
      </c>
      <c r="J527" t="str">
        <f>[5]trip_summary_region!J527</f>
        <v>2012/13</v>
      </c>
    </row>
    <row r="528" spans="1:10" x14ac:dyDescent="0.2">
      <c r="A528" t="str">
        <f>[5]trip_summary_region!A528</f>
        <v>07 TARANAKI</v>
      </c>
      <c r="B528">
        <f>[5]trip_summary_region!B528</f>
        <v>9</v>
      </c>
      <c r="C528">
        <f>[5]trip_summary_region!C528</f>
        <v>2018</v>
      </c>
      <c r="D528">
        <f>[5]trip_summary_region!D528</f>
        <v>4</v>
      </c>
      <c r="E528">
        <f>[5]trip_summary_region!E528</f>
        <v>11</v>
      </c>
      <c r="F528">
        <f>[5]trip_summary_region!F528</f>
        <v>0.16870602740000001</v>
      </c>
      <c r="G528">
        <f>[5]trip_summary_region!G528</f>
        <v>0</v>
      </c>
      <c r="H528">
        <f>[5]trip_summary_region!H528</f>
        <v>5.2772287000000001E-2</v>
      </c>
      <c r="I528" t="str">
        <f>[5]trip_summary_region!I528</f>
        <v>Other Household Travel</v>
      </c>
      <c r="J528" t="str">
        <f>[5]trip_summary_region!J528</f>
        <v>2017/18</v>
      </c>
    </row>
    <row r="529" spans="1:10" x14ac:dyDescent="0.2">
      <c r="A529" t="str">
        <f>[5]trip_summary_region!A529</f>
        <v>07 TARANAKI</v>
      </c>
      <c r="B529">
        <f>[5]trip_summary_region!B529</f>
        <v>9</v>
      </c>
      <c r="C529">
        <f>[5]trip_summary_region!C529</f>
        <v>2023</v>
      </c>
      <c r="D529">
        <f>[5]trip_summary_region!D529</f>
        <v>4</v>
      </c>
      <c r="E529">
        <f>[5]trip_summary_region!E529</f>
        <v>11</v>
      </c>
      <c r="F529">
        <f>[5]trip_summary_region!F529</f>
        <v>0.17951274489999999</v>
      </c>
      <c r="G529">
        <f>[5]trip_summary_region!G529</f>
        <v>0</v>
      </c>
      <c r="H529">
        <f>[5]trip_summary_region!H529</f>
        <v>5.4526428299999999E-2</v>
      </c>
      <c r="I529" t="str">
        <f>[5]trip_summary_region!I529</f>
        <v>Other Household Travel</v>
      </c>
      <c r="J529" t="str">
        <f>[5]trip_summary_region!J529</f>
        <v>2022/23</v>
      </c>
    </row>
    <row r="530" spans="1:10" x14ac:dyDescent="0.2">
      <c r="A530" t="str">
        <f>[5]trip_summary_region!A530</f>
        <v>07 TARANAKI</v>
      </c>
      <c r="B530">
        <f>[5]trip_summary_region!B530</f>
        <v>9</v>
      </c>
      <c r="C530">
        <f>[5]trip_summary_region!C530</f>
        <v>2028</v>
      </c>
      <c r="D530">
        <f>[5]trip_summary_region!D530</f>
        <v>4</v>
      </c>
      <c r="E530">
        <f>[5]trip_summary_region!E530</f>
        <v>11</v>
      </c>
      <c r="F530">
        <f>[5]trip_summary_region!F530</f>
        <v>0.17209788100000001</v>
      </c>
      <c r="G530">
        <f>[5]trip_summary_region!G530</f>
        <v>0</v>
      </c>
      <c r="H530">
        <f>[5]trip_summary_region!H530</f>
        <v>5.3389718099999997E-2</v>
      </c>
      <c r="I530" t="str">
        <f>[5]trip_summary_region!I530</f>
        <v>Other Household Travel</v>
      </c>
      <c r="J530" t="str">
        <f>[5]trip_summary_region!J530</f>
        <v>2027/28</v>
      </c>
    </row>
    <row r="531" spans="1:10" x14ac:dyDescent="0.2">
      <c r="A531" t="str">
        <f>[5]trip_summary_region!A531</f>
        <v>07 TARANAKI</v>
      </c>
      <c r="B531">
        <f>[5]trip_summary_region!B531</f>
        <v>9</v>
      </c>
      <c r="C531">
        <f>[5]trip_summary_region!C531</f>
        <v>2033</v>
      </c>
      <c r="D531">
        <f>[5]trip_summary_region!D531</f>
        <v>4</v>
      </c>
      <c r="E531">
        <f>[5]trip_summary_region!E531</f>
        <v>11</v>
      </c>
      <c r="F531">
        <f>[5]trip_summary_region!F531</f>
        <v>0.17226914779999999</v>
      </c>
      <c r="G531">
        <f>[5]trip_summary_region!G531</f>
        <v>0</v>
      </c>
      <c r="H531">
        <f>[5]trip_summary_region!H531</f>
        <v>5.5335361100000001E-2</v>
      </c>
      <c r="I531" t="str">
        <f>[5]trip_summary_region!I531</f>
        <v>Other Household Travel</v>
      </c>
      <c r="J531" t="str">
        <f>[5]trip_summary_region!J531</f>
        <v>2032/33</v>
      </c>
    </row>
    <row r="532" spans="1:10" x14ac:dyDescent="0.2">
      <c r="A532" t="str">
        <f>[5]trip_summary_region!A532</f>
        <v>07 TARANAKI</v>
      </c>
      <c r="B532">
        <f>[5]trip_summary_region!B532</f>
        <v>9</v>
      </c>
      <c r="C532">
        <f>[5]trip_summary_region!C532</f>
        <v>2038</v>
      </c>
      <c r="D532">
        <f>[5]trip_summary_region!D532</f>
        <v>4</v>
      </c>
      <c r="E532">
        <f>[5]trip_summary_region!E532</f>
        <v>11</v>
      </c>
      <c r="F532">
        <f>[5]trip_summary_region!F532</f>
        <v>0.16556097589999999</v>
      </c>
      <c r="G532">
        <f>[5]trip_summary_region!G532</f>
        <v>0</v>
      </c>
      <c r="H532">
        <f>[5]trip_summary_region!H532</f>
        <v>5.3430628700000003E-2</v>
      </c>
      <c r="I532" t="str">
        <f>[5]trip_summary_region!I532</f>
        <v>Other Household Travel</v>
      </c>
      <c r="J532" t="str">
        <f>[5]trip_summary_region!J532</f>
        <v>2037/38</v>
      </c>
    </row>
    <row r="533" spans="1:10" x14ac:dyDescent="0.2">
      <c r="A533" t="str">
        <f>[5]trip_summary_region!A533</f>
        <v>07 TARANAKI</v>
      </c>
      <c r="B533">
        <f>[5]trip_summary_region!B533</f>
        <v>9</v>
      </c>
      <c r="C533">
        <f>[5]trip_summary_region!C533</f>
        <v>2043</v>
      </c>
      <c r="D533">
        <f>[5]trip_summary_region!D533</f>
        <v>4</v>
      </c>
      <c r="E533">
        <f>[5]trip_summary_region!E533</f>
        <v>11</v>
      </c>
      <c r="F533">
        <f>[5]trip_summary_region!F533</f>
        <v>0.15331027459999999</v>
      </c>
      <c r="G533">
        <f>[5]trip_summary_region!G533</f>
        <v>0</v>
      </c>
      <c r="H533">
        <f>[5]trip_summary_region!H533</f>
        <v>4.8526928499999997E-2</v>
      </c>
      <c r="I533" t="str">
        <f>[5]trip_summary_region!I533</f>
        <v>Other Household Travel</v>
      </c>
      <c r="J533" t="str">
        <f>[5]trip_summary_region!J533</f>
        <v>2042/43</v>
      </c>
    </row>
    <row r="534" spans="1:10" x14ac:dyDescent="0.2">
      <c r="A534" t="str">
        <f>[5]trip_summary_region!A534</f>
        <v>07 TARANAKI</v>
      </c>
      <c r="B534">
        <f>[5]trip_summary_region!B534</f>
        <v>10</v>
      </c>
      <c r="C534">
        <f>[5]trip_summary_region!C534</f>
        <v>2013</v>
      </c>
      <c r="D534">
        <f>[5]trip_summary_region!D534</f>
        <v>7</v>
      </c>
      <c r="E534">
        <f>[5]trip_summary_region!E534</f>
        <v>9</v>
      </c>
      <c r="F534">
        <f>[5]trip_summary_region!F534</f>
        <v>0.31946750800000001</v>
      </c>
      <c r="G534">
        <f>[5]trip_summary_region!G534</f>
        <v>11.123016451</v>
      </c>
      <c r="H534">
        <f>[5]trip_summary_region!H534</f>
        <v>0.97687121219999995</v>
      </c>
      <c r="I534" t="str">
        <f>[5]trip_summary_region!I534</f>
        <v>Air/Non-Local PT</v>
      </c>
      <c r="J534" t="str">
        <f>[5]trip_summary_region!J534</f>
        <v>2012/13</v>
      </c>
    </row>
    <row r="535" spans="1:10" x14ac:dyDescent="0.2">
      <c r="A535" t="str">
        <f>[5]trip_summary_region!A535</f>
        <v>07 TARANAKI</v>
      </c>
      <c r="B535">
        <f>[5]trip_summary_region!B535</f>
        <v>10</v>
      </c>
      <c r="C535">
        <f>[5]trip_summary_region!C535</f>
        <v>2018</v>
      </c>
      <c r="D535">
        <f>[5]trip_summary_region!D535</f>
        <v>7</v>
      </c>
      <c r="E535">
        <f>[5]trip_summary_region!E535</f>
        <v>9</v>
      </c>
      <c r="F535">
        <f>[5]trip_summary_region!F535</f>
        <v>0.2473080456</v>
      </c>
      <c r="G535">
        <f>[5]trip_summary_region!G535</f>
        <v>11.702998783</v>
      </c>
      <c r="H535">
        <f>[5]trip_summary_region!H535</f>
        <v>0.75859046740000002</v>
      </c>
      <c r="I535" t="str">
        <f>[5]trip_summary_region!I535</f>
        <v>Air/Non-Local PT</v>
      </c>
      <c r="J535" t="str">
        <f>[5]trip_summary_region!J535</f>
        <v>2017/18</v>
      </c>
    </row>
    <row r="536" spans="1:10" x14ac:dyDescent="0.2">
      <c r="A536" t="str">
        <f>[5]trip_summary_region!A536</f>
        <v>07 TARANAKI</v>
      </c>
      <c r="B536">
        <f>[5]trip_summary_region!B536</f>
        <v>10</v>
      </c>
      <c r="C536">
        <f>[5]trip_summary_region!C536</f>
        <v>2023</v>
      </c>
      <c r="D536">
        <f>[5]trip_summary_region!D536</f>
        <v>7</v>
      </c>
      <c r="E536">
        <f>[5]trip_summary_region!E536</f>
        <v>9</v>
      </c>
      <c r="F536">
        <f>[5]trip_summary_region!F536</f>
        <v>0.2090709469</v>
      </c>
      <c r="G536">
        <f>[5]trip_summary_region!G536</f>
        <v>13.02078377</v>
      </c>
      <c r="H536">
        <f>[5]trip_summary_region!H536</f>
        <v>0.64681839870000002</v>
      </c>
      <c r="I536" t="str">
        <f>[5]trip_summary_region!I536</f>
        <v>Air/Non-Local PT</v>
      </c>
      <c r="J536" t="str">
        <f>[5]trip_summary_region!J536</f>
        <v>2022/23</v>
      </c>
    </row>
    <row r="537" spans="1:10" x14ac:dyDescent="0.2">
      <c r="A537" t="str">
        <f>[5]trip_summary_region!A537</f>
        <v>07 TARANAKI</v>
      </c>
      <c r="B537">
        <f>[5]trip_summary_region!B537</f>
        <v>10</v>
      </c>
      <c r="C537">
        <f>[5]trip_summary_region!C537</f>
        <v>2028</v>
      </c>
      <c r="D537">
        <f>[5]trip_summary_region!D537</f>
        <v>7</v>
      </c>
      <c r="E537">
        <f>[5]trip_summary_region!E537</f>
        <v>9</v>
      </c>
      <c r="F537">
        <f>[5]trip_summary_region!F537</f>
        <v>0.19412385130000001</v>
      </c>
      <c r="G537">
        <f>[5]trip_summary_region!G537</f>
        <v>15.41775346</v>
      </c>
      <c r="H537">
        <f>[5]trip_summary_region!H537</f>
        <v>0.60699533039999998</v>
      </c>
      <c r="I537" t="str">
        <f>[5]trip_summary_region!I537</f>
        <v>Air/Non-Local PT</v>
      </c>
      <c r="J537" t="str">
        <f>[5]trip_summary_region!J537</f>
        <v>2027/28</v>
      </c>
    </row>
    <row r="538" spans="1:10" x14ac:dyDescent="0.2">
      <c r="A538" t="str">
        <f>[5]trip_summary_region!A538</f>
        <v>07 TARANAKI</v>
      </c>
      <c r="B538">
        <f>[5]trip_summary_region!B538</f>
        <v>10</v>
      </c>
      <c r="C538">
        <f>[5]trip_summary_region!C538</f>
        <v>2033</v>
      </c>
      <c r="D538">
        <f>[5]trip_summary_region!D538</f>
        <v>7</v>
      </c>
      <c r="E538">
        <f>[5]trip_summary_region!E538</f>
        <v>9</v>
      </c>
      <c r="F538">
        <f>[5]trip_summary_region!F538</f>
        <v>0.1842468639</v>
      </c>
      <c r="G538">
        <f>[5]trip_summary_region!G538</f>
        <v>17.097496394</v>
      </c>
      <c r="H538">
        <f>[5]trip_summary_region!H538</f>
        <v>0.57496019639999996</v>
      </c>
      <c r="I538" t="str">
        <f>[5]trip_summary_region!I538</f>
        <v>Air/Non-Local PT</v>
      </c>
      <c r="J538" t="str">
        <f>[5]trip_summary_region!J538</f>
        <v>2032/33</v>
      </c>
    </row>
    <row r="539" spans="1:10" x14ac:dyDescent="0.2">
      <c r="A539" t="str">
        <f>[5]trip_summary_region!A539</f>
        <v>07 TARANAKI</v>
      </c>
      <c r="B539">
        <f>[5]trip_summary_region!B539</f>
        <v>10</v>
      </c>
      <c r="C539">
        <f>[5]trip_summary_region!C539</f>
        <v>2038</v>
      </c>
      <c r="D539">
        <f>[5]trip_summary_region!D539</f>
        <v>7</v>
      </c>
      <c r="E539">
        <f>[5]trip_summary_region!E539</f>
        <v>9</v>
      </c>
      <c r="F539">
        <f>[5]trip_summary_region!F539</f>
        <v>0.17689159800000001</v>
      </c>
      <c r="G539">
        <f>[5]trip_summary_region!G539</f>
        <v>18.847315310999999</v>
      </c>
      <c r="H539">
        <f>[5]trip_summary_region!H539</f>
        <v>0.54727158460000003</v>
      </c>
      <c r="I539" t="str">
        <f>[5]trip_summary_region!I539</f>
        <v>Air/Non-Local PT</v>
      </c>
      <c r="J539" t="str">
        <f>[5]trip_summary_region!J539</f>
        <v>2037/38</v>
      </c>
    </row>
    <row r="540" spans="1:10" x14ac:dyDescent="0.2">
      <c r="A540" t="str">
        <f>[5]trip_summary_region!A540</f>
        <v>07 TARANAKI</v>
      </c>
      <c r="B540">
        <f>[5]trip_summary_region!B540</f>
        <v>10</v>
      </c>
      <c r="C540">
        <f>[5]trip_summary_region!C540</f>
        <v>2043</v>
      </c>
      <c r="D540">
        <f>[5]trip_summary_region!D540</f>
        <v>7</v>
      </c>
      <c r="E540">
        <f>[5]trip_summary_region!E540</f>
        <v>9</v>
      </c>
      <c r="F540">
        <f>[5]trip_summary_region!F540</f>
        <v>0.1705068683</v>
      </c>
      <c r="G540">
        <f>[5]trip_summary_region!G540</f>
        <v>20.427132807</v>
      </c>
      <c r="H540">
        <f>[5]trip_summary_region!H540</f>
        <v>0.5240259089</v>
      </c>
      <c r="I540" t="str">
        <f>[5]trip_summary_region!I540</f>
        <v>Air/Non-Local PT</v>
      </c>
      <c r="J540" t="str">
        <f>[5]trip_summary_region!J540</f>
        <v>2042/43</v>
      </c>
    </row>
    <row r="541" spans="1:10" x14ac:dyDescent="0.2">
      <c r="A541" t="str">
        <f>[5]trip_summary_region!A541</f>
        <v>07 TARANAKI</v>
      </c>
      <c r="B541">
        <f>[5]trip_summary_region!B541</f>
        <v>11</v>
      </c>
      <c r="C541">
        <f>[5]trip_summary_region!C541</f>
        <v>2013</v>
      </c>
      <c r="D541">
        <f>[5]trip_summary_region!D541</f>
        <v>28</v>
      </c>
      <c r="E541">
        <f>[5]trip_summary_region!E541</f>
        <v>118</v>
      </c>
      <c r="F541">
        <f>[5]trip_summary_region!F541</f>
        <v>3.0516698092999999</v>
      </c>
      <c r="G541">
        <f>[5]trip_summary_region!G541</f>
        <v>51.301529111999997</v>
      </c>
      <c r="H541">
        <f>[5]trip_summary_region!H541</f>
        <v>1.1153896443</v>
      </c>
      <c r="I541" t="str">
        <f>[5]trip_summary_region!I541</f>
        <v>Non-Household Travel</v>
      </c>
      <c r="J541" t="str">
        <f>[5]trip_summary_region!J541</f>
        <v>2012/13</v>
      </c>
    </row>
    <row r="542" spans="1:10" x14ac:dyDescent="0.2">
      <c r="A542" t="str">
        <f>[5]trip_summary_region!A542</f>
        <v>07 TARANAKI</v>
      </c>
      <c r="B542">
        <f>[5]trip_summary_region!B542</f>
        <v>11</v>
      </c>
      <c r="C542">
        <f>[5]trip_summary_region!C542</f>
        <v>2018</v>
      </c>
      <c r="D542">
        <f>[5]trip_summary_region!D542</f>
        <v>28</v>
      </c>
      <c r="E542">
        <f>[5]trip_summary_region!E542</f>
        <v>118</v>
      </c>
      <c r="F542">
        <f>[5]trip_summary_region!F542</f>
        <v>3.2074461582999998</v>
      </c>
      <c r="G542">
        <f>[5]trip_summary_region!G542</f>
        <v>53.262663197000002</v>
      </c>
      <c r="H542">
        <f>[5]trip_summary_region!H542</f>
        <v>1.1842164422999999</v>
      </c>
      <c r="I542" t="str">
        <f>[5]trip_summary_region!I542</f>
        <v>Non-Household Travel</v>
      </c>
      <c r="J542" t="str">
        <f>[5]trip_summary_region!J542</f>
        <v>2017/18</v>
      </c>
    </row>
    <row r="543" spans="1:10" x14ac:dyDescent="0.2">
      <c r="A543" t="str">
        <f>[5]trip_summary_region!A543</f>
        <v>07 TARANAKI</v>
      </c>
      <c r="B543">
        <f>[5]trip_summary_region!B543</f>
        <v>11</v>
      </c>
      <c r="C543">
        <f>[5]trip_summary_region!C543</f>
        <v>2023</v>
      </c>
      <c r="D543">
        <f>[5]trip_summary_region!D543</f>
        <v>28</v>
      </c>
      <c r="E543">
        <f>[5]trip_summary_region!E543</f>
        <v>118</v>
      </c>
      <c r="F543">
        <f>[5]trip_summary_region!F543</f>
        <v>3.7179862480999999</v>
      </c>
      <c r="G543">
        <f>[5]trip_summary_region!G543</f>
        <v>61.224273134000001</v>
      </c>
      <c r="H543">
        <f>[5]trip_summary_region!H543</f>
        <v>1.3852389569000001</v>
      </c>
      <c r="I543" t="str">
        <f>[5]trip_summary_region!I543</f>
        <v>Non-Household Travel</v>
      </c>
      <c r="J543" t="str">
        <f>[5]trip_summary_region!J543</f>
        <v>2022/23</v>
      </c>
    </row>
    <row r="544" spans="1:10" x14ac:dyDescent="0.2">
      <c r="A544" t="str">
        <f>[5]trip_summary_region!A544</f>
        <v>07 TARANAKI</v>
      </c>
      <c r="B544">
        <f>[5]trip_summary_region!B544</f>
        <v>11</v>
      </c>
      <c r="C544">
        <f>[5]trip_summary_region!C544</f>
        <v>2028</v>
      </c>
      <c r="D544">
        <f>[5]trip_summary_region!D544</f>
        <v>28</v>
      </c>
      <c r="E544">
        <f>[5]trip_summary_region!E544</f>
        <v>118</v>
      </c>
      <c r="F544">
        <f>[5]trip_summary_region!F544</f>
        <v>3.8899789636</v>
      </c>
      <c r="G544">
        <f>[5]trip_summary_region!G544</f>
        <v>62.284290564000003</v>
      </c>
      <c r="H544">
        <f>[5]trip_summary_region!H544</f>
        <v>1.4385685981</v>
      </c>
      <c r="I544" t="str">
        <f>[5]trip_summary_region!I544</f>
        <v>Non-Household Travel</v>
      </c>
      <c r="J544" t="str">
        <f>[5]trip_summary_region!J544</f>
        <v>2027/28</v>
      </c>
    </row>
    <row r="545" spans="1:10" x14ac:dyDescent="0.2">
      <c r="A545" t="str">
        <f>[5]trip_summary_region!A545</f>
        <v>07 TARANAKI</v>
      </c>
      <c r="B545">
        <f>[5]trip_summary_region!B545</f>
        <v>11</v>
      </c>
      <c r="C545">
        <f>[5]trip_summary_region!C545</f>
        <v>2033</v>
      </c>
      <c r="D545">
        <f>[5]trip_summary_region!D545</f>
        <v>28</v>
      </c>
      <c r="E545">
        <f>[5]trip_summary_region!E545</f>
        <v>118</v>
      </c>
      <c r="F545">
        <f>[5]trip_summary_region!F545</f>
        <v>3.9763565735999999</v>
      </c>
      <c r="G545">
        <f>[5]trip_summary_region!G545</f>
        <v>62.223754522999997</v>
      </c>
      <c r="H545">
        <f>[5]trip_summary_region!H545</f>
        <v>1.4517396520000001</v>
      </c>
      <c r="I545" t="str">
        <f>[5]trip_summary_region!I545</f>
        <v>Non-Household Travel</v>
      </c>
      <c r="J545" t="str">
        <f>[5]trip_summary_region!J545</f>
        <v>2032/33</v>
      </c>
    </row>
    <row r="546" spans="1:10" x14ac:dyDescent="0.2">
      <c r="A546" t="str">
        <f>[5]trip_summary_region!A546</f>
        <v>07 TARANAKI</v>
      </c>
      <c r="B546">
        <f>[5]trip_summary_region!B546</f>
        <v>11</v>
      </c>
      <c r="C546">
        <f>[5]trip_summary_region!C546</f>
        <v>2038</v>
      </c>
      <c r="D546">
        <f>[5]trip_summary_region!D546</f>
        <v>28</v>
      </c>
      <c r="E546">
        <f>[5]trip_summary_region!E546</f>
        <v>118</v>
      </c>
      <c r="F546">
        <f>[5]trip_summary_region!F546</f>
        <v>4.0237509960000004</v>
      </c>
      <c r="G546">
        <f>[5]trip_summary_region!G546</f>
        <v>61.618075013000002</v>
      </c>
      <c r="H546">
        <f>[5]trip_summary_region!H546</f>
        <v>1.4400626811999999</v>
      </c>
      <c r="I546" t="str">
        <f>[5]trip_summary_region!I546</f>
        <v>Non-Household Travel</v>
      </c>
      <c r="J546" t="str">
        <f>[5]trip_summary_region!J546</f>
        <v>2037/38</v>
      </c>
    </row>
    <row r="547" spans="1:10" x14ac:dyDescent="0.2">
      <c r="A547" t="str">
        <f>[5]trip_summary_region!A547</f>
        <v>07 TARANAKI</v>
      </c>
      <c r="B547">
        <f>[5]trip_summary_region!B547</f>
        <v>11</v>
      </c>
      <c r="C547">
        <f>[5]trip_summary_region!C547</f>
        <v>2043</v>
      </c>
      <c r="D547">
        <f>[5]trip_summary_region!D547</f>
        <v>28</v>
      </c>
      <c r="E547">
        <f>[5]trip_summary_region!E547</f>
        <v>118</v>
      </c>
      <c r="F547">
        <f>[5]trip_summary_region!F547</f>
        <v>4.0536572766000001</v>
      </c>
      <c r="G547">
        <f>[5]trip_summary_region!G547</f>
        <v>60.568247806999999</v>
      </c>
      <c r="H547">
        <f>[5]trip_summary_region!H547</f>
        <v>1.4183159008999999</v>
      </c>
      <c r="I547" t="str">
        <f>[5]trip_summary_region!I547</f>
        <v>Non-Household Travel</v>
      </c>
      <c r="J547" t="str">
        <f>[5]trip_summary_region!J547</f>
        <v>2042/43</v>
      </c>
    </row>
    <row r="548" spans="1:10" x14ac:dyDescent="0.2">
      <c r="A548" t="str">
        <f>[5]trip_summary_region!A548</f>
        <v>08 MANAWATU-WANGANUI</v>
      </c>
      <c r="B548">
        <f>[5]trip_summary_region!B548</f>
        <v>0</v>
      </c>
      <c r="C548">
        <f>[5]trip_summary_region!C548</f>
        <v>2013</v>
      </c>
      <c r="D548">
        <f>[5]trip_summary_region!D548</f>
        <v>214</v>
      </c>
      <c r="E548">
        <f>[5]trip_summary_region!E548</f>
        <v>797</v>
      </c>
      <c r="F548">
        <f>[5]trip_summary_region!F548</f>
        <v>39.544031846000003</v>
      </c>
      <c r="G548">
        <f>[5]trip_summary_region!G548</f>
        <v>32.265609755</v>
      </c>
      <c r="H548">
        <f>[5]trip_summary_region!H548</f>
        <v>8.3408449691000008</v>
      </c>
      <c r="I548" t="str">
        <f>[5]trip_summary_region!I548</f>
        <v>Pedestrian</v>
      </c>
      <c r="J548" t="str">
        <f>[5]trip_summary_region!J548</f>
        <v>2012/13</v>
      </c>
    </row>
    <row r="549" spans="1:10" x14ac:dyDescent="0.2">
      <c r="A549" t="str">
        <f>[5]trip_summary_region!A549</f>
        <v>08 MANAWATU-WANGANUI</v>
      </c>
      <c r="B549">
        <f>[5]trip_summary_region!B549</f>
        <v>0</v>
      </c>
      <c r="C549">
        <f>[5]trip_summary_region!C549</f>
        <v>2018</v>
      </c>
      <c r="D549">
        <f>[5]trip_summary_region!D549</f>
        <v>214</v>
      </c>
      <c r="E549">
        <f>[5]trip_summary_region!E549</f>
        <v>797</v>
      </c>
      <c r="F549">
        <f>[5]trip_summary_region!F549</f>
        <v>35.281600984999997</v>
      </c>
      <c r="G549">
        <f>[5]trip_summary_region!G549</f>
        <v>29.466502982000002</v>
      </c>
      <c r="H549">
        <f>[5]trip_summary_region!H549</f>
        <v>7.4580995677999997</v>
      </c>
      <c r="I549" t="str">
        <f>[5]trip_summary_region!I549</f>
        <v>Pedestrian</v>
      </c>
      <c r="J549" t="str">
        <f>[5]trip_summary_region!J549</f>
        <v>2017/18</v>
      </c>
    </row>
    <row r="550" spans="1:10" x14ac:dyDescent="0.2">
      <c r="A550" t="str">
        <f>[5]trip_summary_region!A550</f>
        <v>08 MANAWATU-WANGANUI</v>
      </c>
      <c r="B550">
        <f>[5]trip_summary_region!B550</f>
        <v>0</v>
      </c>
      <c r="C550">
        <f>[5]trip_summary_region!C550</f>
        <v>2023</v>
      </c>
      <c r="D550">
        <f>[5]trip_summary_region!D550</f>
        <v>214</v>
      </c>
      <c r="E550">
        <f>[5]trip_summary_region!E550</f>
        <v>797</v>
      </c>
      <c r="F550">
        <f>[5]trip_summary_region!F550</f>
        <v>34.243383145000003</v>
      </c>
      <c r="G550">
        <f>[5]trip_summary_region!G550</f>
        <v>29.060687991999998</v>
      </c>
      <c r="H550">
        <f>[5]trip_summary_region!H550</f>
        <v>7.1746694297999998</v>
      </c>
      <c r="I550" t="str">
        <f>[5]trip_summary_region!I550</f>
        <v>Pedestrian</v>
      </c>
      <c r="J550" t="str">
        <f>[5]trip_summary_region!J550</f>
        <v>2022/23</v>
      </c>
    </row>
    <row r="551" spans="1:10" x14ac:dyDescent="0.2">
      <c r="A551" t="str">
        <f>[5]trip_summary_region!A551</f>
        <v>08 MANAWATU-WANGANUI</v>
      </c>
      <c r="B551">
        <f>[5]trip_summary_region!B551</f>
        <v>0</v>
      </c>
      <c r="C551">
        <f>[5]trip_summary_region!C551</f>
        <v>2028</v>
      </c>
      <c r="D551">
        <f>[5]trip_summary_region!D551</f>
        <v>214</v>
      </c>
      <c r="E551">
        <f>[5]trip_summary_region!E551</f>
        <v>797</v>
      </c>
      <c r="F551">
        <f>[5]trip_summary_region!F551</f>
        <v>30.658774294000001</v>
      </c>
      <c r="G551">
        <f>[5]trip_summary_region!G551</f>
        <v>26.171112049000001</v>
      </c>
      <c r="H551">
        <f>[5]trip_summary_region!H551</f>
        <v>6.3446401915999999</v>
      </c>
      <c r="I551" t="str">
        <f>[5]trip_summary_region!I551</f>
        <v>Pedestrian</v>
      </c>
      <c r="J551" t="str">
        <f>[5]trip_summary_region!J551</f>
        <v>2027/28</v>
      </c>
    </row>
    <row r="552" spans="1:10" x14ac:dyDescent="0.2">
      <c r="A552" t="str">
        <f>[5]trip_summary_region!A552</f>
        <v>08 MANAWATU-WANGANUI</v>
      </c>
      <c r="B552">
        <f>[5]trip_summary_region!B552</f>
        <v>0</v>
      </c>
      <c r="C552">
        <f>[5]trip_summary_region!C552</f>
        <v>2033</v>
      </c>
      <c r="D552">
        <f>[5]trip_summary_region!D552</f>
        <v>214</v>
      </c>
      <c r="E552">
        <f>[5]trip_summary_region!E552</f>
        <v>797</v>
      </c>
      <c r="F552">
        <f>[5]trip_summary_region!F552</f>
        <v>27.922635207999999</v>
      </c>
      <c r="G552">
        <f>[5]trip_summary_region!G552</f>
        <v>23.859221262999998</v>
      </c>
      <c r="H552">
        <f>[5]trip_summary_region!H552</f>
        <v>5.6664411479999997</v>
      </c>
      <c r="I552" t="str">
        <f>[5]trip_summary_region!I552</f>
        <v>Pedestrian</v>
      </c>
      <c r="J552" t="str">
        <f>[5]trip_summary_region!J552</f>
        <v>2032/33</v>
      </c>
    </row>
    <row r="553" spans="1:10" x14ac:dyDescent="0.2">
      <c r="A553" t="str">
        <f>[5]trip_summary_region!A553</f>
        <v>08 MANAWATU-WANGANUI</v>
      </c>
      <c r="B553">
        <f>[5]trip_summary_region!B553</f>
        <v>0</v>
      </c>
      <c r="C553">
        <f>[5]trip_summary_region!C553</f>
        <v>2038</v>
      </c>
      <c r="D553">
        <f>[5]trip_summary_region!D553</f>
        <v>214</v>
      </c>
      <c r="E553">
        <f>[5]trip_summary_region!E553</f>
        <v>797</v>
      </c>
      <c r="F553">
        <f>[5]trip_summary_region!F553</f>
        <v>25.797808886999999</v>
      </c>
      <c r="G553">
        <f>[5]trip_summary_region!G553</f>
        <v>22.061413252000001</v>
      </c>
      <c r="H553">
        <f>[5]trip_summary_region!H553</f>
        <v>5.1034251426999999</v>
      </c>
      <c r="I553" t="str">
        <f>[5]trip_summary_region!I553</f>
        <v>Pedestrian</v>
      </c>
      <c r="J553" t="str">
        <f>[5]trip_summary_region!J553</f>
        <v>2037/38</v>
      </c>
    </row>
    <row r="554" spans="1:10" x14ac:dyDescent="0.2">
      <c r="A554" t="str">
        <f>[5]trip_summary_region!A554</f>
        <v>08 MANAWATU-WANGANUI</v>
      </c>
      <c r="B554">
        <f>[5]trip_summary_region!B554</f>
        <v>0</v>
      </c>
      <c r="C554">
        <f>[5]trip_summary_region!C554</f>
        <v>2043</v>
      </c>
      <c r="D554">
        <f>[5]trip_summary_region!D554</f>
        <v>214</v>
      </c>
      <c r="E554">
        <f>[5]trip_summary_region!E554</f>
        <v>797</v>
      </c>
      <c r="F554">
        <f>[5]trip_summary_region!F554</f>
        <v>24.045328018999999</v>
      </c>
      <c r="G554">
        <f>[5]trip_summary_region!G554</f>
        <v>20.637633812000001</v>
      </c>
      <c r="H554">
        <f>[5]trip_summary_region!H554</f>
        <v>4.6480732138</v>
      </c>
      <c r="I554" t="str">
        <f>[5]trip_summary_region!I554</f>
        <v>Pedestrian</v>
      </c>
      <c r="J554" t="str">
        <f>[5]trip_summary_region!J554</f>
        <v>2042/43</v>
      </c>
    </row>
    <row r="555" spans="1:10" x14ac:dyDescent="0.2">
      <c r="A555" t="str">
        <f>[5]trip_summary_region!A555</f>
        <v>08 MANAWATU-WANGANUI</v>
      </c>
      <c r="B555">
        <f>[5]trip_summary_region!B555</f>
        <v>1</v>
      </c>
      <c r="C555">
        <f>[5]trip_summary_region!C555</f>
        <v>2013</v>
      </c>
      <c r="D555">
        <f>[5]trip_summary_region!D555</f>
        <v>33</v>
      </c>
      <c r="E555">
        <f>[5]trip_summary_region!E555</f>
        <v>96</v>
      </c>
      <c r="F555">
        <f>[5]trip_summary_region!F555</f>
        <v>4.6745036201000003</v>
      </c>
      <c r="G555">
        <f>[5]trip_summary_region!G555</f>
        <v>20.722330986999999</v>
      </c>
      <c r="H555">
        <f>[5]trip_summary_region!H555</f>
        <v>1.7566260256999999</v>
      </c>
      <c r="I555" t="str">
        <f>[5]trip_summary_region!I555</f>
        <v>Cyclist</v>
      </c>
      <c r="J555" t="str">
        <f>[5]trip_summary_region!J555</f>
        <v>2012/13</v>
      </c>
    </row>
    <row r="556" spans="1:10" x14ac:dyDescent="0.2">
      <c r="A556" t="str">
        <f>[5]trip_summary_region!A556</f>
        <v>08 MANAWATU-WANGANUI</v>
      </c>
      <c r="B556">
        <f>[5]trip_summary_region!B556</f>
        <v>1</v>
      </c>
      <c r="C556">
        <f>[5]trip_summary_region!C556</f>
        <v>2018</v>
      </c>
      <c r="D556">
        <f>[5]trip_summary_region!D556</f>
        <v>33</v>
      </c>
      <c r="E556">
        <f>[5]trip_summary_region!E556</f>
        <v>96</v>
      </c>
      <c r="F556">
        <f>[5]trip_summary_region!F556</f>
        <v>4.6079092990000001</v>
      </c>
      <c r="G556">
        <f>[5]trip_summary_region!G556</f>
        <v>21.746357148000001</v>
      </c>
      <c r="H556">
        <f>[5]trip_summary_region!H556</f>
        <v>1.8048560574000001</v>
      </c>
      <c r="I556" t="str">
        <f>[5]trip_summary_region!I556</f>
        <v>Cyclist</v>
      </c>
      <c r="J556" t="str">
        <f>[5]trip_summary_region!J556</f>
        <v>2017/18</v>
      </c>
    </row>
    <row r="557" spans="1:10" x14ac:dyDescent="0.2">
      <c r="A557" t="str">
        <f>[5]trip_summary_region!A557</f>
        <v>08 MANAWATU-WANGANUI</v>
      </c>
      <c r="B557">
        <f>[5]trip_summary_region!B557</f>
        <v>1</v>
      </c>
      <c r="C557">
        <f>[5]trip_summary_region!C557</f>
        <v>2023</v>
      </c>
      <c r="D557">
        <f>[5]trip_summary_region!D557</f>
        <v>33</v>
      </c>
      <c r="E557">
        <f>[5]trip_summary_region!E557</f>
        <v>96</v>
      </c>
      <c r="F557">
        <f>[5]trip_summary_region!F557</f>
        <v>4.9822008565000004</v>
      </c>
      <c r="G557">
        <f>[5]trip_summary_region!G557</f>
        <v>24.594026543999998</v>
      </c>
      <c r="H557">
        <f>[5]trip_summary_region!H557</f>
        <v>2.0185444753000001</v>
      </c>
      <c r="I557" t="str">
        <f>[5]trip_summary_region!I557</f>
        <v>Cyclist</v>
      </c>
      <c r="J557" t="str">
        <f>[5]trip_summary_region!J557</f>
        <v>2022/23</v>
      </c>
    </row>
    <row r="558" spans="1:10" x14ac:dyDescent="0.2">
      <c r="A558" t="str">
        <f>[5]trip_summary_region!A558</f>
        <v>08 MANAWATU-WANGANUI</v>
      </c>
      <c r="B558">
        <f>[5]trip_summary_region!B558</f>
        <v>1</v>
      </c>
      <c r="C558">
        <f>[5]trip_summary_region!C558</f>
        <v>2028</v>
      </c>
      <c r="D558">
        <f>[5]trip_summary_region!D558</f>
        <v>33</v>
      </c>
      <c r="E558">
        <f>[5]trip_summary_region!E558</f>
        <v>96</v>
      </c>
      <c r="F558">
        <f>[5]trip_summary_region!F558</f>
        <v>5.1462659110000004</v>
      </c>
      <c r="G558">
        <f>[5]trip_summary_region!G558</f>
        <v>25.002217221999999</v>
      </c>
      <c r="H558">
        <f>[5]trip_summary_region!H558</f>
        <v>2.0807619965000002</v>
      </c>
      <c r="I558" t="str">
        <f>[5]trip_summary_region!I558</f>
        <v>Cyclist</v>
      </c>
      <c r="J558" t="str">
        <f>[5]trip_summary_region!J558</f>
        <v>2027/28</v>
      </c>
    </row>
    <row r="559" spans="1:10" x14ac:dyDescent="0.2">
      <c r="A559" t="str">
        <f>[5]trip_summary_region!A559</f>
        <v>08 MANAWATU-WANGANUI</v>
      </c>
      <c r="B559">
        <f>[5]trip_summary_region!B559</f>
        <v>1</v>
      </c>
      <c r="C559">
        <f>[5]trip_summary_region!C559</f>
        <v>2033</v>
      </c>
      <c r="D559">
        <f>[5]trip_summary_region!D559</f>
        <v>33</v>
      </c>
      <c r="E559">
        <f>[5]trip_summary_region!E559</f>
        <v>96</v>
      </c>
      <c r="F559">
        <f>[5]trip_summary_region!F559</f>
        <v>5.3332584908999996</v>
      </c>
      <c r="G559">
        <f>[5]trip_summary_region!G559</f>
        <v>25.166609346000001</v>
      </c>
      <c r="H559">
        <f>[5]trip_summary_region!H559</f>
        <v>2.1177243558000001</v>
      </c>
      <c r="I559" t="str">
        <f>[5]trip_summary_region!I559</f>
        <v>Cyclist</v>
      </c>
      <c r="J559" t="str">
        <f>[5]trip_summary_region!J559</f>
        <v>2032/33</v>
      </c>
    </row>
    <row r="560" spans="1:10" x14ac:dyDescent="0.2">
      <c r="A560" t="str">
        <f>[5]trip_summary_region!A560</f>
        <v>08 MANAWATU-WANGANUI</v>
      </c>
      <c r="B560">
        <f>[5]trip_summary_region!B560</f>
        <v>1</v>
      </c>
      <c r="C560">
        <f>[5]trip_summary_region!C560</f>
        <v>2038</v>
      </c>
      <c r="D560">
        <f>[5]trip_summary_region!D560</f>
        <v>33</v>
      </c>
      <c r="E560">
        <f>[5]trip_summary_region!E560</f>
        <v>96</v>
      </c>
      <c r="F560">
        <f>[5]trip_summary_region!F560</f>
        <v>5.2482667657000004</v>
      </c>
      <c r="G560">
        <f>[5]trip_summary_region!G560</f>
        <v>25.141745562000001</v>
      </c>
      <c r="H560">
        <f>[5]trip_summary_region!H560</f>
        <v>2.0881002178000001</v>
      </c>
      <c r="I560" t="str">
        <f>[5]trip_summary_region!I560</f>
        <v>Cyclist</v>
      </c>
      <c r="J560" t="str">
        <f>[5]trip_summary_region!J560</f>
        <v>2037/38</v>
      </c>
    </row>
    <row r="561" spans="1:10" x14ac:dyDescent="0.2">
      <c r="A561" t="str">
        <f>[5]trip_summary_region!A561</f>
        <v>08 MANAWATU-WANGANUI</v>
      </c>
      <c r="B561">
        <f>[5]trip_summary_region!B561</f>
        <v>1</v>
      </c>
      <c r="C561">
        <f>[5]trip_summary_region!C561</f>
        <v>2043</v>
      </c>
      <c r="D561">
        <f>[5]trip_summary_region!D561</f>
        <v>33</v>
      </c>
      <c r="E561">
        <f>[5]trip_summary_region!E561</f>
        <v>96</v>
      </c>
      <c r="F561">
        <f>[5]trip_summary_region!F561</f>
        <v>5.1379314098000002</v>
      </c>
      <c r="G561">
        <f>[5]trip_summary_region!G561</f>
        <v>24.912906242999998</v>
      </c>
      <c r="H561">
        <f>[5]trip_summary_region!H561</f>
        <v>2.0394340386000001</v>
      </c>
      <c r="I561" t="str">
        <f>[5]trip_summary_region!I561</f>
        <v>Cyclist</v>
      </c>
      <c r="J561" t="str">
        <f>[5]trip_summary_region!J561</f>
        <v>2042/43</v>
      </c>
    </row>
    <row r="562" spans="1:10" x14ac:dyDescent="0.2">
      <c r="A562" t="str">
        <f>[5]trip_summary_region!A562</f>
        <v>08 MANAWATU-WANGANUI</v>
      </c>
      <c r="B562">
        <f>[5]trip_summary_region!B562</f>
        <v>2</v>
      </c>
      <c r="C562">
        <f>[5]trip_summary_region!C562</f>
        <v>2013</v>
      </c>
      <c r="D562">
        <f>[5]trip_summary_region!D562</f>
        <v>588</v>
      </c>
      <c r="E562">
        <f>[5]trip_summary_region!E562</f>
        <v>4259</v>
      </c>
      <c r="F562">
        <f>[5]trip_summary_region!F562</f>
        <v>178.69640117</v>
      </c>
      <c r="G562">
        <f>[5]trip_summary_region!G562</f>
        <v>1782.4745101999999</v>
      </c>
      <c r="H562">
        <f>[5]trip_summary_region!H562</f>
        <v>42.09204356</v>
      </c>
      <c r="I562" t="str">
        <f>[5]trip_summary_region!I562</f>
        <v>Light Vehicle Driver</v>
      </c>
      <c r="J562" t="str">
        <f>[5]trip_summary_region!J562</f>
        <v>2012/13</v>
      </c>
    </row>
    <row r="563" spans="1:10" x14ac:dyDescent="0.2">
      <c r="A563" t="str">
        <f>[5]trip_summary_region!A563</f>
        <v>08 MANAWATU-WANGANUI</v>
      </c>
      <c r="B563">
        <f>[5]trip_summary_region!B563</f>
        <v>2</v>
      </c>
      <c r="C563">
        <f>[5]trip_summary_region!C563</f>
        <v>2018</v>
      </c>
      <c r="D563">
        <f>[5]trip_summary_region!D563</f>
        <v>588</v>
      </c>
      <c r="E563">
        <f>[5]trip_summary_region!E563</f>
        <v>4259</v>
      </c>
      <c r="F563">
        <f>[5]trip_summary_region!F563</f>
        <v>176.34949293</v>
      </c>
      <c r="G563">
        <f>[5]trip_summary_region!G563</f>
        <v>1784.8302051999999</v>
      </c>
      <c r="H563">
        <f>[5]trip_summary_region!H563</f>
        <v>42.024484913999999</v>
      </c>
      <c r="I563" t="str">
        <f>[5]trip_summary_region!I563</f>
        <v>Light Vehicle Driver</v>
      </c>
      <c r="J563" t="str">
        <f>[5]trip_summary_region!J563</f>
        <v>2017/18</v>
      </c>
    </row>
    <row r="564" spans="1:10" x14ac:dyDescent="0.2">
      <c r="A564" t="str">
        <f>[5]trip_summary_region!A564</f>
        <v>08 MANAWATU-WANGANUI</v>
      </c>
      <c r="B564">
        <f>[5]trip_summary_region!B564</f>
        <v>2</v>
      </c>
      <c r="C564">
        <f>[5]trip_summary_region!C564</f>
        <v>2023</v>
      </c>
      <c r="D564">
        <f>[5]trip_summary_region!D564</f>
        <v>588</v>
      </c>
      <c r="E564">
        <f>[5]trip_summary_region!E564</f>
        <v>4259</v>
      </c>
      <c r="F564">
        <f>[5]trip_summary_region!F564</f>
        <v>185.6082236</v>
      </c>
      <c r="G564">
        <f>[5]trip_summary_region!G564</f>
        <v>1915.0687966999999</v>
      </c>
      <c r="H564">
        <f>[5]trip_summary_region!H564</f>
        <v>44.774279857000003</v>
      </c>
      <c r="I564" t="str">
        <f>[5]trip_summary_region!I564</f>
        <v>Light Vehicle Driver</v>
      </c>
      <c r="J564" t="str">
        <f>[5]trip_summary_region!J564</f>
        <v>2022/23</v>
      </c>
    </row>
    <row r="565" spans="1:10" x14ac:dyDescent="0.2">
      <c r="A565" t="str">
        <f>[5]trip_summary_region!A565</f>
        <v>08 MANAWATU-WANGANUI</v>
      </c>
      <c r="B565">
        <f>[5]trip_summary_region!B565</f>
        <v>2</v>
      </c>
      <c r="C565">
        <f>[5]trip_summary_region!C565</f>
        <v>2028</v>
      </c>
      <c r="D565">
        <f>[5]trip_summary_region!D565</f>
        <v>588</v>
      </c>
      <c r="E565">
        <f>[5]trip_summary_region!E565</f>
        <v>4259</v>
      </c>
      <c r="F565">
        <f>[5]trip_summary_region!F565</f>
        <v>183.51670859999999</v>
      </c>
      <c r="G565">
        <f>[5]trip_summary_region!G565</f>
        <v>1934.6960892</v>
      </c>
      <c r="H565">
        <f>[5]trip_summary_region!H565</f>
        <v>44.740142065999997</v>
      </c>
      <c r="I565" t="str">
        <f>[5]trip_summary_region!I565</f>
        <v>Light Vehicle Driver</v>
      </c>
      <c r="J565" t="str">
        <f>[5]trip_summary_region!J565</f>
        <v>2027/28</v>
      </c>
    </row>
    <row r="566" spans="1:10" x14ac:dyDescent="0.2">
      <c r="A566" t="str">
        <f>[5]trip_summary_region!A566</f>
        <v>08 MANAWATU-WANGANUI</v>
      </c>
      <c r="B566">
        <f>[5]trip_summary_region!B566</f>
        <v>2</v>
      </c>
      <c r="C566">
        <f>[5]trip_summary_region!C566</f>
        <v>2033</v>
      </c>
      <c r="D566">
        <f>[5]trip_summary_region!D566</f>
        <v>588</v>
      </c>
      <c r="E566">
        <f>[5]trip_summary_region!E566</f>
        <v>4259</v>
      </c>
      <c r="F566">
        <f>[5]trip_summary_region!F566</f>
        <v>181.43916185</v>
      </c>
      <c r="G566">
        <f>[5]trip_summary_region!G566</f>
        <v>1932.9971674000001</v>
      </c>
      <c r="H566">
        <f>[5]trip_summary_region!H566</f>
        <v>44.418519559000003</v>
      </c>
      <c r="I566" t="str">
        <f>[5]trip_summary_region!I566</f>
        <v>Light Vehicle Driver</v>
      </c>
      <c r="J566" t="str">
        <f>[5]trip_summary_region!J566</f>
        <v>2032/33</v>
      </c>
    </row>
    <row r="567" spans="1:10" x14ac:dyDescent="0.2">
      <c r="A567" t="str">
        <f>[5]trip_summary_region!A567</f>
        <v>08 MANAWATU-WANGANUI</v>
      </c>
      <c r="B567">
        <f>[5]trip_summary_region!B567</f>
        <v>2</v>
      </c>
      <c r="C567">
        <f>[5]trip_summary_region!C567</f>
        <v>2038</v>
      </c>
      <c r="D567">
        <f>[5]trip_summary_region!D567</f>
        <v>588</v>
      </c>
      <c r="E567">
        <f>[5]trip_summary_region!E567</f>
        <v>4259</v>
      </c>
      <c r="F567">
        <f>[5]trip_summary_region!F567</f>
        <v>176.1530214</v>
      </c>
      <c r="G567">
        <f>[5]trip_summary_region!G567</f>
        <v>1894.8841007000001</v>
      </c>
      <c r="H567">
        <f>[5]trip_summary_region!H567</f>
        <v>43.248420537000001</v>
      </c>
      <c r="I567" t="str">
        <f>[5]trip_summary_region!I567</f>
        <v>Light Vehicle Driver</v>
      </c>
      <c r="J567" t="str">
        <f>[5]trip_summary_region!J567</f>
        <v>2037/38</v>
      </c>
    </row>
    <row r="568" spans="1:10" x14ac:dyDescent="0.2">
      <c r="A568" t="str">
        <f>[5]trip_summary_region!A568</f>
        <v>08 MANAWATU-WANGANUI</v>
      </c>
      <c r="B568">
        <f>[5]trip_summary_region!B568</f>
        <v>2</v>
      </c>
      <c r="C568">
        <f>[5]trip_summary_region!C568</f>
        <v>2043</v>
      </c>
      <c r="D568">
        <f>[5]trip_summary_region!D568</f>
        <v>588</v>
      </c>
      <c r="E568">
        <f>[5]trip_summary_region!E568</f>
        <v>4259</v>
      </c>
      <c r="F568">
        <f>[5]trip_summary_region!F568</f>
        <v>169.94093574999999</v>
      </c>
      <c r="G568">
        <f>[5]trip_summary_region!G568</f>
        <v>1844.1645357</v>
      </c>
      <c r="H568">
        <f>[5]trip_summary_region!H568</f>
        <v>41.809515456</v>
      </c>
      <c r="I568" t="str">
        <f>[5]trip_summary_region!I568</f>
        <v>Light Vehicle Driver</v>
      </c>
      <c r="J568" t="str">
        <f>[5]trip_summary_region!J568</f>
        <v>2042/43</v>
      </c>
    </row>
    <row r="569" spans="1:10" x14ac:dyDescent="0.2">
      <c r="A569" t="str">
        <f>[5]trip_summary_region!A569</f>
        <v>08 MANAWATU-WANGANUI</v>
      </c>
      <c r="B569">
        <f>[5]trip_summary_region!B569</f>
        <v>3</v>
      </c>
      <c r="C569">
        <f>[5]trip_summary_region!C569</f>
        <v>2013</v>
      </c>
      <c r="D569">
        <f>[5]trip_summary_region!D569</f>
        <v>425</v>
      </c>
      <c r="E569">
        <f>[5]trip_summary_region!E569</f>
        <v>2071</v>
      </c>
      <c r="F569">
        <f>[5]trip_summary_region!F569</f>
        <v>84.046137802999993</v>
      </c>
      <c r="G569">
        <f>[5]trip_summary_region!G569</f>
        <v>885.65568203999999</v>
      </c>
      <c r="H569">
        <f>[5]trip_summary_region!H569</f>
        <v>20.286542670999999</v>
      </c>
      <c r="I569" t="str">
        <f>[5]trip_summary_region!I569</f>
        <v>Light Vehicle Passenger</v>
      </c>
      <c r="J569" t="str">
        <f>[5]trip_summary_region!J569</f>
        <v>2012/13</v>
      </c>
    </row>
    <row r="570" spans="1:10" x14ac:dyDescent="0.2">
      <c r="A570" t="str">
        <f>[5]trip_summary_region!A570</f>
        <v>08 MANAWATU-WANGANUI</v>
      </c>
      <c r="B570">
        <f>[5]trip_summary_region!B570</f>
        <v>3</v>
      </c>
      <c r="C570">
        <f>[5]trip_summary_region!C570</f>
        <v>2018</v>
      </c>
      <c r="D570">
        <f>[5]trip_summary_region!D570</f>
        <v>425</v>
      </c>
      <c r="E570">
        <f>[5]trip_summary_region!E570</f>
        <v>2071</v>
      </c>
      <c r="F570">
        <f>[5]trip_summary_region!F570</f>
        <v>77.122670146999994</v>
      </c>
      <c r="G570">
        <f>[5]trip_summary_region!G570</f>
        <v>838.49369779000006</v>
      </c>
      <c r="H570">
        <f>[5]trip_summary_region!H570</f>
        <v>18.999576490999999</v>
      </c>
      <c r="I570" t="str">
        <f>[5]trip_summary_region!I570</f>
        <v>Light Vehicle Passenger</v>
      </c>
      <c r="J570" t="str">
        <f>[5]trip_summary_region!J570</f>
        <v>2017/18</v>
      </c>
    </row>
    <row r="571" spans="1:10" x14ac:dyDescent="0.2">
      <c r="A571" t="str">
        <f>[5]trip_summary_region!A571</f>
        <v>08 MANAWATU-WANGANUI</v>
      </c>
      <c r="B571">
        <f>[5]trip_summary_region!B571</f>
        <v>3</v>
      </c>
      <c r="C571">
        <f>[5]trip_summary_region!C571</f>
        <v>2023</v>
      </c>
      <c r="D571">
        <f>[5]trip_summary_region!D571</f>
        <v>425</v>
      </c>
      <c r="E571">
        <f>[5]trip_summary_region!E571</f>
        <v>2071</v>
      </c>
      <c r="F571">
        <f>[5]trip_summary_region!F571</f>
        <v>78.337310259999995</v>
      </c>
      <c r="G571">
        <f>[5]trip_summary_region!G571</f>
        <v>874.44551280999997</v>
      </c>
      <c r="H571">
        <f>[5]trip_summary_region!H571</f>
        <v>19.645238118999998</v>
      </c>
      <c r="I571" t="str">
        <f>[5]trip_summary_region!I571</f>
        <v>Light Vehicle Passenger</v>
      </c>
      <c r="J571" t="str">
        <f>[5]trip_summary_region!J571</f>
        <v>2022/23</v>
      </c>
    </row>
    <row r="572" spans="1:10" x14ac:dyDescent="0.2">
      <c r="A572" t="str">
        <f>[5]trip_summary_region!A572</f>
        <v>08 MANAWATU-WANGANUI</v>
      </c>
      <c r="B572">
        <f>[5]trip_summary_region!B572</f>
        <v>3</v>
      </c>
      <c r="C572">
        <f>[5]trip_summary_region!C572</f>
        <v>2028</v>
      </c>
      <c r="D572">
        <f>[5]trip_summary_region!D572</f>
        <v>425</v>
      </c>
      <c r="E572">
        <f>[5]trip_summary_region!E572</f>
        <v>2071</v>
      </c>
      <c r="F572">
        <f>[5]trip_summary_region!F572</f>
        <v>75.259827618000003</v>
      </c>
      <c r="G572">
        <f>[5]trip_summary_region!G572</f>
        <v>865.97740577000002</v>
      </c>
      <c r="H572">
        <f>[5]trip_summary_region!H572</f>
        <v>19.208221040000002</v>
      </c>
      <c r="I572" t="str">
        <f>[5]trip_summary_region!I572</f>
        <v>Light Vehicle Passenger</v>
      </c>
      <c r="J572" t="str">
        <f>[5]trip_summary_region!J572</f>
        <v>2027/28</v>
      </c>
    </row>
    <row r="573" spans="1:10" x14ac:dyDescent="0.2">
      <c r="A573" t="str">
        <f>[5]trip_summary_region!A573</f>
        <v>08 MANAWATU-WANGANUI</v>
      </c>
      <c r="B573">
        <f>[5]trip_summary_region!B573</f>
        <v>3</v>
      </c>
      <c r="C573">
        <f>[5]trip_summary_region!C573</f>
        <v>2033</v>
      </c>
      <c r="D573">
        <f>[5]trip_summary_region!D573</f>
        <v>425</v>
      </c>
      <c r="E573">
        <f>[5]trip_summary_region!E573</f>
        <v>2071</v>
      </c>
      <c r="F573">
        <f>[5]trip_summary_region!F573</f>
        <v>72.912658338</v>
      </c>
      <c r="G573">
        <f>[5]trip_summary_region!G573</f>
        <v>866.16679366000005</v>
      </c>
      <c r="H573">
        <f>[5]trip_summary_region!H573</f>
        <v>18.983563776</v>
      </c>
      <c r="I573" t="str">
        <f>[5]trip_summary_region!I573</f>
        <v>Light Vehicle Passenger</v>
      </c>
      <c r="J573" t="str">
        <f>[5]trip_summary_region!J573</f>
        <v>2032/33</v>
      </c>
    </row>
    <row r="574" spans="1:10" x14ac:dyDescent="0.2">
      <c r="A574" t="str">
        <f>[5]trip_summary_region!A574</f>
        <v>08 MANAWATU-WANGANUI</v>
      </c>
      <c r="B574">
        <f>[5]trip_summary_region!B574</f>
        <v>3</v>
      </c>
      <c r="C574">
        <f>[5]trip_summary_region!C574</f>
        <v>2038</v>
      </c>
      <c r="D574">
        <f>[5]trip_summary_region!D574</f>
        <v>425</v>
      </c>
      <c r="E574">
        <f>[5]trip_summary_region!E574</f>
        <v>2071</v>
      </c>
      <c r="F574">
        <f>[5]trip_summary_region!F574</f>
        <v>69.736168839000001</v>
      </c>
      <c r="G574">
        <f>[5]trip_summary_region!G574</f>
        <v>858.15119822999998</v>
      </c>
      <c r="H574">
        <f>[5]trip_summary_region!H574</f>
        <v>18.596022389000002</v>
      </c>
      <c r="I574" t="str">
        <f>[5]trip_summary_region!I574</f>
        <v>Light Vehicle Passenger</v>
      </c>
      <c r="J574" t="str">
        <f>[5]trip_summary_region!J574</f>
        <v>2037/38</v>
      </c>
    </row>
    <row r="575" spans="1:10" x14ac:dyDescent="0.2">
      <c r="A575" t="str">
        <f>[5]trip_summary_region!A575</f>
        <v>08 MANAWATU-WANGANUI</v>
      </c>
      <c r="B575">
        <f>[5]trip_summary_region!B575</f>
        <v>3</v>
      </c>
      <c r="C575">
        <f>[5]trip_summary_region!C575</f>
        <v>2043</v>
      </c>
      <c r="D575">
        <f>[5]trip_summary_region!D575</f>
        <v>425</v>
      </c>
      <c r="E575">
        <f>[5]trip_summary_region!E575</f>
        <v>2071</v>
      </c>
      <c r="F575">
        <f>[5]trip_summary_region!F575</f>
        <v>66.569127332999997</v>
      </c>
      <c r="G575">
        <f>[5]trip_summary_region!G575</f>
        <v>847.51422621999995</v>
      </c>
      <c r="H575">
        <f>[5]trip_summary_region!H575</f>
        <v>18.163996990000001</v>
      </c>
      <c r="I575" t="str">
        <f>[5]trip_summary_region!I575</f>
        <v>Light Vehicle Passenger</v>
      </c>
      <c r="J575" t="str">
        <f>[5]trip_summary_region!J575</f>
        <v>2042/43</v>
      </c>
    </row>
    <row r="576" spans="1:10" x14ac:dyDescent="0.2">
      <c r="A576" t="str">
        <f>[5]trip_summary_region!A576</f>
        <v>08 MANAWATU-WANGANUI</v>
      </c>
      <c r="B576">
        <f>[5]trip_summary_region!B576</f>
        <v>4</v>
      </c>
      <c r="C576">
        <f>[5]trip_summary_region!C576</f>
        <v>2013</v>
      </c>
      <c r="D576">
        <f>[5]trip_summary_region!D576</f>
        <v>16</v>
      </c>
      <c r="E576">
        <f>[5]trip_summary_region!E576</f>
        <v>32</v>
      </c>
      <c r="F576">
        <f>[5]trip_summary_region!F576</f>
        <v>0.99874441920000001</v>
      </c>
      <c r="G576">
        <f>[5]trip_summary_region!G576</f>
        <v>5.6344181790999999</v>
      </c>
      <c r="H576">
        <f>[5]trip_summary_region!H576</f>
        <v>0.26821620219999998</v>
      </c>
      <c r="I576" t="s">
        <v>116</v>
      </c>
      <c r="J576" t="str">
        <f>[5]trip_summary_region!J576</f>
        <v>2012/13</v>
      </c>
    </row>
    <row r="577" spans="1:10" x14ac:dyDescent="0.2">
      <c r="A577" t="str">
        <f>[5]trip_summary_region!A577</f>
        <v>08 MANAWATU-WANGANUI</v>
      </c>
      <c r="B577">
        <f>[5]trip_summary_region!B577</f>
        <v>4</v>
      </c>
      <c r="C577">
        <f>[5]trip_summary_region!C577</f>
        <v>2018</v>
      </c>
      <c r="D577">
        <f>[5]trip_summary_region!D577</f>
        <v>16</v>
      </c>
      <c r="E577">
        <f>[5]trip_summary_region!E577</f>
        <v>32</v>
      </c>
      <c r="F577">
        <f>[5]trip_summary_region!F577</f>
        <v>1.0348514642</v>
      </c>
      <c r="G577">
        <f>[5]trip_summary_region!G577</f>
        <v>6.4853087409999999</v>
      </c>
      <c r="H577">
        <f>[5]trip_summary_region!H577</f>
        <v>0.30292483749999999</v>
      </c>
      <c r="I577" t="s">
        <v>116</v>
      </c>
      <c r="J577" t="str">
        <f>[5]trip_summary_region!J577</f>
        <v>2017/18</v>
      </c>
    </row>
    <row r="578" spans="1:10" x14ac:dyDescent="0.2">
      <c r="A578" t="str">
        <f>[5]trip_summary_region!A578</f>
        <v>08 MANAWATU-WANGANUI</v>
      </c>
      <c r="B578">
        <f>[5]trip_summary_region!B578</f>
        <v>4</v>
      </c>
      <c r="C578">
        <f>[5]trip_summary_region!C578</f>
        <v>2023</v>
      </c>
      <c r="D578">
        <f>[5]trip_summary_region!D578</f>
        <v>16</v>
      </c>
      <c r="E578">
        <f>[5]trip_summary_region!E578</f>
        <v>32</v>
      </c>
      <c r="F578">
        <f>[5]trip_summary_region!F578</f>
        <v>1.1040573650000001</v>
      </c>
      <c r="G578">
        <f>[5]trip_summary_region!G578</f>
        <v>7.7098291944000001</v>
      </c>
      <c r="H578">
        <f>[5]trip_summary_region!H578</f>
        <v>0.35164711650000002</v>
      </c>
      <c r="I578" t="s">
        <v>116</v>
      </c>
      <c r="J578" t="str">
        <f>[5]trip_summary_region!J578</f>
        <v>2022/23</v>
      </c>
    </row>
    <row r="579" spans="1:10" x14ac:dyDescent="0.2">
      <c r="A579" t="str">
        <f>[5]trip_summary_region!A579</f>
        <v>08 MANAWATU-WANGANUI</v>
      </c>
      <c r="B579">
        <f>[5]trip_summary_region!B579</f>
        <v>4</v>
      </c>
      <c r="C579">
        <f>[5]trip_summary_region!C579</f>
        <v>2028</v>
      </c>
      <c r="D579">
        <f>[5]trip_summary_region!D579</f>
        <v>16</v>
      </c>
      <c r="E579">
        <f>[5]trip_summary_region!E579</f>
        <v>32</v>
      </c>
      <c r="F579">
        <f>[5]trip_summary_region!F579</f>
        <v>1.0458680064999999</v>
      </c>
      <c r="G579">
        <f>[5]trip_summary_region!G579</f>
        <v>7.9096511380000001</v>
      </c>
      <c r="H579">
        <f>[5]trip_summary_region!H579</f>
        <v>0.35395700829999999</v>
      </c>
      <c r="I579" t="s">
        <v>116</v>
      </c>
      <c r="J579" t="str">
        <f>[5]trip_summary_region!J579</f>
        <v>2027/28</v>
      </c>
    </row>
    <row r="580" spans="1:10" x14ac:dyDescent="0.2">
      <c r="A580" t="str">
        <f>[5]trip_summary_region!A580</f>
        <v>08 MANAWATU-WANGANUI</v>
      </c>
      <c r="B580">
        <f>[5]trip_summary_region!B580</f>
        <v>4</v>
      </c>
      <c r="C580">
        <f>[5]trip_summary_region!C580</f>
        <v>2033</v>
      </c>
      <c r="D580">
        <f>[5]trip_summary_region!D580</f>
        <v>16</v>
      </c>
      <c r="E580">
        <f>[5]trip_summary_region!E580</f>
        <v>32</v>
      </c>
      <c r="F580">
        <f>[5]trip_summary_region!F580</f>
        <v>0.98423749299999996</v>
      </c>
      <c r="G580">
        <f>[5]trip_summary_region!G580</f>
        <v>8.0022172043000008</v>
      </c>
      <c r="H580">
        <f>[5]trip_summary_region!H580</f>
        <v>0.35285140850000002</v>
      </c>
      <c r="I580" t="s">
        <v>116</v>
      </c>
      <c r="J580" t="str">
        <f>[5]trip_summary_region!J580</f>
        <v>2032/33</v>
      </c>
    </row>
    <row r="581" spans="1:10" x14ac:dyDescent="0.2">
      <c r="A581" t="str">
        <f>[5]trip_summary_region!A581</f>
        <v>08 MANAWATU-WANGANUI</v>
      </c>
      <c r="B581">
        <f>[5]trip_summary_region!B581</f>
        <v>4</v>
      </c>
      <c r="C581">
        <f>[5]trip_summary_region!C581</f>
        <v>2038</v>
      </c>
      <c r="D581">
        <f>[5]trip_summary_region!D581</f>
        <v>16</v>
      </c>
      <c r="E581">
        <f>[5]trip_summary_region!E581</f>
        <v>32</v>
      </c>
      <c r="F581">
        <f>[5]trip_summary_region!F581</f>
        <v>0.98584700530000002</v>
      </c>
      <c r="G581">
        <f>[5]trip_summary_region!G581</f>
        <v>8.5590025595999997</v>
      </c>
      <c r="H581">
        <f>[5]trip_summary_region!H581</f>
        <v>0.37259602530000002</v>
      </c>
      <c r="I581" t="s">
        <v>116</v>
      </c>
      <c r="J581" t="str">
        <f>[5]trip_summary_region!J581</f>
        <v>2037/38</v>
      </c>
    </row>
    <row r="582" spans="1:10" x14ac:dyDescent="0.2">
      <c r="A582" t="str">
        <f>[5]trip_summary_region!A582</f>
        <v>08 MANAWATU-WANGANUI</v>
      </c>
      <c r="B582">
        <f>[5]trip_summary_region!B582</f>
        <v>4</v>
      </c>
      <c r="C582">
        <f>[5]trip_summary_region!C582</f>
        <v>2043</v>
      </c>
      <c r="D582">
        <f>[5]trip_summary_region!D582</f>
        <v>16</v>
      </c>
      <c r="E582">
        <f>[5]trip_summary_region!E582</f>
        <v>32</v>
      </c>
      <c r="F582">
        <f>[5]trip_summary_region!F582</f>
        <v>0.99307189650000005</v>
      </c>
      <c r="G582">
        <f>[5]trip_summary_region!G582</f>
        <v>9.0861207010000005</v>
      </c>
      <c r="H582">
        <f>[5]trip_summary_region!H582</f>
        <v>0.39167442229999999</v>
      </c>
      <c r="I582" t="s">
        <v>116</v>
      </c>
      <c r="J582" t="str">
        <f>[5]trip_summary_region!J582</f>
        <v>2042/43</v>
      </c>
    </row>
    <row r="583" spans="1:10" x14ac:dyDescent="0.2">
      <c r="A583" t="str">
        <f>[5]trip_summary_region!A583</f>
        <v>08 MANAWATU-WANGANUI</v>
      </c>
      <c r="B583">
        <f>[5]trip_summary_region!B583</f>
        <v>5</v>
      </c>
      <c r="C583">
        <f>[5]trip_summary_region!C583</f>
        <v>2013</v>
      </c>
      <c r="D583">
        <f>[5]trip_summary_region!D583</f>
        <v>5</v>
      </c>
      <c r="E583">
        <f>[5]trip_summary_region!E583</f>
        <v>19</v>
      </c>
      <c r="F583">
        <f>[5]trip_summary_region!F583</f>
        <v>0.79000583589999995</v>
      </c>
      <c r="G583">
        <f>[5]trip_summary_region!G583</f>
        <v>3.8744282972000001</v>
      </c>
      <c r="H583">
        <f>[5]trip_summary_region!H583</f>
        <v>0.1643149203</v>
      </c>
      <c r="I583" t="str">
        <f>[5]trip_summary_region!I583</f>
        <v>Motorcyclist</v>
      </c>
      <c r="J583" t="str">
        <f>[5]trip_summary_region!J583</f>
        <v>2012/13</v>
      </c>
    </row>
    <row r="584" spans="1:10" x14ac:dyDescent="0.2">
      <c r="A584" t="str">
        <f>[5]trip_summary_region!A584</f>
        <v>08 MANAWATU-WANGANUI</v>
      </c>
      <c r="B584">
        <f>[5]trip_summary_region!B584</f>
        <v>5</v>
      </c>
      <c r="C584">
        <f>[5]trip_summary_region!C584</f>
        <v>2018</v>
      </c>
      <c r="D584">
        <f>[5]trip_summary_region!D584</f>
        <v>5</v>
      </c>
      <c r="E584">
        <f>[5]trip_summary_region!E584</f>
        <v>19</v>
      </c>
      <c r="F584">
        <f>[5]trip_summary_region!F584</f>
        <v>0.64176532379999995</v>
      </c>
      <c r="G584">
        <f>[5]trip_summary_region!G584</f>
        <v>3.8648928841000001</v>
      </c>
      <c r="H584">
        <f>[5]trip_summary_region!H584</f>
        <v>0.14078471270000001</v>
      </c>
      <c r="I584" t="str">
        <f>[5]trip_summary_region!I584</f>
        <v>Motorcyclist</v>
      </c>
      <c r="J584" t="str">
        <f>[5]trip_summary_region!J584</f>
        <v>2017/18</v>
      </c>
    </row>
    <row r="585" spans="1:10" x14ac:dyDescent="0.2">
      <c r="A585" t="str">
        <f>[5]trip_summary_region!A585</f>
        <v>08 MANAWATU-WANGANUI</v>
      </c>
      <c r="B585">
        <f>[5]trip_summary_region!B585</f>
        <v>5</v>
      </c>
      <c r="C585">
        <f>[5]trip_summary_region!C585</f>
        <v>2023</v>
      </c>
      <c r="D585">
        <f>[5]trip_summary_region!D585</f>
        <v>5</v>
      </c>
      <c r="E585">
        <f>[5]trip_summary_region!E585</f>
        <v>19</v>
      </c>
      <c r="F585">
        <f>[5]trip_summary_region!F585</f>
        <v>0.56650435450000003</v>
      </c>
      <c r="G585">
        <f>[5]trip_summary_region!G585</f>
        <v>4.1787028065999996</v>
      </c>
      <c r="H585">
        <f>[5]trip_summary_region!H585</f>
        <v>0.13214385449999999</v>
      </c>
      <c r="I585" t="str">
        <f>[5]trip_summary_region!I585</f>
        <v>Motorcyclist</v>
      </c>
      <c r="J585" t="str">
        <f>[5]trip_summary_region!J585</f>
        <v>2022/23</v>
      </c>
    </row>
    <row r="586" spans="1:10" x14ac:dyDescent="0.2">
      <c r="A586" t="str">
        <f>[5]trip_summary_region!A586</f>
        <v>08 MANAWATU-WANGANUI</v>
      </c>
      <c r="B586">
        <f>[5]trip_summary_region!B586</f>
        <v>5</v>
      </c>
      <c r="C586">
        <f>[5]trip_summary_region!C586</f>
        <v>2028</v>
      </c>
      <c r="D586">
        <f>[5]trip_summary_region!D586</f>
        <v>5</v>
      </c>
      <c r="E586">
        <f>[5]trip_summary_region!E586</f>
        <v>19</v>
      </c>
      <c r="F586">
        <f>[5]trip_summary_region!F586</f>
        <v>0.45233803490000002</v>
      </c>
      <c r="G586">
        <f>[5]trip_summary_region!G586</f>
        <v>3.9622549995999998</v>
      </c>
      <c r="H586">
        <f>[5]trip_summary_region!H586</f>
        <v>0.1119809568</v>
      </c>
      <c r="I586" t="str">
        <f>[5]trip_summary_region!I586</f>
        <v>Motorcyclist</v>
      </c>
      <c r="J586" t="str">
        <f>[5]trip_summary_region!J586</f>
        <v>2027/28</v>
      </c>
    </row>
    <row r="587" spans="1:10" x14ac:dyDescent="0.2">
      <c r="A587" t="str">
        <f>[5]trip_summary_region!A587</f>
        <v>08 MANAWATU-WANGANUI</v>
      </c>
      <c r="B587">
        <f>[5]trip_summary_region!B587</f>
        <v>5</v>
      </c>
      <c r="C587">
        <f>[5]trip_summary_region!C587</f>
        <v>2033</v>
      </c>
      <c r="D587">
        <f>[5]trip_summary_region!D587</f>
        <v>5</v>
      </c>
      <c r="E587">
        <f>[5]trip_summary_region!E587</f>
        <v>19</v>
      </c>
      <c r="F587">
        <f>[5]trip_summary_region!F587</f>
        <v>0.3805913038</v>
      </c>
      <c r="G587">
        <f>[5]trip_summary_region!G587</f>
        <v>3.7119609078</v>
      </c>
      <c r="H587">
        <f>[5]trip_summary_region!H587</f>
        <v>9.8321050500000007E-2</v>
      </c>
      <c r="I587" t="str">
        <f>[5]trip_summary_region!I587</f>
        <v>Motorcyclist</v>
      </c>
      <c r="J587" t="str">
        <f>[5]trip_summary_region!J587</f>
        <v>2032/33</v>
      </c>
    </row>
    <row r="588" spans="1:10" x14ac:dyDescent="0.2">
      <c r="A588" t="str">
        <f>[5]trip_summary_region!A588</f>
        <v>08 MANAWATU-WANGANUI</v>
      </c>
      <c r="B588">
        <f>[5]trip_summary_region!B588</f>
        <v>5</v>
      </c>
      <c r="C588">
        <f>[5]trip_summary_region!C588</f>
        <v>2038</v>
      </c>
      <c r="D588">
        <f>[5]trip_summary_region!D588</f>
        <v>5</v>
      </c>
      <c r="E588">
        <f>[5]trip_summary_region!E588</f>
        <v>19</v>
      </c>
      <c r="F588">
        <f>[5]trip_summary_region!F588</f>
        <v>0.33518286990000001</v>
      </c>
      <c r="G588">
        <f>[5]trip_summary_region!G588</f>
        <v>3.5263935580000001</v>
      </c>
      <c r="H588">
        <f>[5]trip_summary_region!H588</f>
        <v>8.9537956200000005E-2</v>
      </c>
      <c r="I588" t="str">
        <f>[5]trip_summary_region!I588</f>
        <v>Motorcyclist</v>
      </c>
      <c r="J588" t="str">
        <f>[5]trip_summary_region!J588</f>
        <v>2037/38</v>
      </c>
    </row>
    <row r="589" spans="1:10" x14ac:dyDescent="0.2">
      <c r="A589" t="str">
        <f>[5]trip_summary_region!A589</f>
        <v>08 MANAWATU-WANGANUI</v>
      </c>
      <c r="B589">
        <f>[5]trip_summary_region!B589</f>
        <v>5</v>
      </c>
      <c r="C589">
        <f>[5]trip_summary_region!C589</f>
        <v>2043</v>
      </c>
      <c r="D589">
        <f>[5]trip_summary_region!D589</f>
        <v>5</v>
      </c>
      <c r="E589">
        <f>[5]trip_summary_region!E589</f>
        <v>19</v>
      </c>
      <c r="F589">
        <f>[5]trip_summary_region!F589</f>
        <v>0.29123330730000002</v>
      </c>
      <c r="G589">
        <f>[5]trip_summary_region!G589</f>
        <v>3.3161715956000002</v>
      </c>
      <c r="H589">
        <f>[5]trip_summary_region!H589</f>
        <v>8.0655949800000001E-2</v>
      </c>
      <c r="I589" t="str">
        <f>[5]trip_summary_region!I589</f>
        <v>Motorcyclist</v>
      </c>
      <c r="J589" t="str">
        <f>[5]trip_summary_region!J589</f>
        <v>2042/43</v>
      </c>
    </row>
    <row r="590" spans="1:10" x14ac:dyDescent="0.2">
      <c r="A590" t="str">
        <f>[5]trip_summary_region!A590</f>
        <v>08 MANAWATU-WANGANUI</v>
      </c>
      <c r="B590">
        <f>[5]trip_summary_region!B590</f>
        <v>7</v>
      </c>
      <c r="C590">
        <f>[5]trip_summary_region!C590</f>
        <v>2013</v>
      </c>
      <c r="D590">
        <f>[5]trip_summary_region!D590</f>
        <v>41</v>
      </c>
      <c r="E590">
        <f>[5]trip_summary_region!E590</f>
        <v>90</v>
      </c>
      <c r="F590">
        <f>[5]trip_summary_region!F590</f>
        <v>5.2110099151</v>
      </c>
      <c r="G590">
        <f>[5]trip_summary_region!G590</f>
        <v>39.768452936000003</v>
      </c>
      <c r="H590">
        <f>[5]trip_summary_region!H590</f>
        <v>1.7349616699999999</v>
      </c>
      <c r="I590" t="str">
        <f>[5]trip_summary_region!I590</f>
        <v>Local Bus</v>
      </c>
      <c r="J590" t="str">
        <f>[5]trip_summary_region!J590</f>
        <v>2012/13</v>
      </c>
    </row>
    <row r="591" spans="1:10" x14ac:dyDescent="0.2">
      <c r="A591" t="str">
        <f>[5]trip_summary_region!A591</f>
        <v>08 MANAWATU-WANGANUI</v>
      </c>
      <c r="B591">
        <f>[5]trip_summary_region!B591</f>
        <v>7</v>
      </c>
      <c r="C591">
        <f>[5]trip_summary_region!C591</f>
        <v>2018</v>
      </c>
      <c r="D591">
        <f>[5]trip_summary_region!D591</f>
        <v>41</v>
      </c>
      <c r="E591">
        <f>[5]trip_summary_region!E591</f>
        <v>90</v>
      </c>
      <c r="F591">
        <f>[5]trip_summary_region!F591</f>
        <v>4.3126166013000002</v>
      </c>
      <c r="G591">
        <f>[5]trip_summary_region!G591</f>
        <v>31.694402836999998</v>
      </c>
      <c r="H591">
        <f>[5]trip_summary_region!H591</f>
        <v>1.4311430845999999</v>
      </c>
      <c r="I591" t="str">
        <f>[5]trip_summary_region!I591</f>
        <v>Local Bus</v>
      </c>
      <c r="J591" t="str">
        <f>[5]trip_summary_region!J591</f>
        <v>2017/18</v>
      </c>
    </row>
    <row r="592" spans="1:10" x14ac:dyDescent="0.2">
      <c r="A592" t="str">
        <f>[5]trip_summary_region!A592</f>
        <v>08 MANAWATU-WANGANUI</v>
      </c>
      <c r="B592">
        <f>[5]trip_summary_region!B592</f>
        <v>7</v>
      </c>
      <c r="C592">
        <f>[5]trip_summary_region!C592</f>
        <v>2023</v>
      </c>
      <c r="D592">
        <f>[5]trip_summary_region!D592</f>
        <v>41</v>
      </c>
      <c r="E592">
        <f>[5]trip_summary_region!E592</f>
        <v>90</v>
      </c>
      <c r="F592">
        <f>[5]trip_summary_region!F592</f>
        <v>3.8923595990000002</v>
      </c>
      <c r="G592">
        <f>[5]trip_summary_region!G592</f>
        <v>27.914601403999999</v>
      </c>
      <c r="H592">
        <f>[5]trip_summary_region!H592</f>
        <v>1.2815809909</v>
      </c>
      <c r="I592" t="str">
        <f>[5]trip_summary_region!I592</f>
        <v>Local Bus</v>
      </c>
      <c r="J592" t="str">
        <f>[5]trip_summary_region!J592</f>
        <v>2022/23</v>
      </c>
    </row>
    <row r="593" spans="1:10" x14ac:dyDescent="0.2">
      <c r="A593" t="str">
        <f>[5]trip_summary_region!A593</f>
        <v>08 MANAWATU-WANGANUI</v>
      </c>
      <c r="B593">
        <f>[5]trip_summary_region!B593</f>
        <v>7</v>
      </c>
      <c r="C593">
        <f>[5]trip_summary_region!C593</f>
        <v>2028</v>
      </c>
      <c r="D593">
        <f>[5]trip_summary_region!D593</f>
        <v>41</v>
      </c>
      <c r="E593">
        <f>[5]trip_summary_region!E593</f>
        <v>90</v>
      </c>
      <c r="F593">
        <f>[5]trip_summary_region!F593</f>
        <v>3.4443131826000002</v>
      </c>
      <c r="G593">
        <f>[5]trip_summary_region!G593</f>
        <v>24.353701634</v>
      </c>
      <c r="H593">
        <f>[5]trip_summary_region!H593</f>
        <v>1.1177029573999999</v>
      </c>
      <c r="I593" t="str">
        <f>[5]trip_summary_region!I593</f>
        <v>Local Bus</v>
      </c>
      <c r="J593" t="str">
        <f>[5]trip_summary_region!J593</f>
        <v>2027/28</v>
      </c>
    </row>
    <row r="594" spans="1:10" x14ac:dyDescent="0.2">
      <c r="A594" t="str">
        <f>[5]trip_summary_region!A594</f>
        <v>08 MANAWATU-WANGANUI</v>
      </c>
      <c r="B594">
        <f>[5]trip_summary_region!B594</f>
        <v>7</v>
      </c>
      <c r="C594">
        <f>[5]trip_summary_region!C594</f>
        <v>2033</v>
      </c>
      <c r="D594">
        <f>[5]trip_summary_region!D594</f>
        <v>41</v>
      </c>
      <c r="E594">
        <f>[5]trip_summary_region!E594</f>
        <v>90</v>
      </c>
      <c r="F594">
        <f>[5]trip_summary_region!F594</f>
        <v>3.0860643437999999</v>
      </c>
      <c r="G594">
        <f>[5]trip_summary_region!G594</f>
        <v>21.535918241000001</v>
      </c>
      <c r="H594">
        <f>[5]trip_summary_region!H594</f>
        <v>0.99348433169999995</v>
      </c>
      <c r="I594" t="str">
        <f>[5]trip_summary_region!I594</f>
        <v>Local Bus</v>
      </c>
      <c r="J594" t="str">
        <f>[5]trip_summary_region!J594</f>
        <v>2032/33</v>
      </c>
    </row>
    <row r="595" spans="1:10" x14ac:dyDescent="0.2">
      <c r="A595" t="str">
        <f>[5]trip_summary_region!A595</f>
        <v>08 MANAWATU-WANGANUI</v>
      </c>
      <c r="B595">
        <f>[5]trip_summary_region!B595</f>
        <v>7</v>
      </c>
      <c r="C595">
        <f>[5]trip_summary_region!C595</f>
        <v>2038</v>
      </c>
      <c r="D595">
        <f>[5]trip_summary_region!D595</f>
        <v>41</v>
      </c>
      <c r="E595">
        <f>[5]trip_summary_region!E595</f>
        <v>90</v>
      </c>
      <c r="F595">
        <f>[5]trip_summary_region!F595</f>
        <v>2.7663440989999999</v>
      </c>
      <c r="G595">
        <f>[5]trip_summary_region!G595</f>
        <v>19.159372230999999</v>
      </c>
      <c r="H595">
        <f>[5]trip_summary_region!H595</f>
        <v>0.8744608532</v>
      </c>
      <c r="I595" t="str">
        <f>[5]trip_summary_region!I595</f>
        <v>Local Bus</v>
      </c>
      <c r="J595" t="str">
        <f>[5]trip_summary_region!J595</f>
        <v>2037/38</v>
      </c>
    </row>
    <row r="596" spans="1:10" x14ac:dyDescent="0.2">
      <c r="A596" t="str">
        <f>[5]trip_summary_region!A596</f>
        <v>08 MANAWATU-WANGANUI</v>
      </c>
      <c r="B596">
        <f>[5]trip_summary_region!B596</f>
        <v>7</v>
      </c>
      <c r="C596">
        <f>[5]trip_summary_region!C596</f>
        <v>2043</v>
      </c>
      <c r="D596">
        <f>[5]trip_summary_region!D596</f>
        <v>41</v>
      </c>
      <c r="E596">
        <f>[5]trip_summary_region!E596</f>
        <v>90</v>
      </c>
      <c r="F596">
        <f>[5]trip_summary_region!F596</f>
        <v>2.4487108268000002</v>
      </c>
      <c r="G596">
        <f>[5]trip_summary_region!G596</f>
        <v>17.011265295000001</v>
      </c>
      <c r="H596">
        <f>[5]trip_summary_region!H596</f>
        <v>0.76216989420000003</v>
      </c>
      <c r="I596" t="str">
        <f>[5]trip_summary_region!I596</f>
        <v>Local Bus</v>
      </c>
      <c r="J596" t="str">
        <f>[5]trip_summary_region!J596</f>
        <v>2042/43</v>
      </c>
    </row>
    <row r="597" spans="1:10" x14ac:dyDescent="0.2">
      <c r="A597" t="str">
        <f>[5]trip_summary_region!A597</f>
        <v>08 MANAWATU-WANGANUI</v>
      </c>
      <c r="B597">
        <f>[5]trip_summary_region!B597</f>
        <v>8</v>
      </c>
      <c r="C597">
        <f>[5]trip_summary_region!C597</f>
        <v>2013</v>
      </c>
      <c r="D597">
        <f>[5]trip_summary_region!D597</f>
        <v>2</v>
      </c>
      <c r="E597">
        <f>[5]trip_summary_region!E597</f>
        <v>4</v>
      </c>
      <c r="F597">
        <f>[5]trip_summary_region!F597</f>
        <v>0.1068619116</v>
      </c>
      <c r="G597">
        <f>[5]trip_summary_region!G597</f>
        <v>0</v>
      </c>
      <c r="H597">
        <f>[5]trip_summary_region!H597</f>
        <v>1.3357739E-2</v>
      </c>
      <c r="I597" t="str">
        <f>[5]trip_summary_region!I597</f>
        <v>Local Ferry</v>
      </c>
      <c r="J597" t="str">
        <f>[5]trip_summary_region!J597</f>
        <v>2012/13</v>
      </c>
    </row>
    <row r="598" spans="1:10" x14ac:dyDescent="0.2">
      <c r="A598" t="str">
        <f>[5]trip_summary_region!A598</f>
        <v>08 MANAWATU-WANGANUI</v>
      </c>
      <c r="B598">
        <f>[5]trip_summary_region!B598</f>
        <v>8</v>
      </c>
      <c r="C598">
        <f>[5]trip_summary_region!C598</f>
        <v>2018</v>
      </c>
      <c r="D598">
        <f>[5]trip_summary_region!D598</f>
        <v>2</v>
      </c>
      <c r="E598">
        <f>[5]trip_summary_region!E598</f>
        <v>4</v>
      </c>
      <c r="F598">
        <f>[5]trip_summary_region!F598</f>
        <v>0.1060596151</v>
      </c>
      <c r="G598">
        <f>[5]trip_summary_region!G598</f>
        <v>0</v>
      </c>
      <c r="H598">
        <f>[5]trip_summary_region!H598</f>
        <v>1.32574519E-2</v>
      </c>
      <c r="I598" t="str">
        <f>[5]trip_summary_region!I598</f>
        <v>Local Ferry</v>
      </c>
      <c r="J598" t="str">
        <f>[5]trip_summary_region!J598</f>
        <v>2017/18</v>
      </c>
    </row>
    <row r="599" spans="1:10" x14ac:dyDescent="0.2">
      <c r="A599" t="str">
        <f>[5]trip_summary_region!A599</f>
        <v>08 MANAWATU-WANGANUI</v>
      </c>
      <c r="B599">
        <f>[5]trip_summary_region!B599</f>
        <v>8</v>
      </c>
      <c r="C599">
        <f>[5]trip_summary_region!C599</f>
        <v>2023</v>
      </c>
      <c r="D599">
        <f>[5]trip_summary_region!D599</f>
        <v>2</v>
      </c>
      <c r="E599">
        <f>[5]trip_summary_region!E599</f>
        <v>4</v>
      </c>
      <c r="F599">
        <f>[5]trip_summary_region!F599</f>
        <v>0.1141237985</v>
      </c>
      <c r="G599">
        <f>[5]trip_summary_region!G599</f>
        <v>0</v>
      </c>
      <c r="H599">
        <f>[5]trip_summary_region!H599</f>
        <v>1.42654748E-2</v>
      </c>
      <c r="I599" t="str">
        <f>[5]trip_summary_region!I599</f>
        <v>Local Ferry</v>
      </c>
      <c r="J599" t="str">
        <f>[5]trip_summary_region!J599</f>
        <v>2022/23</v>
      </c>
    </row>
    <row r="600" spans="1:10" x14ac:dyDescent="0.2">
      <c r="A600" t="str">
        <f>[5]trip_summary_region!A600</f>
        <v>08 MANAWATU-WANGANUI</v>
      </c>
      <c r="B600">
        <f>[5]trip_summary_region!B600</f>
        <v>8</v>
      </c>
      <c r="C600">
        <f>[5]trip_summary_region!C600</f>
        <v>2028</v>
      </c>
      <c r="D600">
        <f>[5]trip_summary_region!D600</f>
        <v>2</v>
      </c>
      <c r="E600">
        <f>[5]trip_summary_region!E600</f>
        <v>4</v>
      </c>
      <c r="F600">
        <f>[5]trip_summary_region!F600</f>
        <v>0.1197609025</v>
      </c>
      <c r="G600">
        <f>[5]trip_summary_region!G600</f>
        <v>0</v>
      </c>
      <c r="H600">
        <f>[5]trip_summary_region!H600</f>
        <v>1.4970112799999999E-2</v>
      </c>
      <c r="I600" t="str">
        <f>[5]trip_summary_region!I600</f>
        <v>Local Ferry</v>
      </c>
      <c r="J600" t="str">
        <f>[5]trip_summary_region!J600</f>
        <v>2027/28</v>
      </c>
    </row>
    <row r="601" spans="1:10" x14ac:dyDescent="0.2">
      <c r="A601" t="str">
        <f>[5]trip_summary_region!A601</f>
        <v>08 MANAWATU-WANGANUI</v>
      </c>
      <c r="B601">
        <f>[5]trip_summary_region!B601</f>
        <v>8</v>
      </c>
      <c r="C601">
        <f>[5]trip_summary_region!C601</f>
        <v>2033</v>
      </c>
      <c r="D601">
        <f>[5]trip_summary_region!D601</f>
        <v>2</v>
      </c>
      <c r="E601">
        <f>[5]trip_summary_region!E601</f>
        <v>4</v>
      </c>
      <c r="F601">
        <f>[5]trip_summary_region!F601</f>
        <v>0.11512448760000001</v>
      </c>
      <c r="G601">
        <f>[5]trip_summary_region!G601</f>
        <v>0</v>
      </c>
      <c r="H601">
        <f>[5]trip_summary_region!H601</f>
        <v>1.4390561E-2</v>
      </c>
      <c r="I601" t="str">
        <f>[5]trip_summary_region!I601</f>
        <v>Local Ferry</v>
      </c>
      <c r="J601" t="str">
        <f>[5]trip_summary_region!J601</f>
        <v>2032/33</v>
      </c>
    </row>
    <row r="602" spans="1:10" x14ac:dyDescent="0.2">
      <c r="A602" t="str">
        <f>[5]trip_summary_region!A602</f>
        <v>08 MANAWATU-WANGANUI</v>
      </c>
      <c r="B602">
        <f>[5]trip_summary_region!B602</f>
        <v>8</v>
      </c>
      <c r="C602">
        <f>[5]trip_summary_region!C602</f>
        <v>2038</v>
      </c>
      <c r="D602">
        <f>[5]trip_summary_region!D602</f>
        <v>2</v>
      </c>
      <c r="E602">
        <f>[5]trip_summary_region!E602</f>
        <v>4</v>
      </c>
      <c r="F602">
        <f>[5]trip_summary_region!F602</f>
        <v>0.104391755</v>
      </c>
      <c r="G602">
        <f>[5]trip_summary_region!G602</f>
        <v>0</v>
      </c>
      <c r="H602">
        <f>[5]trip_summary_region!H602</f>
        <v>1.3048969400000001E-2</v>
      </c>
      <c r="I602" t="str">
        <f>[5]trip_summary_region!I602</f>
        <v>Local Ferry</v>
      </c>
      <c r="J602" t="str">
        <f>[5]trip_summary_region!J602</f>
        <v>2037/38</v>
      </c>
    </row>
    <row r="603" spans="1:10" x14ac:dyDescent="0.2">
      <c r="A603" t="str">
        <f>[5]trip_summary_region!A603</f>
        <v>08 MANAWATU-WANGANUI</v>
      </c>
      <c r="B603">
        <f>[5]trip_summary_region!B603</f>
        <v>8</v>
      </c>
      <c r="C603">
        <f>[5]trip_summary_region!C603</f>
        <v>2043</v>
      </c>
      <c r="D603">
        <f>[5]trip_summary_region!D603</f>
        <v>2</v>
      </c>
      <c r="E603">
        <f>[5]trip_summary_region!E603</f>
        <v>4</v>
      </c>
      <c r="F603">
        <f>[5]trip_summary_region!F603</f>
        <v>9.2469770399999998E-2</v>
      </c>
      <c r="G603">
        <f>[5]trip_summary_region!G603</f>
        <v>0</v>
      </c>
      <c r="H603">
        <f>[5]trip_summary_region!H603</f>
        <v>1.15587213E-2</v>
      </c>
      <c r="I603" t="str">
        <f>[5]trip_summary_region!I603</f>
        <v>Local Ferry</v>
      </c>
      <c r="J603" t="str">
        <f>[5]trip_summary_region!J603</f>
        <v>2042/43</v>
      </c>
    </row>
    <row r="604" spans="1:10" x14ac:dyDescent="0.2">
      <c r="A604" t="str">
        <f>[5]trip_summary_region!A604</f>
        <v>08 MANAWATU-WANGANUI</v>
      </c>
      <c r="B604">
        <f>[5]trip_summary_region!B604</f>
        <v>9</v>
      </c>
      <c r="C604">
        <f>[5]trip_summary_region!C604</f>
        <v>2013</v>
      </c>
      <c r="D604">
        <f>[5]trip_summary_region!D604</f>
        <v>2</v>
      </c>
      <c r="E604">
        <f>[5]trip_summary_region!E604</f>
        <v>5</v>
      </c>
      <c r="F604">
        <f>[5]trip_summary_region!F604</f>
        <v>0.24513607779999999</v>
      </c>
      <c r="G604">
        <f>[5]trip_summary_region!G604</f>
        <v>0</v>
      </c>
      <c r="H604">
        <f>[5]trip_summary_region!H604</f>
        <v>3.9735238899999997E-2</v>
      </c>
      <c r="I604" t="str">
        <f>[5]trip_summary_region!I604</f>
        <v>Other Household Travel</v>
      </c>
      <c r="J604" t="str">
        <f>[5]trip_summary_region!J604</f>
        <v>2012/13</v>
      </c>
    </row>
    <row r="605" spans="1:10" x14ac:dyDescent="0.2">
      <c r="A605" t="str">
        <f>[5]trip_summary_region!A605</f>
        <v>08 MANAWATU-WANGANUI</v>
      </c>
      <c r="B605">
        <f>[5]trip_summary_region!B605</f>
        <v>9</v>
      </c>
      <c r="C605">
        <f>[5]trip_summary_region!C605</f>
        <v>2018</v>
      </c>
      <c r="D605">
        <f>[5]trip_summary_region!D605</f>
        <v>2</v>
      </c>
      <c r="E605">
        <f>[5]trip_summary_region!E605</f>
        <v>5</v>
      </c>
      <c r="F605">
        <f>[5]trip_summary_region!F605</f>
        <v>0.2046765639</v>
      </c>
      <c r="G605">
        <f>[5]trip_summary_region!G605</f>
        <v>0</v>
      </c>
      <c r="H605">
        <f>[5]trip_summary_region!H605</f>
        <v>3.3104125999999998E-2</v>
      </c>
      <c r="I605" t="str">
        <f>[5]trip_summary_region!I605</f>
        <v>Other Household Travel</v>
      </c>
      <c r="J605" t="str">
        <f>[5]trip_summary_region!J605</f>
        <v>2017/18</v>
      </c>
    </row>
    <row r="606" spans="1:10" x14ac:dyDescent="0.2">
      <c r="A606" t="str">
        <f>[5]trip_summary_region!A606</f>
        <v>08 MANAWATU-WANGANUI</v>
      </c>
      <c r="B606">
        <f>[5]trip_summary_region!B606</f>
        <v>9</v>
      </c>
      <c r="C606">
        <f>[5]trip_summary_region!C606</f>
        <v>2023</v>
      </c>
      <c r="D606">
        <f>[5]trip_summary_region!D606</f>
        <v>2</v>
      </c>
      <c r="E606">
        <f>[5]trip_summary_region!E606</f>
        <v>5</v>
      </c>
      <c r="F606">
        <f>[5]trip_summary_region!F606</f>
        <v>0.1765352798</v>
      </c>
      <c r="G606">
        <f>[5]trip_summary_region!G606</f>
        <v>0</v>
      </c>
      <c r="H606">
        <f>[5]trip_summary_region!H606</f>
        <v>2.7887338399999999E-2</v>
      </c>
      <c r="I606" t="str">
        <f>[5]trip_summary_region!I606</f>
        <v>Other Household Travel</v>
      </c>
      <c r="J606" t="str">
        <f>[5]trip_summary_region!J606</f>
        <v>2022/23</v>
      </c>
    </row>
    <row r="607" spans="1:10" x14ac:dyDescent="0.2">
      <c r="A607" t="str">
        <f>[5]trip_summary_region!A607</f>
        <v>08 MANAWATU-WANGANUI</v>
      </c>
      <c r="B607">
        <f>[5]trip_summary_region!B607</f>
        <v>9</v>
      </c>
      <c r="C607">
        <f>[5]trip_summary_region!C607</f>
        <v>2028</v>
      </c>
      <c r="D607">
        <f>[5]trip_summary_region!D607</f>
        <v>2</v>
      </c>
      <c r="E607">
        <f>[5]trip_summary_region!E607</f>
        <v>5</v>
      </c>
      <c r="F607">
        <f>[5]trip_summary_region!F607</f>
        <v>0.13955092429999999</v>
      </c>
      <c r="G607">
        <f>[5]trip_summary_region!G607</f>
        <v>0</v>
      </c>
      <c r="H607">
        <f>[5]trip_summary_region!H607</f>
        <v>2.2200393799999999E-2</v>
      </c>
      <c r="I607" t="str">
        <f>[5]trip_summary_region!I607</f>
        <v>Other Household Travel</v>
      </c>
      <c r="J607" t="str">
        <f>[5]trip_summary_region!J607</f>
        <v>2027/28</v>
      </c>
    </row>
    <row r="608" spans="1:10" x14ac:dyDescent="0.2">
      <c r="A608" t="str">
        <f>[5]trip_summary_region!A608</f>
        <v>08 MANAWATU-WANGANUI</v>
      </c>
      <c r="B608">
        <f>[5]trip_summary_region!B608</f>
        <v>9</v>
      </c>
      <c r="C608">
        <f>[5]trip_summary_region!C608</f>
        <v>2033</v>
      </c>
      <c r="D608">
        <f>[5]trip_summary_region!D608</f>
        <v>2</v>
      </c>
      <c r="E608">
        <f>[5]trip_summary_region!E608</f>
        <v>5</v>
      </c>
      <c r="F608">
        <f>[5]trip_summary_region!F608</f>
        <v>0.1121803626</v>
      </c>
      <c r="G608">
        <f>[5]trip_summary_region!G608</f>
        <v>0</v>
      </c>
      <c r="H608">
        <f>[5]trip_summary_region!H608</f>
        <v>1.8029578099999999E-2</v>
      </c>
      <c r="I608" t="str">
        <f>[5]trip_summary_region!I608</f>
        <v>Other Household Travel</v>
      </c>
      <c r="J608" t="str">
        <f>[5]trip_summary_region!J608</f>
        <v>2032/33</v>
      </c>
    </row>
    <row r="609" spans="1:10" x14ac:dyDescent="0.2">
      <c r="A609" t="str">
        <f>[5]trip_summary_region!A609</f>
        <v>08 MANAWATU-WANGANUI</v>
      </c>
      <c r="B609">
        <f>[5]trip_summary_region!B609</f>
        <v>9</v>
      </c>
      <c r="C609">
        <f>[5]trip_summary_region!C609</f>
        <v>2038</v>
      </c>
      <c r="D609">
        <f>[5]trip_summary_region!D609</f>
        <v>2</v>
      </c>
      <c r="E609">
        <f>[5]trip_summary_region!E609</f>
        <v>5</v>
      </c>
      <c r="F609">
        <f>[5]trip_summary_region!F609</f>
        <v>8.7030184100000005E-2</v>
      </c>
      <c r="G609">
        <f>[5]trip_summary_region!G609</f>
        <v>0</v>
      </c>
      <c r="H609">
        <f>[5]trip_summary_region!H609</f>
        <v>1.43730627E-2</v>
      </c>
      <c r="I609" t="str">
        <f>[5]trip_summary_region!I609</f>
        <v>Other Household Travel</v>
      </c>
      <c r="J609" t="str">
        <f>[5]trip_summary_region!J609</f>
        <v>2037/38</v>
      </c>
    </row>
    <row r="610" spans="1:10" x14ac:dyDescent="0.2">
      <c r="A610" t="str">
        <f>[5]trip_summary_region!A610</f>
        <v>08 MANAWATU-WANGANUI</v>
      </c>
      <c r="B610">
        <f>[5]trip_summary_region!B610</f>
        <v>9</v>
      </c>
      <c r="C610">
        <f>[5]trip_summary_region!C610</f>
        <v>2043</v>
      </c>
      <c r="D610">
        <f>[5]trip_summary_region!D610</f>
        <v>2</v>
      </c>
      <c r="E610">
        <f>[5]trip_summary_region!E610</f>
        <v>5</v>
      </c>
      <c r="F610">
        <f>[5]trip_summary_region!F610</f>
        <v>6.5350691799999999E-2</v>
      </c>
      <c r="G610">
        <f>[5]trip_summary_region!G610</f>
        <v>0</v>
      </c>
      <c r="H610">
        <f>[5]trip_summary_region!H610</f>
        <v>1.1172613600000001E-2</v>
      </c>
      <c r="I610" t="str">
        <f>[5]trip_summary_region!I610</f>
        <v>Other Household Travel</v>
      </c>
      <c r="J610" t="str">
        <f>[5]trip_summary_region!J610</f>
        <v>2042/43</v>
      </c>
    </row>
    <row r="611" spans="1:10" x14ac:dyDescent="0.2">
      <c r="A611" t="str">
        <f>[5]trip_summary_region!A611</f>
        <v>08 MANAWATU-WANGANUI</v>
      </c>
      <c r="B611">
        <f>[5]trip_summary_region!B611</f>
        <v>10</v>
      </c>
      <c r="C611">
        <f>[5]trip_summary_region!C611</f>
        <v>2013</v>
      </c>
      <c r="D611">
        <f>[5]trip_summary_region!D611</f>
        <v>7</v>
      </c>
      <c r="E611">
        <f>[5]trip_summary_region!E611</f>
        <v>9</v>
      </c>
      <c r="F611">
        <f>[5]trip_summary_region!F611</f>
        <v>0.39226351739999998</v>
      </c>
      <c r="G611">
        <f>[5]trip_summary_region!G611</f>
        <v>21.972430028000002</v>
      </c>
      <c r="H611">
        <f>[5]trip_summary_region!H611</f>
        <v>0.73590853769999998</v>
      </c>
      <c r="I611" t="str">
        <f>[5]trip_summary_region!I611</f>
        <v>Air/Non-Local PT</v>
      </c>
      <c r="J611" t="str">
        <f>[5]trip_summary_region!J611</f>
        <v>2012/13</v>
      </c>
    </row>
    <row r="612" spans="1:10" x14ac:dyDescent="0.2">
      <c r="A612" t="str">
        <f>[5]trip_summary_region!A612</f>
        <v>08 MANAWATU-WANGANUI</v>
      </c>
      <c r="B612">
        <f>[5]trip_summary_region!B612</f>
        <v>10</v>
      </c>
      <c r="C612">
        <f>[5]trip_summary_region!C612</f>
        <v>2018</v>
      </c>
      <c r="D612">
        <f>[5]trip_summary_region!D612</f>
        <v>7</v>
      </c>
      <c r="E612">
        <f>[5]trip_summary_region!E612</f>
        <v>9</v>
      </c>
      <c r="F612">
        <f>[5]trip_summary_region!F612</f>
        <v>0.45930285300000001</v>
      </c>
      <c r="G612">
        <f>[5]trip_summary_region!G612</f>
        <v>23.050249677</v>
      </c>
      <c r="H612">
        <f>[5]trip_summary_region!H612</f>
        <v>0.82246605510000004</v>
      </c>
      <c r="I612" t="str">
        <f>[5]trip_summary_region!I612</f>
        <v>Air/Non-Local PT</v>
      </c>
      <c r="J612" t="str">
        <f>[5]trip_summary_region!J612</f>
        <v>2017/18</v>
      </c>
    </row>
    <row r="613" spans="1:10" x14ac:dyDescent="0.2">
      <c r="A613" t="str">
        <f>[5]trip_summary_region!A613</f>
        <v>08 MANAWATU-WANGANUI</v>
      </c>
      <c r="B613">
        <f>[5]trip_summary_region!B613</f>
        <v>10</v>
      </c>
      <c r="C613">
        <f>[5]trip_summary_region!C613</f>
        <v>2023</v>
      </c>
      <c r="D613">
        <f>[5]trip_summary_region!D613</f>
        <v>7</v>
      </c>
      <c r="E613">
        <f>[5]trip_summary_region!E613</f>
        <v>9</v>
      </c>
      <c r="F613">
        <f>[5]trip_summary_region!F613</f>
        <v>0.57419239730000005</v>
      </c>
      <c r="G613">
        <f>[5]trip_summary_region!G613</f>
        <v>25.860268151</v>
      </c>
      <c r="H613">
        <f>[5]trip_summary_region!H613</f>
        <v>1.0002201359</v>
      </c>
      <c r="I613" t="str">
        <f>[5]trip_summary_region!I613</f>
        <v>Air/Non-Local PT</v>
      </c>
      <c r="J613" t="str">
        <f>[5]trip_summary_region!J613</f>
        <v>2022/23</v>
      </c>
    </row>
    <row r="614" spans="1:10" x14ac:dyDescent="0.2">
      <c r="A614" t="str">
        <f>[5]trip_summary_region!A614</f>
        <v>08 MANAWATU-WANGANUI</v>
      </c>
      <c r="B614">
        <f>[5]trip_summary_region!B614</f>
        <v>10</v>
      </c>
      <c r="C614">
        <f>[5]trip_summary_region!C614</f>
        <v>2028</v>
      </c>
      <c r="D614">
        <f>[5]trip_summary_region!D614</f>
        <v>7</v>
      </c>
      <c r="E614">
        <f>[5]trip_summary_region!E614</f>
        <v>9</v>
      </c>
      <c r="F614">
        <f>[5]trip_summary_region!F614</f>
        <v>0.65480474580000003</v>
      </c>
      <c r="G614">
        <f>[5]trip_summary_region!G614</f>
        <v>28.364491792999999</v>
      </c>
      <c r="H614">
        <f>[5]trip_summary_region!H614</f>
        <v>1.1513599754999999</v>
      </c>
      <c r="I614" t="str">
        <f>[5]trip_summary_region!I614</f>
        <v>Air/Non-Local PT</v>
      </c>
      <c r="J614" t="str">
        <f>[5]trip_summary_region!J614</f>
        <v>2027/28</v>
      </c>
    </row>
    <row r="615" spans="1:10" x14ac:dyDescent="0.2">
      <c r="A615" t="str">
        <f>[5]trip_summary_region!A615</f>
        <v>08 MANAWATU-WANGANUI</v>
      </c>
      <c r="B615">
        <f>[5]trip_summary_region!B615</f>
        <v>10</v>
      </c>
      <c r="C615">
        <f>[5]trip_summary_region!C615</f>
        <v>2033</v>
      </c>
      <c r="D615">
        <f>[5]trip_summary_region!D615</f>
        <v>7</v>
      </c>
      <c r="E615">
        <f>[5]trip_summary_region!E615</f>
        <v>9</v>
      </c>
      <c r="F615">
        <f>[5]trip_summary_region!F615</f>
        <v>0.71538816910000003</v>
      </c>
      <c r="G615">
        <f>[5]trip_summary_region!G615</f>
        <v>28.506266888999999</v>
      </c>
      <c r="H615">
        <f>[5]trip_summary_region!H615</f>
        <v>1.2536040751999999</v>
      </c>
      <c r="I615" t="str">
        <f>[5]trip_summary_region!I615</f>
        <v>Air/Non-Local PT</v>
      </c>
      <c r="J615" t="str">
        <f>[5]trip_summary_region!J615</f>
        <v>2032/33</v>
      </c>
    </row>
    <row r="616" spans="1:10" x14ac:dyDescent="0.2">
      <c r="A616" t="str">
        <f>[5]trip_summary_region!A616</f>
        <v>08 MANAWATU-WANGANUI</v>
      </c>
      <c r="B616">
        <f>[5]trip_summary_region!B616</f>
        <v>10</v>
      </c>
      <c r="C616">
        <f>[5]trip_summary_region!C616</f>
        <v>2038</v>
      </c>
      <c r="D616">
        <f>[5]trip_summary_region!D616</f>
        <v>7</v>
      </c>
      <c r="E616">
        <f>[5]trip_summary_region!E616</f>
        <v>9</v>
      </c>
      <c r="F616">
        <f>[5]trip_summary_region!F616</f>
        <v>0.75203562950000002</v>
      </c>
      <c r="G616">
        <f>[5]trip_summary_region!G616</f>
        <v>25.578171831999999</v>
      </c>
      <c r="H616">
        <f>[5]trip_summary_region!H616</f>
        <v>1.2697856492999999</v>
      </c>
      <c r="I616" t="str">
        <f>[5]trip_summary_region!I616</f>
        <v>Air/Non-Local PT</v>
      </c>
      <c r="J616" t="str">
        <f>[5]trip_summary_region!J616</f>
        <v>2037/38</v>
      </c>
    </row>
    <row r="617" spans="1:10" x14ac:dyDescent="0.2">
      <c r="A617" t="str">
        <f>[5]trip_summary_region!A617</f>
        <v>08 MANAWATU-WANGANUI</v>
      </c>
      <c r="B617">
        <f>[5]trip_summary_region!B617</f>
        <v>10</v>
      </c>
      <c r="C617">
        <f>[5]trip_summary_region!C617</f>
        <v>2043</v>
      </c>
      <c r="D617">
        <f>[5]trip_summary_region!D617</f>
        <v>7</v>
      </c>
      <c r="E617">
        <f>[5]trip_summary_region!E617</f>
        <v>9</v>
      </c>
      <c r="F617">
        <f>[5]trip_summary_region!F617</f>
        <v>0.78458561709999997</v>
      </c>
      <c r="G617">
        <f>[5]trip_summary_region!G617</f>
        <v>22.36289966</v>
      </c>
      <c r="H617">
        <f>[5]trip_summary_region!H617</f>
        <v>1.2758726060000001</v>
      </c>
      <c r="I617" t="str">
        <f>[5]trip_summary_region!I617</f>
        <v>Air/Non-Local PT</v>
      </c>
      <c r="J617" t="str">
        <f>[5]trip_summary_region!J617</f>
        <v>2042/43</v>
      </c>
    </row>
    <row r="618" spans="1:10" x14ac:dyDescent="0.2">
      <c r="A618" t="str">
        <f>[5]trip_summary_region!A618</f>
        <v>08 MANAWATU-WANGANUI</v>
      </c>
      <c r="B618">
        <f>[5]trip_summary_region!B618</f>
        <v>11</v>
      </c>
      <c r="C618">
        <f>[5]trip_summary_region!C618</f>
        <v>2013</v>
      </c>
      <c r="D618">
        <f>[5]trip_summary_region!D618</f>
        <v>12</v>
      </c>
      <c r="E618">
        <f>[5]trip_summary_region!E618</f>
        <v>37</v>
      </c>
      <c r="F618">
        <f>[5]trip_summary_region!F618</f>
        <v>1.6982787315000001</v>
      </c>
      <c r="G618">
        <f>[5]trip_summary_region!G618</f>
        <v>38.826541556000002</v>
      </c>
      <c r="H618">
        <f>[5]trip_summary_region!H618</f>
        <v>0.76899050189999996</v>
      </c>
      <c r="I618" t="str">
        <f>[5]trip_summary_region!I618</f>
        <v>Non-Household Travel</v>
      </c>
      <c r="J618" t="str">
        <f>[5]trip_summary_region!J618</f>
        <v>2012/13</v>
      </c>
    </row>
    <row r="619" spans="1:10" x14ac:dyDescent="0.2">
      <c r="A619" t="str">
        <f>[5]trip_summary_region!A619</f>
        <v>08 MANAWATU-WANGANUI</v>
      </c>
      <c r="B619">
        <f>[5]trip_summary_region!B619</f>
        <v>11</v>
      </c>
      <c r="C619">
        <f>[5]trip_summary_region!C619</f>
        <v>2018</v>
      </c>
      <c r="D619">
        <f>[5]trip_summary_region!D619</f>
        <v>12</v>
      </c>
      <c r="E619">
        <f>[5]trip_summary_region!E619</f>
        <v>37</v>
      </c>
      <c r="F619">
        <f>[5]trip_summary_region!F619</f>
        <v>1.578165504</v>
      </c>
      <c r="G619">
        <f>[5]trip_summary_region!G619</f>
        <v>35.824974361000002</v>
      </c>
      <c r="H619">
        <f>[5]trip_summary_region!H619</f>
        <v>0.7224841353</v>
      </c>
      <c r="I619" t="str">
        <f>[5]trip_summary_region!I619</f>
        <v>Non-Household Travel</v>
      </c>
      <c r="J619" t="str">
        <f>[5]trip_summary_region!J619</f>
        <v>2017/18</v>
      </c>
    </row>
    <row r="620" spans="1:10" x14ac:dyDescent="0.2">
      <c r="A620" t="str">
        <f>[5]trip_summary_region!A620</f>
        <v>08 MANAWATU-WANGANUI</v>
      </c>
      <c r="B620">
        <f>[5]trip_summary_region!B620</f>
        <v>11</v>
      </c>
      <c r="C620">
        <f>[5]trip_summary_region!C620</f>
        <v>2023</v>
      </c>
      <c r="D620">
        <f>[5]trip_summary_region!D620</f>
        <v>12</v>
      </c>
      <c r="E620">
        <f>[5]trip_summary_region!E620</f>
        <v>37</v>
      </c>
      <c r="F620">
        <f>[5]trip_summary_region!F620</f>
        <v>1.6514728424</v>
      </c>
      <c r="G620">
        <f>[5]trip_summary_region!G620</f>
        <v>37.824670009000002</v>
      </c>
      <c r="H620">
        <f>[5]trip_summary_region!H620</f>
        <v>0.77048099889999999</v>
      </c>
      <c r="I620" t="str">
        <f>[5]trip_summary_region!I620</f>
        <v>Non-Household Travel</v>
      </c>
      <c r="J620" t="str">
        <f>[5]trip_summary_region!J620</f>
        <v>2022/23</v>
      </c>
    </row>
    <row r="621" spans="1:10" x14ac:dyDescent="0.2">
      <c r="A621" t="str">
        <f>[5]trip_summary_region!A621</f>
        <v>08 MANAWATU-WANGANUI</v>
      </c>
      <c r="B621">
        <f>[5]trip_summary_region!B621</f>
        <v>11</v>
      </c>
      <c r="C621">
        <f>[5]trip_summary_region!C621</f>
        <v>2028</v>
      </c>
      <c r="D621">
        <f>[5]trip_summary_region!D621</f>
        <v>12</v>
      </c>
      <c r="E621">
        <f>[5]trip_summary_region!E621</f>
        <v>37</v>
      </c>
      <c r="F621">
        <f>[5]trip_summary_region!F621</f>
        <v>1.6762303526</v>
      </c>
      <c r="G621">
        <f>[5]trip_summary_region!G621</f>
        <v>39.342611968</v>
      </c>
      <c r="H621">
        <f>[5]trip_summary_region!H621</f>
        <v>0.79717298510000001</v>
      </c>
      <c r="I621" t="str">
        <f>[5]trip_summary_region!I621</f>
        <v>Non-Household Travel</v>
      </c>
      <c r="J621" t="str">
        <f>[5]trip_summary_region!J621</f>
        <v>2027/28</v>
      </c>
    </row>
    <row r="622" spans="1:10" x14ac:dyDescent="0.2">
      <c r="A622" t="str">
        <f>[5]trip_summary_region!A622</f>
        <v>08 MANAWATU-WANGANUI</v>
      </c>
      <c r="B622">
        <f>[5]trip_summary_region!B622</f>
        <v>11</v>
      </c>
      <c r="C622">
        <f>[5]trip_summary_region!C622</f>
        <v>2033</v>
      </c>
      <c r="D622">
        <f>[5]trip_summary_region!D622</f>
        <v>12</v>
      </c>
      <c r="E622">
        <f>[5]trip_summary_region!E622</f>
        <v>37</v>
      </c>
      <c r="F622">
        <f>[5]trip_summary_region!F622</f>
        <v>1.6433430725</v>
      </c>
      <c r="G622">
        <f>[5]trip_summary_region!G622</f>
        <v>40.62039309</v>
      </c>
      <c r="H622">
        <f>[5]trip_summary_region!H622</f>
        <v>0.80991094850000001</v>
      </c>
      <c r="I622" t="str">
        <f>[5]trip_summary_region!I622</f>
        <v>Non-Household Travel</v>
      </c>
      <c r="J622" t="str">
        <f>[5]trip_summary_region!J622</f>
        <v>2032/33</v>
      </c>
    </row>
    <row r="623" spans="1:10" x14ac:dyDescent="0.2">
      <c r="A623" t="str">
        <f>[5]trip_summary_region!A623</f>
        <v>08 MANAWATU-WANGANUI</v>
      </c>
      <c r="B623">
        <f>[5]trip_summary_region!B623</f>
        <v>11</v>
      </c>
      <c r="C623">
        <f>[5]trip_summary_region!C623</f>
        <v>2038</v>
      </c>
      <c r="D623">
        <f>[5]trip_summary_region!D623</f>
        <v>12</v>
      </c>
      <c r="E623">
        <f>[5]trip_summary_region!E623</f>
        <v>37</v>
      </c>
      <c r="F623">
        <f>[5]trip_summary_region!F623</f>
        <v>1.5718071697</v>
      </c>
      <c r="G623">
        <f>[5]trip_summary_region!G623</f>
        <v>40.124336606</v>
      </c>
      <c r="H623">
        <f>[5]trip_summary_region!H623</f>
        <v>0.79220111289999995</v>
      </c>
      <c r="I623" t="str">
        <f>[5]trip_summary_region!I623</f>
        <v>Non-Household Travel</v>
      </c>
      <c r="J623" t="str">
        <f>[5]trip_summary_region!J623</f>
        <v>2037/38</v>
      </c>
    </row>
    <row r="624" spans="1:10" x14ac:dyDescent="0.2">
      <c r="A624" t="str">
        <f>[5]trip_summary_region!A624</f>
        <v>08 MANAWATU-WANGANUI</v>
      </c>
      <c r="B624">
        <f>[5]trip_summary_region!B624</f>
        <v>11</v>
      </c>
      <c r="C624">
        <f>[5]trip_summary_region!C624</f>
        <v>2043</v>
      </c>
      <c r="D624">
        <f>[5]trip_summary_region!D624</f>
        <v>12</v>
      </c>
      <c r="E624">
        <f>[5]trip_summary_region!E624</f>
        <v>37</v>
      </c>
      <c r="F624">
        <f>[5]trip_summary_region!F624</f>
        <v>1.4882751776000001</v>
      </c>
      <c r="G624">
        <f>[5]trip_summary_region!G624</f>
        <v>39.389277620999998</v>
      </c>
      <c r="H624">
        <f>[5]trip_summary_region!H624</f>
        <v>0.76940907960000005</v>
      </c>
      <c r="I624" t="str">
        <f>[5]trip_summary_region!I624</f>
        <v>Non-Household Travel</v>
      </c>
      <c r="J624" t="str">
        <f>[5]trip_summary_region!J624</f>
        <v>2042/43</v>
      </c>
    </row>
    <row r="625" spans="1:10" x14ac:dyDescent="0.2">
      <c r="A625" t="str">
        <f>[5]trip_summary_region!A625</f>
        <v>09 WELLINGTON</v>
      </c>
      <c r="B625">
        <f>[5]trip_summary_region!B625</f>
        <v>0</v>
      </c>
      <c r="C625">
        <f>[5]trip_summary_region!C625</f>
        <v>2013</v>
      </c>
      <c r="D625">
        <f>[5]trip_summary_region!D625</f>
        <v>941</v>
      </c>
      <c r="E625">
        <f>[5]trip_summary_region!E625</f>
        <v>4221</v>
      </c>
      <c r="F625">
        <f>[5]trip_summary_region!F625</f>
        <v>182.29561206</v>
      </c>
      <c r="G625">
        <f>[5]trip_summary_region!G625</f>
        <v>126.13499251</v>
      </c>
      <c r="H625">
        <f>[5]trip_summary_region!H625</f>
        <v>32.985647405999998</v>
      </c>
      <c r="I625" t="str">
        <f>[5]trip_summary_region!I625</f>
        <v>Pedestrian</v>
      </c>
      <c r="J625" t="str">
        <f>[5]trip_summary_region!J625</f>
        <v>2012/13</v>
      </c>
    </row>
    <row r="626" spans="1:10" x14ac:dyDescent="0.2">
      <c r="A626" t="str">
        <f>[5]trip_summary_region!A626</f>
        <v>09 WELLINGTON</v>
      </c>
      <c r="B626">
        <f>[5]trip_summary_region!B626</f>
        <v>0</v>
      </c>
      <c r="C626">
        <f>[5]trip_summary_region!C626</f>
        <v>2018</v>
      </c>
      <c r="D626">
        <f>[5]trip_summary_region!D626</f>
        <v>941</v>
      </c>
      <c r="E626">
        <f>[5]trip_summary_region!E626</f>
        <v>4221</v>
      </c>
      <c r="F626">
        <f>[5]trip_summary_region!F626</f>
        <v>177.88913851000001</v>
      </c>
      <c r="G626">
        <f>[5]trip_summary_region!G626</f>
        <v>123.96942556</v>
      </c>
      <c r="H626">
        <f>[5]trip_summary_region!H626</f>
        <v>32.378853972000002</v>
      </c>
      <c r="I626" t="str">
        <f>[5]trip_summary_region!I626</f>
        <v>Pedestrian</v>
      </c>
      <c r="J626" t="str">
        <f>[5]trip_summary_region!J626</f>
        <v>2017/18</v>
      </c>
    </row>
    <row r="627" spans="1:10" x14ac:dyDescent="0.2">
      <c r="A627" t="str">
        <f>[5]trip_summary_region!A627</f>
        <v>09 WELLINGTON</v>
      </c>
      <c r="B627">
        <f>[5]trip_summary_region!B627</f>
        <v>0</v>
      </c>
      <c r="C627">
        <f>[5]trip_summary_region!C627</f>
        <v>2023</v>
      </c>
      <c r="D627">
        <f>[5]trip_summary_region!D627</f>
        <v>941</v>
      </c>
      <c r="E627">
        <f>[5]trip_summary_region!E627</f>
        <v>4221</v>
      </c>
      <c r="F627">
        <f>[5]trip_summary_region!F627</f>
        <v>185.20194710999999</v>
      </c>
      <c r="G627">
        <f>[5]trip_summary_region!G627</f>
        <v>129.98584789</v>
      </c>
      <c r="H627">
        <f>[5]trip_summary_region!H627</f>
        <v>33.830685123000002</v>
      </c>
      <c r="I627" t="str">
        <f>[5]trip_summary_region!I627</f>
        <v>Pedestrian</v>
      </c>
      <c r="J627" t="str">
        <f>[5]trip_summary_region!J627</f>
        <v>2022/23</v>
      </c>
    </row>
    <row r="628" spans="1:10" x14ac:dyDescent="0.2">
      <c r="A628" t="str">
        <f>[5]trip_summary_region!A628</f>
        <v>09 WELLINGTON</v>
      </c>
      <c r="B628">
        <f>[5]trip_summary_region!B628</f>
        <v>0</v>
      </c>
      <c r="C628">
        <f>[5]trip_summary_region!C628</f>
        <v>2028</v>
      </c>
      <c r="D628">
        <f>[5]trip_summary_region!D628</f>
        <v>941</v>
      </c>
      <c r="E628">
        <f>[5]trip_summary_region!E628</f>
        <v>4221</v>
      </c>
      <c r="F628">
        <f>[5]trip_summary_region!F628</f>
        <v>184.1776749</v>
      </c>
      <c r="G628">
        <f>[5]trip_summary_region!G628</f>
        <v>130.26183119999999</v>
      </c>
      <c r="H628">
        <f>[5]trip_summary_region!H628</f>
        <v>33.993501332000001</v>
      </c>
      <c r="I628" t="str">
        <f>[5]trip_summary_region!I628</f>
        <v>Pedestrian</v>
      </c>
      <c r="J628" t="str">
        <f>[5]trip_summary_region!J628</f>
        <v>2027/28</v>
      </c>
    </row>
    <row r="629" spans="1:10" x14ac:dyDescent="0.2">
      <c r="A629" t="str">
        <f>[5]trip_summary_region!A629</f>
        <v>09 WELLINGTON</v>
      </c>
      <c r="B629">
        <f>[5]trip_summary_region!B629</f>
        <v>0</v>
      </c>
      <c r="C629">
        <f>[5]trip_summary_region!C629</f>
        <v>2033</v>
      </c>
      <c r="D629">
        <f>[5]trip_summary_region!D629</f>
        <v>941</v>
      </c>
      <c r="E629">
        <f>[5]trip_summary_region!E629</f>
        <v>4221</v>
      </c>
      <c r="F629">
        <f>[5]trip_summary_region!F629</f>
        <v>182.662373</v>
      </c>
      <c r="G629">
        <f>[5]trip_summary_region!G629</f>
        <v>130.43973721</v>
      </c>
      <c r="H629">
        <f>[5]trip_summary_region!H629</f>
        <v>34.066717838000002</v>
      </c>
      <c r="I629" t="str">
        <f>[5]trip_summary_region!I629</f>
        <v>Pedestrian</v>
      </c>
      <c r="J629" t="str">
        <f>[5]trip_summary_region!J629</f>
        <v>2032/33</v>
      </c>
    </row>
    <row r="630" spans="1:10" x14ac:dyDescent="0.2">
      <c r="A630" t="str">
        <f>[5]trip_summary_region!A630</f>
        <v>09 WELLINGTON</v>
      </c>
      <c r="B630">
        <f>[5]trip_summary_region!B630</f>
        <v>0</v>
      </c>
      <c r="C630">
        <f>[5]trip_summary_region!C630</f>
        <v>2038</v>
      </c>
      <c r="D630">
        <f>[5]trip_summary_region!D630</f>
        <v>941</v>
      </c>
      <c r="E630">
        <f>[5]trip_summary_region!E630</f>
        <v>4221</v>
      </c>
      <c r="F630">
        <f>[5]trip_summary_region!F630</f>
        <v>181.01789328999999</v>
      </c>
      <c r="G630">
        <f>[5]trip_summary_region!G630</f>
        <v>130.84280457</v>
      </c>
      <c r="H630">
        <f>[5]trip_summary_region!H630</f>
        <v>34.085450879</v>
      </c>
      <c r="I630" t="str">
        <f>[5]trip_summary_region!I630</f>
        <v>Pedestrian</v>
      </c>
      <c r="J630" t="str">
        <f>[5]trip_summary_region!J630</f>
        <v>2037/38</v>
      </c>
    </row>
    <row r="631" spans="1:10" x14ac:dyDescent="0.2">
      <c r="A631" t="str">
        <f>[5]trip_summary_region!A631</f>
        <v>09 WELLINGTON</v>
      </c>
      <c r="B631">
        <f>[5]trip_summary_region!B631</f>
        <v>0</v>
      </c>
      <c r="C631">
        <f>[5]trip_summary_region!C631</f>
        <v>2043</v>
      </c>
      <c r="D631">
        <f>[5]trip_summary_region!D631</f>
        <v>941</v>
      </c>
      <c r="E631">
        <f>[5]trip_summary_region!E631</f>
        <v>4221</v>
      </c>
      <c r="F631">
        <f>[5]trip_summary_region!F631</f>
        <v>178.95579347</v>
      </c>
      <c r="G631">
        <f>[5]trip_summary_region!G631</f>
        <v>130.93685808999999</v>
      </c>
      <c r="H631">
        <f>[5]trip_summary_region!H631</f>
        <v>34.033042403000003</v>
      </c>
      <c r="I631" t="str">
        <f>[5]trip_summary_region!I631</f>
        <v>Pedestrian</v>
      </c>
      <c r="J631" t="str">
        <f>[5]trip_summary_region!J631</f>
        <v>2042/43</v>
      </c>
    </row>
    <row r="632" spans="1:10" x14ac:dyDescent="0.2">
      <c r="A632" t="str">
        <f>[5]trip_summary_region!A632</f>
        <v>09 WELLINGTON</v>
      </c>
      <c r="B632">
        <f>[5]trip_summary_region!B632</f>
        <v>1</v>
      </c>
      <c r="C632">
        <f>[5]trip_summary_region!C632</f>
        <v>2013</v>
      </c>
      <c r="D632">
        <f>[5]trip_summary_region!D632</f>
        <v>54</v>
      </c>
      <c r="E632">
        <f>[5]trip_summary_region!E632</f>
        <v>164</v>
      </c>
      <c r="F632">
        <f>[5]trip_summary_region!F632</f>
        <v>8.1327913301999999</v>
      </c>
      <c r="G632">
        <f>[5]trip_summary_region!G632</f>
        <v>52.092312808000003</v>
      </c>
      <c r="H632">
        <f>[5]trip_summary_region!H632</f>
        <v>3.6978261002999999</v>
      </c>
      <c r="I632" t="str">
        <f>[5]trip_summary_region!I632</f>
        <v>Cyclist</v>
      </c>
      <c r="J632" t="str">
        <f>[5]trip_summary_region!J632</f>
        <v>2012/13</v>
      </c>
    </row>
    <row r="633" spans="1:10" x14ac:dyDescent="0.2">
      <c r="A633" t="str">
        <f>[5]trip_summary_region!A633</f>
        <v>09 WELLINGTON</v>
      </c>
      <c r="B633">
        <f>[5]trip_summary_region!B633</f>
        <v>1</v>
      </c>
      <c r="C633">
        <f>[5]trip_summary_region!C633</f>
        <v>2018</v>
      </c>
      <c r="D633">
        <f>[5]trip_summary_region!D633</f>
        <v>54</v>
      </c>
      <c r="E633">
        <f>[5]trip_summary_region!E633</f>
        <v>164</v>
      </c>
      <c r="F633">
        <f>[5]trip_summary_region!F633</f>
        <v>7.5884396090999999</v>
      </c>
      <c r="G633">
        <f>[5]trip_summary_region!G633</f>
        <v>51.455130435000001</v>
      </c>
      <c r="H633">
        <f>[5]trip_summary_region!H633</f>
        <v>3.6392283412999999</v>
      </c>
      <c r="I633" t="str">
        <f>[5]trip_summary_region!I633</f>
        <v>Cyclist</v>
      </c>
      <c r="J633" t="str">
        <f>[5]trip_summary_region!J633</f>
        <v>2017/18</v>
      </c>
    </row>
    <row r="634" spans="1:10" x14ac:dyDescent="0.2">
      <c r="A634" t="str">
        <f>[5]trip_summary_region!A634</f>
        <v>09 WELLINGTON</v>
      </c>
      <c r="B634">
        <f>[5]trip_summary_region!B634</f>
        <v>1</v>
      </c>
      <c r="C634">
        <f>[5]trip_summary_region!C634</f>
        <v>2023</v>
      </c>
      <c r="D634">
        <f>[5]trip_summary_region!D634</f>
        <v>54</v>
      </c>
      <c r="E634">
        <f>[5]trip_summary_region!E634</f>
        <v>164</v>
      </c>
      <c r="F634">
        <f>[5]trip_summary_region!F634</f>
        <v>7.7282094037000002</v>
      </c>
      <c r="G634">
        <f>[5]trip_summary_region!G634</f>
        <v>55.006635909000003</v>
      </c>
      <c r="H634">
        <f>[5]trip_summary_region!H634</f>
        <v>3.8731623105000001</v>
      </c>
      <c r="I634" t="str">
        <f>[5]trip_summary_region!I634</f>
        <v>Cyclist</v>
      </c>
      <c r="J634" t="str">
        <f>[5]trip_summary_region!J634</f>
        <v>2022/23</v>
      </c>
    </row>
    <row r="635" spans="1:10" x14ac:dyDescent="0.2">
      <c r="A635" t="str">
        <f>[5]trip_summary_region!A635</f>
        <v>09 WELLINGTON</v>
      </c>
      <c r="B635">
        <f>[5]trip_summary_region!B635</f>
        <v>1</v>
      </c>
      <c r="C635">
        <f>[5]trip_summary_region!C635</f>
        <v>2028</v>
      </c>
      <c r="D635">
        <f>[5]trip_summary_region!D635</f>
        <v>54</v>
      </c>
      <c r="E635">
        <f>[5]trip_summary_region!E635</f>
        <v>164</v>
      </c>
      <c r="F635">
        <f>[5]trip_summary_region!F635</f>
        <v>7.2226084952000003</v>
      </c>
      <c r="G635">
        <f>[5]trip_summary_region!G635</f>
        <v>56.273331108999997</v>
      </c>
      <c r="H635">
        <f>[5]trip_summary_region!H635</f>
        <v>3.9160114251000002</v>
      </c>
      <c r="I635" t="str">
        <f>[5]trip_summary_region!I635</f>
        <v>Cyclist</v>
      </c>
      <c r="J635" t="str">
        <f>[5]trip_summary_region!J635</f>
        <v>2027/28</v>
      </c>
    </row>
    <row r="636" spans="1:10" x14ac:dyDescent="0.2">
      <c r="A636" t="str">
        <f>[5]trip_summary_region!A636</f>
        <v>09 WELLINGTON</v>
      </c>
      <c r="B636">
        <f>[5]trip_summary_region!B636</f>
        <v>1</v>
      </c>
      <c r="C636">
        <f>[5]trip_summary_region!C636</f>
        <v>2033</v>
      </c>
      <c r="D636">
        <f>[5]trip_summary_region!D636</f>
        <v>54</v>
      </c>
      <c r="E636">
        <f>[5]trip_summary_region!E636</f>
        <v>164</v>
      </c>
      <c r="F636">
        <f>[5]trip_summary_region!F636</f>
        <v>6.8972345065000003</v>
      </c>
      <c r="G636">
        <f>[5]trip_summary_region!G636</f>
        <v>59.975755483999997</v>
      </c>
      <c r="H636">
        <f>[5]trip_summary_region!H636</f>
        <v>4.1103149610000003</v>
      </c>
      <c r="I636" t="str">
        <f>[5]trip_summary_region!I636</f>
        <v>Cyclist</v>
      </c>
      <c r="J636" t="str">
        <f>[5]trip_summary_region!J636</f>
        <v>2032/33</v>
      </c>
    </row>
    <row r="637" spans="1:10" x14ac:dyDescent="0.2">
      <c r="A637" t="str">
        <f>[5]trip_summary_region!A637</f>
        <v>09 WELLINGTON</v>
      </c>
      <c r="B637">
        <f>[5]trip_summary_region!B637</f>
        <v>1</v>
      </c>
      <c r="C637">
        <f>[5]trip_summary_region!C637</f>
        <v>2038</v>
      </c>
      <c r="D637">
        <f>[5]trip_summary_region!D637</f>
        <v>54</v>
      </c>
      <c r="E637">
        <f>[5]trip_summary_region!E637</f>
        <v>164</v>
      </c>
      <c r="F637">
        <f>[5]trip_summary_region!F637</f>
        <v>6.7079273287000003</v>
      </c>
      <c r="G637">
        <f>[5]trip_summary_region!G637</f>
        <v>65.351235028999994</v>
      </c>
      <c r="H637">
        <f>[5]trip_summary_region!H637</f>
        <v>4.4142268666</v>
      </c>
      <c r="I637" t="str">
        <f>[5]trip_summary_region!I637</f>
        <v>Cyclist</v>
      </c>
      <c r="J637" t="str">
        <f>[5]trip_summary_region!J637</f>
        <v>2037/38</v>
      </c>
    </row>
    <row r="638" spans="1:10" x14ac:dyDescent="0.2">
      <c r="A638" t="str">
        <f>[5]trip_summary_region!A638</f>
        <v>09 WELLINGTON</v>
      </c>
      <c r="B638">
        <f>[5]trip_summary_region!B638</f>
        <v>1</v>
      </c>
      <c r="C638">
        <f>[5]trip_summary_region!C638</f>
        <v>2043</v>
      </c>
      <c r="D638">
        <f>[5]trip_summary_region!D638</f>
        <v>54</v>
      </c>
      <c r="E638">
        <f>[5]trip_summary_region!E638</f>
        <v>164</v>
      </c>
      <c r="F638">
        <f>[5]trip_summary_region!F638</f>
        <v>6.5500462530999997</v>
      </c>
      <c r="G638">
        <f>[5]trip_summary_region!G638</f>
        <v>70.795868893000005</v>
      </c>
      <c r="H638">
        <f>[5]trip_summary_region!H638</f>
        <v>4.7215930316000003</v>
      </c>
      <c r="I638" t="str">
        <f>[5]trip_summary_region!I638</f>
        <v>Cyclist</v>
      </c>
      <c r="J638" t="str">
        <f>[5]trip_summary_region!J638</f>
        <v>2042/43</v>
      </c>
    </row>
    <row r="639" spans="1:10" x14ac:dyDescent="0.2">
      <c r="A639" t="str">
        <f>[5]trip_summary_region!A639</f>
        <v>09 WELLINGTON</v>
      </c>
      <c r="B639">
        <f>[5]trip_summary_region!B639</f>
        <v>2</v>
      </c>
      <c r="C639">
        <f>[5]trip_summary_region!C639</f>
        <v>2013</v>
      </c>
      <c r="D639">
        <f>[5]trip_summary_region!D639</f>
        <v>1130</v>
      </c>
      <c r="E639">
        <f>[5]trip_summary_region!E639</f>
        <v>8488</v>
      </c>
      <c r="F639">
        <f>[5]trip_summary_region!F639</f>
        <v>377.93589692</v>
      </c>
      <c r="G639">
        <f>[5]trip_summary_region!G639</f>
        <v>3481.4296611999998</v>
      </c>
      <c r="H639">
        <f>[5]trip_summary_region!H639</f>
        <v>92.129697210000003</v>
      </c>
      <c r="I639" t="str">
        <f>[5]trip_summary_region!I639</f>
        <v>Light Vehicle Driver</v>
      </c>
      <c r="J639" t="str">
        <f>[5]trip_summary_region!J639</f>
        <v>2012/13</v>
      </c>
    </row>
    <row r="640" spans="1:10" x14ac:dyDescent="0.2">
      <c r="A640" t="str">
        <f>[5]trip_summary_region!A640</f>
        <v>09 WELLINGTON</v>
      </c>
      <c r="B640">
        <f>[5]trip_summary_region!B640</f>
        <v>2</v>
      </c>
      <c r="C640">
        <f>[5]trip_summary_region!C640</f>
        <v>2018</v>
      </c>
      <c r="D640">
        <f>[5]trip_summary_region!D640</f>
        <v>1130</v>
      </c>
      <c r="E640">
        <f>[5]trip_summary_region!E640</f>
        <v>8488</v>
      </c>
      <c r="F640">
        <f>[5]trip_summary_region!F640</f>
        <v>365.40659854</v>
      </c>
      <c r="G640">
        <f>[5]trip_summary_region!G640</f>
        <v>3389.5387887000002</v>
      </c>
      <c r="H640">
        <f>[5]trip_summary_region!H640</f>
        <v>89.660255981000006</v>
      </c>
      <c r="I640" t="str">
        <f>[5]trip_summary_region!I640</f>
        <v>Light Vehicle Driver</v>
      </c>
      <c r="J640" t="str">
        <f>[5]trip_summary_region!J640</f>
        <v>2017/18</v>
      </c>
    </row>
    <row r="641" spans="1:10" x14ac:dyDescent="0.2">
      <c r="A641" t="str">
        <f>[5]trip_summary_region!A641</f>
        <v>09 WELLINGTON</v>
      </c>
      <c r="B641">
        <f>[5]trip_summary_region!B641</f>
        <v>2</v>
      </c>
      <c r="C641">
        <f>[5]trip_summary_region!C641</f>
        <v>2023</v>
      </c>
      <c r="D641">
        <f>[5]trip_summary_region!D641</f>
        <v>1130</v>
      </c>
      <c r="E641">
        <f>[5]trip_summary_region!E641</f>
        <v>8488</v>
      </c>
      <c r="F641">
        <f>[5]trip_summary_region!F641</f>
        <v>383.07034952999999</v>
      </c>
      <c r="G641">
        <f>[5]trip_summary_region!G641</f>
        <v>3580.9944003999999</v>
      </c>
      <c r="H641">
        <f>[5]trip_summary_region!H641</f>
        <v>94.639987130999998</v>
      </c>
      <c r="I641" t="str">
        <f>[5]trip_summary_region!I641</f>
        <v>Light Vehicle Driver</v>
      </c>
      <c r="J641" t="str">
        <f>[5]trip_summary_region!J641</f>
        <v>2022/23</v>
      </c>
    </row>
    <row r="642" spans="1:10" x14ac:dyDescent="0.2">
      <c r="A642" t="str">
        <f>[5]trip_summary_region!A642</f>
        <v>09 WELLINGTON</v>
      </c>
      <c r="B642">
        <f>[5]trip_summary_region!B642</f>
        <v>2</v>
      </c>
      <c r="C642">
        <f>[5]trip_summary_region!C642</f>
        <v>2028</v>
      </c>
      <c r="D642">
        <f>[5]trip_summary_region!D642</f>
        <v>1130</v>
      </c>
      <c r="E642">
        <f>[5]trip_summary_region!E642</f>
        <v>8488</v>
      </c>
      <c r="F642">
        <f>[5]trip_summary_region!F642</f>
        <v>390.70102287999998</v>
      </c>
      <c r="G642">
        <f>[5]trip_summary_region!G642</f>
        <v>3686.3797288000001</v>
      </c>
      <c r="H642">
        <f>[5]trip_summary_region!H642</f>
        <v>97.052113758999994</v>
      </c>
      <c r="I642" t="str">
        <f>[5]trip_summary_region!I642</f>
        <v>Light Vehicle Driver</v>
      </c>
      <c r="J642" t="str">
        <f>[5]trip_summary_region!J642</f>
        <v>2027/28</v>
      </c>
    </row>
    <row r="643" spans="1:10" x14ac:dyDescent="0.2">
      <c r="A643" t="str">
        <f>[5]trip_summary_region!A643</f>
        <v>09 WELLINGTON</v>
      </c>
      <c r="B643">
        <f>[5]trip_summary_region!B643</f>
        <v>2</v>
      </c>
      <c r="C643">
        <f>[5]trip_summary_region!C643</f>
        <v>2033</v>
      </c>
      <c r="D643">
        <f>[5]trip_summary_region!D643</f>
        <v>1130</v>
      </c>
      <c r="E643">
        <f>[5]trip_summary_region!E643</f>
        <v>8488</v>
      </c>
      <c r="F643">
        <f>[5]trip_summary_region!F643</f>
        <v>395.69365536999999</v>
      </c>
      <c r="G643">
        <f>[5]trip_summary_region!G643</f>
        <v>3774.6531451000001</v>
      </c>
      <c r="H643">
        <f>[5]trip_summary_region!H643</f>
        <v>98.860474457999999</v>
      </c>
      <c r="I643" t="str">
        <f>[5]trip_summary_region!I643</f>
        <v>Light Vehicle Driver</v>
      </c>
      <c r="J643" t="str">
        <f>[5]trip_summary_region!J643</f>
        <v>2032/33</v>
      </c>
    </row>
    <row r="644" spans="1:10" x14ac:dyDescent="0.2">
      <c r="A644" t="str">
        <f>[5]trip_summary_region!A644</f>
        <v>09 WELLINGTON</v>
      </c>
      <c r="B644">
        <f>[5]trip_summary_region!B644</f>
        <v>2</v>
      </c>
      <c r="C644">
        <f>[5]trip_summary_region!C644</f>
        <v>2038</v>
      </c>
      <c r="D644">
        <f>[5]trip_summary_region!D644</f>
        <v>1130</v>
      </c>
      <c r="E644">
        <f>[5]trip_summary_region!E644</f>
        <v>8488</v>
      </c>
      <c r="F644">
        <f>[5]trip_summary_region!F644</f>
        <v>396.39454992999998</v>
      </c>
      <c r="G644">
        <f>[5]trip_summary_region!G644</f>
        <v>3815.8583039</v>
      </c>
      <c r="H644">
        <f>[5]trip_summary_region!H644</f>
        <v>99.596492377999994</v>
      </c>
      <c r="I644" t="str">
        <f>[5]trip_summary_region!I644</f>
        <v>Light Vehicle Driver</v>
      </c>
      <c r="J644" t="str">
        <f>[5]trip_summary_region!J644</f>
        <v>2037/38</v>
      </c>
    </row>
    <row r="645" spans="1:10" x14ac:dyDescent="0.2">
      <c r="A645" t="str">
        <f>[5]trip_summary_region!A645</f>
        <v>09 WELLINGTON</v>
      </c>
      <c r="B645">
        <f>[5]trip_summary_region!B645</f>
        <v>2</v>
      </c>
      <c r="C645">
        <f>[5]trip_summary_region!C645</f>
        <v>2043</v>
      </c>
      <c r="D645">
        <f>[5]trip_summary_region!D645</f>
        <v>1130</v>
      </c>
      <c r="E645">
        <f>[5]trip_summary_region!E645</f>
        <v>8488</v>
      </c>
      <c r="F645">
        <f>[5]trip_summary_region!F645</f>
        <v>395.55123354</v>
      </c>
      <c r="G645">
        <f>[5]trip_summary_region!G645</f>
        <v>3836.1299755</v>
      </c>
      <c r="H645">
        <f>[5]trip_summary_region!H645</f>
        <v>99.877484260000003</v>
      </c>
      <c r="I645" t="str">
        <f>[5]trip_summary_region!I645</f>
        <v>Light Vehicle Driver</v>
      </c>
      <c r="J645" t="str">
        <f>[5]trip_summary_region!J645</f>
        <v>2042/43</v>
      </c>
    </row>
    <row r="646" spans="1:10" x14ac:dyDescent="0.2">
      <c r="A646" t="str">
        <f>[5]trip_summary_region!A646</f>
        <v>09 WELLINGTON</v>
      </c>
      <c r="B646">
        <f>[5]trip_summary_region!B646</f>
        <v>3</v>
      </c>
      <c r="C646">
        <f>[5]trip_summary_region!C646</f>
        <v>2013</v>
      </c>
      <c r="D646">
        <f>[5]trip_summary_region!D646</f>
        <v>936</v>
      </c>
      <c r="E646">
        <f>[5]trip_summary_region!E646</f>
        <v>4461</v>
      </c>
      <c r="F646">
        <f>[5]trip_summary_region!F646</f>
        <v>183.55442563</v>
      </c>
      <c r="G646">
        <f>[5]trip_summary_region!G646</f>
        <v>2005.8850408000001</v>
      </c>
      <c r="H646">
        <f>[5]trip_summary_region!H646</f>
        <v>48.966354531</v>
      </c>
      <c r="I646" t="str">
        <f>[5]trip_summary_region!I646</f>
        <v>Light Vehicle Passenger</v>
      </c>
      <c r="J646" t="str">
        <f>[5]trip_summary_region!J646</f>
        <v>2012/13</v>
      </c>
    </row>
    <row r="647" spans="1:10" x14ac:dyDescent="0.2">
      <c r="A647" t="str">
        <f>[5]trip_summary_region!A647</f>
        <v>09 WELLINGTON</v>
      </c>
      <c r="B647">
        <f>[5]trip_summary_region!B647</f>
        <v>3</v>
      </c>
      <c r="C647">
        <f>[5]trip_summary_region!C647</f>
        <v>2018</v>
      </c>
      <c r="D647">
        <f>[5]trip_summary_region!D647</f>
        <v>936</v>
      </c>
      <c r="E647">
        <f>[5]trip_summary_region!E647</f>
        <v>4461</v>
      </c>
      <c r="F647">
        <f>[5]trip_summary_region!F647</f>
        <v>172.51208758000001</v>
      </c>
      <c r="G647">
        <f>[5]trip_summary_region!G647</f>
        <v>1855.0981509999999</v>
      </c>
      <c r="H647">
        <f>[5]trip_summary_region!H647</f>
        <v>45.688922679000001</v>
      </c>
      <c r="I647" t="str">
        <f>[5]trip_summary_region!I647</f>
        <v>Light Vehicle Passenger</v>
      </c>
      <c r="J647" t="str">
        <f>[5]trip_summary_region!J647</f>
        <v>2017/18</v>
      </c>
    </row>
    <row r="648" spans="1:10" x14ac:dyDescent="0.2">
      <c r="A648" t="str">
        <f>[5]trip_summary_region!A648</f>
        <v>09 WELLINGTON</v>
      </c>
      <c r="B648">
        <f>[5]trip_summary_region!B648</f>
        <v>3</v>
      </c>
      <c r="C648">
        <f>[5]trip_summary_region!C648</f>
        <v>2023</v>
      </c>
      <c r="D648">
        <f>[5]trip_summary_region!D648</f>
        <v>936</v>
      </c>
      <c r="E648">
        <f>[5]trip_summary_region!E648</f>
        <v>4461</v>
      </c>
      <c r="F648">
        <f>[5]trip_summary_region!F648</f>
        <v>178.04549179</v>
      </c>
      <c r="G648">
        <f>[5]trip_summary_region!G648</f>
        <v>1882.7146579</v>
      </c>
      <c r="H648">
        <f>[5]trip_summary_region!H648</f>
        <v>46.728240538999998</v>
      </c>
      <c r="I648" t="str">
        <f>[5]trip_summary_region!I648</f>
        <v>Light Vehicle Passenger</v>
      </c>
      <c r="J648" t="str">
        <f>[5]trip_summary_region!J648</f>
        <v>2022/23</v>
      </c>
    </row>
    <row r="649" spans="1:10" x14ac:dyDescent="0.2">
      <c r="A649" t="str">
        <f>[5]trip_summary_region!A649</f>
        <v>09 WELLINGTON</v>
      </c>
      <c r="B649">
        <f>[5]trip_summary_region!B649</f>
        <v>3</v>
      </c>
      <c r="C649">
        <f>[5]trip_summary_region!C649</f>
        <v>2028</v>
      </c>
      <c r="D649">
        <f>[5]trip_summary_region!D649</f>
        <v>936</v>
      </c>
      <c r="E649">
        <f>[5]trip_summary_region!E649</f>
        <v>4461</v>
      </c>
      <c r="F649">
        <f>[5]trip_summary_region!F649</f>
        <v>176.16609156999999</v>
      </c>
      <c r="G649">
        <f>[5]trip_summary_region!G649</f>
        <v>1862.0886949000001</v>
      </c>
      <c r="H649">
        <f>[5]trip_summary_region!H649</f>
        <v>46.207601717000003</v>
      </c>
      <c r="I649" t="str">
        <f>[5]trip_summary_region!I649</f>
        <v>Light Vehicle Passenger</v>
      </c>
      <c r="J649" t="str">
        <f>[5]trip_summary_region!J649</f>
        <v>2027/28</v>
      </c>
    </row>
    <row r="650" spans="1:10" x14ac:dyDescent="0.2">
      <c r="A650" t="str">
        <f>[5]trip_summary_region!A650</f>
        <v>09 WELLINGTON</v>
      </c>
      <c r="B650">
        <f>[5]trip_summary_region!B650</f>
        <v>3</v>
      </c>
      <c r="C650">
        <f>[5]trip_summary_region!C650</f>
        <v>2033</v>
      </c>
      <c r="D650">
        <f>[5]trip_summary_region!D650</f>
        <v>936</v>
      </c>
      <c r="E650">
        <f>[5]trip_summary_region!E650</f>
        <v>4461</v>
      </c>
      <c r="F650">
        <f>[5]trip_summary_region!F650</f>
        <v>174.79865082000001</v>
      </c>
      <c r="G650">
        <f>[5]trip_summary_region!G650</f>
        <v>1848.1684035000001</v>
      </c>
      <c r="H650">
        <f>[5]trip_summary_region!H650</f>
        <v>45.856724487000001</v>
      </c>
      <c r="I650" t="str">
        <f>[5]trip_summary_region!I650</f>
        <v>Light Vehicle Passenger</v>
      </c>
      <c r="J650" t="str">
        <f>[5]trip_summary_region!J650</f>
        <v>2032/33</v>
      </c>
    </row>
    <row r="651" spans="1:10" x14ac:dyDescent="0.2">
      <c r="A651" t="str">
        <f>[5]trip_summary_region!A651</f>
        <v>09 WELLINGTON</v>
      </c>
      <c r="B651">
        <f>[5]trip_summary_region!B651</f>
        <v>3</v>
      </c>
      <c r="C651">
        <f>[5]trip_summary_region!C651</f>
        <v>2038</v>
      </c>
      <c r="D651">
        <f>[5]trip_summary_region!D651</f>
        <v>936</v>
      </c>
      <c r="E651">
        <f>[5]trip_summary_region!E651</f>
        <v>4461</v>
      </c>
      <c r="F651">
        <f>[5]trip_summary_region!F651</f>
        <v>172.59254505000001</v>
      </c>
      <c r="G651">
        <f>[5]trip_summary_region!G651</f>
        <v>1823.1036879000001</v>
      </c>
      <c r="H651">
        <f>[5]trip_summary_region!H651</f>
        <v>45.248670437000001</v>
      </c>
      <c r="I651" t="str">
        <f>[5]trip_summary_region!I651</f>
        <v>Light Vehicle Passenger</v>
      </c>
      <c r="J651" t="str">
        <f>[5]trip_summary_region!J651</f>
        <v>2037/38</v>
      </c>
    </row>
    <row r="652" spans="1:10" x14ac:dyDescent="0.2">
      <c r="A652" t="str">
        <f>[5]trip_summary_region!A652</f>
        <v>09 WELLINGTON</v>
      </c>
      <c r="B652">
        <f>[5]trip_summary_region!B652</f>
        <v>3</v>
      </c>
      <c r="C652">
        <f>[5]trip_summary_region!C652</f>
        <v>2043</v>
      </c>
      <c r="D652">
        <f>[5]trip_summary_region!D652</f>
        <v>936</v>
      </c>
      <c r="E652">
        <f>[5]trip_summary_region!E652</f>
        <v>4461</v>
      </c>
      <c r="F652">
        <f>[5]trip_summary_region!F652</f>
        <v>169.91660947</v>
      </c>
      <c r="G652">
        <f>[5]trip_summary_region!G652</f>
        <v>1795.2926726000001</v>
      </c>
      <c r="H652">
        <f>[5]trip_summary_region!H652</f>
        <v>44.573655440000003</v>
      </c>
      <c r="I652" t="str">
        <f>[5]trip_summary_region!I652</f>
        <v>Light Vehicle Passenger</v>
      </c>
      <c r="J652" t="str">
        <f>[5]trip_summary_region!J652</f>
        <v>2042/43</v>
      </c>
    </row>
    <row r="653" spans="1:10" x14ac:dyDescent="0.2">
      <c r="A653" t="str">
        <f>[5]trip_summary_region!A653</f>
        <v>09 WELLINGTON</v>
      </c>
      <c r="B653">
        <f>[5]trip_summary_region!B653</f>
        <v>4</v>
      </c>
      <c r="C653">
        <f>[5]trip_summary_region!C653</f>
        <v>2013</v>
      </c>
      <c r="D653">
        <f>[5]trip_summary_region!D653</f>
        <v>31</v>
      </c>
      <c r="E653">
        <f>[5]trip_summary_region!E653</f>
        <v>51</v>
      </c>
      <c r="F653">
        <f>[5]trip_summary_region!F653</f>
        <v>2.3579512121000001</v>
      </c>
      <c r="G653">
        <f>[5]trip_summary_region!G653</f>
        <v>19.359252680000001</v>
      </c>
      <c r="H653">
        <f>[5]trip_summary_region!H653</f>
        <v>0.76229285280000003</v>
      </c>
      <c r="I653" t="s">
        <v>116</v>
      </c>
      <c r="J653" t="str">
        <f>[5]trip_summary_region!J653</f>
        <v>2012/13</v>
      </c>
    </row>
    <row r="654" spans="1:10" x14ac:dyDescent="0.2">
      <c r="A654" t="str">
        <f>[5]trip_summary_region!A654</f>
        <v>09 WELLINGTON</v>
      </c>
      <c r="B654">
        <f>[5]trip_summary_region!B654</f>
        <v>4</v>
      </c>
      <c r="C654">
        <f>[5]trip_summary_region!C654</f>
        <v>2018</v>
      </c>
      <c r="D654">
        <f>[5]trip_summary_region!D654</f>
        <v>31</v>
      </c>
      <c r="E654">
        <f>[5]trip_summary_region!E654</f>
        <v>51</v>
      </c>
      <c r="F654">
        <f>[5]trip_summary_region!F654</f>
        <v>2.4168221678999999</v>
      </c>
      <c r="G654">
        <f>[5]trip_summary_region!G654</f>
        <v>19.232101614000001</v>
      </c>
      <c r="H654">
        <f>[5]trip_summary_region!H654</f>
        <v>0.76412563649999998</v>
      </c>
      <c r="I654" t="s">
        <v>116</v>
      </c>
      <c r="J654" t="str">
        <f>[5]trip_summary_region!J654</f>
        <v>2017/18</v>
      </c>
    </row>
    <row r="655" spans="1:10" x14ac:dyDescent="0.2">
      <c r="A655" t="str">
        <f>[5]trip_summary_region!A655</f>
        <v>09 WELLINGTON</v>
      </c>
      <c r="B655">
        <f>[5]trip_summary_region!B655</f>
        <v>4</v>
      </c>
      <c r="C655">
        <f>[5]trip_summary_region!C655</f>
        <v>2023</v>
      </c>
      <c r="D655">
        <f>[5]trip_summary_region!D655</f>
        <v>31</v>
      </c>
      <c r="E655">
        <f>[5]trip_summary_region!E655</f>
        <v>51</v>
      </c>
      <c r="F655">
        <f>[5]trip_summary_region!F655</f>
        <v>2.5978669863000001</v>
      </c>
      <c r="G655">
        <f>[5]trip_summary_region!G655</f>
        <v>20.761453255999999</v>
      </c>
      <c r="H655">
        <f>[5]trip_summary_region!H655</f>
        <v>0.82882970730000005</v>
      </c>
      <c r="I655" t="s">
        <v>116</v>
      </c>
      <c r="J655" t="str">
        <f>[5]trip_summary_region!J655</f>
        <v>2022/23</v>
      </c>
    </row>
    <row r="656" spans="1:10" x14ac:dyDescent="0.2">
      <c r="A656" t="str">
        <f>[5]trip_summary_region!A656</f>
        <v>09 WELLINGTON</v>
      </c>
      <c r="B656">
        <f>[5]trip_summary_region!B656</f>
        <v>4</v>
      </c>
      <c r="C656">
        <f>[5]trip_summary_region!C656</f>
        <v>2028</v>
      </c>
      <c r="D656">
        <f>[5]trip_summary_region!D656</f>
        <v>31</v>
      </c>
      <c r="E656">
        <f>[5]trip_summary_region!E656</f>
        <v>51</v>
      </c>
      <c r="F656">
        <f>[5]trip_summary_region!F656</f>
        <v>2.6792763157000001</v>
      </c>
      <c r="G656">
        <f>[5]trip_summary_region!G656</f>
        <v>22.193646449999999</v>
      </c>
      <c r="H656">
        <f>[5]trip_summary_region!H656</f>
        <v>0.88177437449999996</v>
      </c>
      <c r="I656" t="s">
        <v>116</v>
      </c>
      <c r="J656" t="str">
        <f>[5]trip_summary_region!J656</f>
        <v>2027/28</v>
      </c>
    </row>
    <row r="657" spans="1:10" x14ac:dyDescent="0.2">
      <c r="A657" t="str">
        <f>[5]trip_summary_region!A657</f>
        <v>09 WELLINGTON</v>
      </c>
      <c r="B657">
        <f>[5]trip_summary_region!B657</f>
        <v>4</v>
      </c>
      <c r="C657">
        <f>[5]trip_summary_region!C657</f>
        <v>2033</v>
      </c>
      <c r="D657">
        <f>[5]trip_summary_region!D657</f>
        <v>31</v>
      </c>
      <c r="E657">
        <f>[5]trip_summary_region!E657</f>
        <v>51</v>
      </c>
      <c r="F657">
        <f>[5]trip_summary_region!F657</f>
        <v>2.7275156650999999</v>
      </c>
      <c r="G657">
        <f>[5]trip_summary_region!G657</f>
        <v>23.359180929000001</v>
      </c>
      <c r="H657">
        <f>[5]trip_summary_region!H657</f>
        <v>0.91880890299999995</v>
      </c>
      <c r="I657" t="s">
        <v>116</v>
      </c>
      <c r="J657" t="str">
        <f>[5]trip_summary_region!J657</f>
        <v>2032/33</v>
      </c>
    </row>
    <row r="658" spans="1:10" x14ac:dyDescent="0.2">
      <c r="A658" t="str">
        <f>[5]trip_summary_region!A658</f>
        <v>09 WELLINGTON</v>
      </c>
      <c r="B658">
        <f>[5]trip_summary_region!B658</f>
        <v>4</v>
      </c>
      <c r="C658">
        <f>[5]trip_summary_region!C658</f>
        <v>2038</v>
      </c>
      <c r="D658">
        <f>[5]trip_summary_region!D658</f>
        <v>31</v>
      </c>
      <c r="E658">
        <f>[5]trip_summary_region!E658</f>
        <v>51</v>
      </c>
      <c r="F658">
        <f>[5]trip_summary_region!F658</f>
        <v>2.7373725566</v>
      </c>
      <c r="G658">
        <f>[5]trip_summary_region!G658</f>
        <v>23.777106331999999</v>
      </c>
      <c r="H658">
        <f>[5]trip_summary_region!H658</f>
        <v>0.92690842139999996</v>
      </c>
      <c r="I658" t="s">
        <v>116</v>
      </c>
      <c r="J658" t="str">
        <f>[5]trip_summary_region!J658</f>
        <v>2037/38</v>
      </c>
    </row>
    <row r="659" spans="1:10" x14ac:dyDescent="0.2">
      <c r="A659" t="str">
        <f>[5]trip_summary_region!A659</f>
        <v>09 WELLINGTON</v>
      </c>
      <c r="B659">
        <f>[5]trip_summary_region!B659</f>
        <v>4</v>
      </c>
      <c r="C659">
        <f>[5]trip_summary_region!C659</f>
        <v>2043</v>
      </c>
      <c r="D659">
        <f>[5]trip_summary_region!D659</f>
        <v>31</v>
      </c>
      <c r="E659">
        <f>[5]trip_summary_region!E659</f>
        <v>51</v>
      </c>
      <c r="F659">
        <f>[5]trip_summary_region!F659</f>
        <v>2.7187060926000002</v>
      </c>
      <c r="G659">
        <f>[5]trip_summary_region!G659</f>
        <v>23.879346567999999</v>
      </c>
      <c r="H659">
        <f>[5]trip_summary_region!H659</f>
        <v>0.92660349500000005</v>
      </c>
      <c r="I659" t="s">
        <v>116</v>
      </c>
      <c r="J659" t="str">
        <f>[5]trip_summary_region!J659</f>
        <v>2042/43</v>
      </c>
    </row>
    <row r="660" spans="1:10" x14ac:dyDescent="0.2">
      <c r="A660" t="str">
        <f>[5]trip_summary_region!A660</f>
        <v>09 WELLINGTON</v>
      </c>
      <c r="B660">
        <f>[5]trip_summary_region!B660</f>
        <v>5</v>
      </c>
      <c r="C660">
        <f>[5]trip_summary_region!C660</f>
        <v>2013</v>
      </c>
      <c r="D660">
        <f>[5]trip_summary_region!D660</f>
        <v>16</v>
      </c>
      <c r="E660">
        <f>[5]trip_summary_region!E660</f>
        <v>64</v>
      </c>
      <c r="F660">
        <f>[5]trip_summary_region!F660</f>
        <v>2.4968267649999998</v>
      </c>
      <c r="G660">
        <f>[5]trip_summary_region!G660</f>
        <v>24.444631151999999</v>
      </c>
      <c r="H660">
        <f>[5]trip_summary_region!H660</f>
        <v>0.71073078609999996</v>
      </c>
      <c r="I660" t="str">
        <f>[5]trip_summary_region!I660</f>
        <v>Motorcyclist</v>
      </c>
      <c r="J660" t="str">
        <f>[5]trip_summary_region!J660</f>
        <v>2012/13</v>
      </c>
    </row>
    <row r="661" spans="1:10" x14ac:dyDescent="0.2">
      <c r="A661" t="str">
        <f>[5]trip_summary_region!A661</f>
        <v>09 WELLINGTON</v>
      </c>
      <c r="B661">
        <f>[5]trip_summary_region!B661</f>
        <v>5</v>
      </c>
      <c r="C661">
        <f>[5]trip_summary_region!C661</f>
        <v>2018</v>
      </c>
      <c r="D661">
        <f>[5]trip_summary_region!D661</f>
        <v>16</v>
      </c>
      <c r="E661">
        <f>[5]trip_summary_region!E661</f>
        <v>64</v>
      </c>
      <c r="F661">
        <f>[5]trip_summary_region!F661</f>
        <v>2.4736570579000001</v>
      </c>
      <c r="G661">
        <f>[5]trip_summary_region!G661</f>
        <v>22.907917955999999</v>
      </c>
      <c r="H661">
        <f>[5]trip_summary_region!H661</f>
        <v>0.68385273589999995</v>
      </c>
      <c r="I661" t="str">
        <f>[5]trip_summary_region!I661</f>
        <v>Motorcyclist</v>
      </c>
      <c r="J661" t="str">
        <f>[5]trip_summary_region!J661</f>
        <v>2017/18</v>
      </c>
    </row>
    <row r="662" spans="1:10" x14ac:dyDescent="0.2">
      <c r="A662" t="str">
        <f>[5]trip_summary_region!A662</f>
        <v>09 WELLINGTON</v>
      </c>
      <c r="B662">
        <f>[5]trip_summary_region!B662</f>
        <v>5</v>
      </c>
      <c r="C662">
        <f>[5]trip_summary_region!C662</f>
        <v>2023</v>
      </c>
      <c r="D662">
        <f>[5]trip_summary_region!D662</f>
        <v>16</v>
      </c>
      <c r="E662">
        <f>[5]trip_summary_region!E662</f>
        <v>64</v>
      </c>
      <c r="F662">
        <f>[5]trip_summary_region!F662</f>
        <v>2.5316279951</v>
      </c>
      <c r="G662">
        <f>[5]trip_summary_region!G662</f>
        <v>22.712486507000001</v>
      </c>
      <c r="H662">
        <f>[5]trip_summary_region!H662</f>
        <v>0.68081713330000004</v>
      </c>
      <c r="I662" t="str">
        <f>[5]trip_summary_region!I662</f>
        <v>Motorcyclist</v>
      </c>
      <c r="J662" t="str">
        <f>[5]trip_summary_region!J662</f>
        <v>2022/23</v>
      </c>
    </row>
    <row r="663" spans="1:10" x14ac:dyDescent="0.2">
      <c r="A663" t="str">
        <f>[5]trip_summary_region!A663</f>
        <v>09 WELLINGTON</v>
      </c>
      <c r="B663">
        <f>[5]trip_summary_region!B663</f>
        <v>5</v>
      </c>
      <c r="C663">
        <f>[5]trip_summary_region!C663</f>
        <v>2028</v>
      </c>
      <c r="D663">
        <f>[5]trip_summary_region!D663</f>
        <v>16</v>
      </c>
      <c r="E663">
        <f>[5]trip_summary_region!E663</f>
        <v>64</v>
      </c>
      <c r="F663">
        <f>[5]trip_summary_region!F663</f>
        <v>2.5050514668999999</v>
      </c>
      <c r="G663">
        <f>[5]trip_summary_region!G663</f>
        <v>22.602515806</v>
      </c>
      <c r="H663">
        <f>[5]trip_summary_region!H663</f>
        <v>0.66818940760000001</v>
      </c>
      <c r="I663" t="str">
        <f>[5]trip_summary_region!I663</f>
        <v>Motorcyclist</v>
      </c>
      <c r="J663" t="str">
        <f>[5]trip_summary_region!J663</f>
        <v>2027/28</v>
      </c>
    </row>
    <row r="664" spans="1:10" x14ac:dyDescent="0.2">
      <c r="A664" t="str">
        <f>[5]trip_summary_region!A664</f>
        <v>09 WELLINGTON</v>
      </c>
      <c r="B664">
        <f>[5]trip_summary_region!B664</f>
        <v>5</v>
      </c>
      <c r="C664">
        <f>[5]trip_summary_region!C664</f>
        <v>2033</v>
      </c>
      <c r="D664">
        <f>[5]trip_summary_region!D664</f>
        <v>16</v>
      </c>
      <c r="E664">
        <f>[5]trip_summary_region!E664</f>
        <v>64</v>
      </c>
      <c r="F664">
        <f>[5]trip_summary_region!F664</f>
        <v>2.4764686352999998</v>
      </c>
      <c r="G664">
        <f>[5]trip_summary_region!G664</f>
        <v>22.950346429</v>
      </c>
      <c r="H664">
        <f>[5]trip_summary_region!H664</f>
        <v>0.66796934350000003</v>
      </c>
      <c r="I664" t="str">
        <f>[5]trip_summary_region!I664</f>
        <v>Motorcyclist</v>
      </c>
      <c r="J664" t="str">
        <f>[5]trip_summary_region!J664</f>
        <v>2032/33</v>
      </c>
    </row>
    <row r="665" spans="1:10" x14ac:dyDescent="0.2">
      <c r="A665" t="str">
        <f>[5]trip_summary_region!A665</f>
        <v>09 WELLINGTON</v>
      </c>
      <c r="B665">
        <f>[5]trip_summary_region!B665</f>
        <v>5</v>
      </c>
      <c r="C665">
        <f>[5]trip_summary_region!C665</f>
        <v>2038</v>
      </c>
      <c r="D665">
        <f>[5]trip_summary_region!D665</f>
        <v>16</v>
      </c>
      <c r="E665">
        <f>[5]trip_summary_region!E665</f>
        <v>64</v>
      </c>
      <c r="F665">
        <f>[5]trip_summary_region!F665</f>
        <v>2.3926534435</v>
      </c>
      <c r="G665">
        <f>[5]trip_summary_region!G665</f>
        <v>22.714475229000001</v>
      </c>
      <c r="H665">
        <f>[5]trip_summary_region!H665</f>
        <v>0.65411944529999999</v>
      </c>
      <c r="I665" t="str">
        <f>[5]trip_summary_region!I665</f>
        <v>Motorcyclist</v>
      </c>
      <c r="J665" t="str">
        <f>[5]trip_summary_region!J665</f>
        <v>2037/38</v>
      </c>
    </row>
    <row r="666" spans="1:10" x14ac:dyDescent="0.2">
      <c r="A666" t="str">
        <f>[5]trip_summary_region!A666</f>
        <v>09 WELLINGTON</v>
      </c>
      <c r="B666">
        <f>[5]trip_summary_region!B666</f>
        <v>5</v>
      </c>
      <c r="C666">
        <f>[5]trip_summary_region!C666</f>
        <v>2043</v>
      </c>
      <c r="D666">
        <f>[5]trip_summary_region!D666</f>
        <v>16</v>
      </c>
      <c r="E666">
        <f>[5]trip_summary_region!E666</f>
        <v>64</v>
      </c>
      <c r="F666">
        <f>[5]trip_summary_region!F666</f>
        <v>2.2854672223999999</v>
      </c>
      <c r="G666">
        <f>[5]trip_summary_region!G666</f>
        <v>22.185977841</v>
      </c>
      <c r="H666">
        <f>[5]trip_summary_region!H666</f>
        <v>0.63178818690000005</v>
      </c>
      <c r="I666" t="str">
        <f>[5]trip_summary_region!I666</f>
        <v>Motorcyclist</v>
      </c>
      <c r="J666" t="str">
        <f>[5]trip_summary_region!J666</f>
        <v>2042/43</v>
      </c>
    </row>
    <row r="667" spans="1:10" x14ac:dyDescent="0.2">
      <c r="A667" t="str">
        <f>[5]trip_summary_region!A667</f>
        <v>09 WELLINGTON</v>
      </c>
      <c r="B667">
        <f>[5]trip_summary_region!B667</f>
        <v>6</v>
      </c>
      <c r="C667">
        <f>[5]trip_summary_region!C667</f>
        <v>2013</v>
      </c>
      <c r="D667">
        <f>[5]trip_summary_region!D667</f>
        <v>94</v>
      </c>
      <c r="E667">
        <f>[5]trip_summary_region!E667</f>
        <v>228</v>
      </c>
      <c r="F667">
        <f>[5]trip_summary_region!F667</f>
        <v>10.165258230999999</v>
      </c>
      <c r="G667">
        <f>[5]trip_summary_region!G667</f>
        <v>251.12727889999999</v>
      </c>
      <c r="H667">
        <f>[5]trip_summary_region!H667</f>
        <v>5.5268751299999996</v>
      </c>
      <c r="I667" t="str">
        <f>[5]trip_summary_region!I667</f>
        <v>Local Train</v>
      </c>
      <c r="J667" t="str">
        <f>[5]trip_summary_region!J667</f>
        <v>2012/13</v>
      </c>
    </row>
    <row r="668" spans="1:10" x14ac:dyDescent="0.2">
      <c r="A668" t="str">
        <f>[5]trip_summary_region!A668</f>
        <v>09 WELLINGTON</v>
      </c>
      <c r="B668">
        <f>[5]trip_summary_region!B668</f>
        <v>6</v>
      </c>
      <c r="C668">
        <f>[5]trip_summary_region!C668</f>
        <v>2018</v>
      </c>
      <c r="D668">
        <f>[5]trip_summary_region!D668</f>
        <v>94</v>
      </c>
      <c r="E668">
        <f>[5]trip_summary_region!E668</f>
        <v>228</v>
      </c>
      <c r="F668">
        <f>[5]trip_summary_region!F668</f>
        <v>10.128875609</v>
      </c>
      <c r="G668">
        <f>[5]trip_summary_region!G668</f>
        <v>248.44248303000001</v>
      </c>
      <c r="H668">
        <f>[5]trip_summary_region!H668</f>
        <v>5.4457496082999999</v>
      </c>
      <c r="I668" t="str">
        <f>[5]trip_summary_region!I668</f>
        <v>Local Train</v>
      </c>
      <c r="J668" t="str">
        <f>[5]trip_summary_region!J668</f>
        <v>2017/18</v>
      </c>
    </row>
    <row r="669" spans="1:10" x14ac:dyDescent="0.2">
      <c r="A669" t="str">
        <f>[5]trip_summary_region!A669</f>
        <v>09 WELLINGTON</v>
      </c>
      <c r="B669">
        <f>[5]trip_summary_region!B669</f>
        <v>6</v>
      </c>
      <c r="C669">
        <f>[5]trip_summary_region!C669</f>
        <v>2023</v>
      </c>
      <c r="D669">
        <f>[5]trip_summary_region!D669</f>
        <v>94</v>
      </c>
      <c r="E669">
        <f>[5]trip_summary_region!E669</f>
        <v>228</v>
      </c>
      <c r="F669">
        <f>[5]trip_summary_region!F669</f>
        <v>10.859865211000001</v>
      </c>
      <c r="G669">
        <f>[5]trip_summary_region!G669</f>
        <v>265.06830047</v>
      </c>
      <c r="H669">
        <f>[5]trip_summary_region!H669</f>
        <v>5.7970040563999996</v>
      </c>
      <c r="I669" t="str">
        <f>[5]trip_summary_region!I669</f>
        <v>Local Train</v>
      </c>
      <c r="J669" t="str">
        <f>[5]trip_summary_region!J669</f>
        <v>2022/23</v>
      </c>
    </row>
    <row r="670" spans="1:10" x14ac:dyDescent="0.2">
      <c r="A670" t="str">
        <f>[5]trip_summary_region!A670</f>
        <v>09 WELLINGTON</v>
      </c>
      <c r="B670">
        <f>[5]trip_summary_region!B670</f>
        <v>6</v>
      </c>
      <c r="C670">
        <f>[5]trip_summary_region!C670</f>
        <v>2028</v>
      </c>
      <c r="D670">
        <f>[5]trip_summary_region!D670</f>
        <v>94</v>
      </c>
      <c r="E670">
        <f>[5]trip_summary_region!E670</f>
        <v>228</v>
      </c>
      <c r="F670">
        <f>[5]trip_summary_region!F670</f>
        <v>10.683263460999999</v>
      </c>
      <c r="G670">
        <f>[5]trip_summary_region!G670</f>
        <v>263.58451653999998</v>
      </c>
      <c r="H670">
        <f>[5]trip_summary_region!H670</f>
        <v>5.7580250529999999</v>
      </c>
      <c r="I670" t="str">
        <f>[5]trip_summary_region!I670</f>
        <v>Local Train</v>
      </c>
      <c r="J670" t="str">
        <f>[5]trip_summary_region!J670</f>
        <v>2027/28</v>
      </c>
    </row>
    <row r="671" spans="1:10" x14ac:dyDescent="0.2">
      <c r="A671" t="str">
        <f>[5]trip_summary_region!A671</f>
        <v>09 WELLINGTON</v>
      </c>
      <c r="B671">
        <f>[5]trip_summary_region!B671</f>
        <v>6</v>
      </c>
      <c r="C671">
        <f>[5]trip_summary_region!C671</f>
        <v>2033</v>
      </c>
      <c r="D671">
        <f>[5]trip_summary_region!D671</f>
        <v>94</v>
      </c>
      <c r="E671">
        <f>[5]trip_summary_region!E671</f>
        <v>228</v>
      </c>
      <c r="F671">
        <f>[5]trip_summary_region!F671</f>
        <v>10.385782411999999</v>
      </c>
      <c r="G671">
        <f>[5]trip_summary_region!G671</f>
        <v>256.17808224999999</v>
      </c>
      <c r="H671">
        <f>[5]trip_summary_region!H671</f>
        <v>5.6142858811999998</v>
      </c>
      <c r="I671" t="str">
        <f>[5]trip_summary_region!I671</f>
        <v>Local Train</v>
      </c>
      <c r="J671" t="str">
        <f>[5]trip_summary_region!J671</f>
        <v>2032/33</v>
      </c>
    </row>
    <row r="672" spans="1:10" x14ac:dyDescent="0.2">
      <c r="A672" t="str">
        <f>[5]trip_summary_region!A672</f>
        <v>09 WELLINGTON</v>
      </c>
      <c r="B672">
        <f>[5]trip_summary_region!B672</f>
        <v>6</v>
      </c>
      <c r="C672">
        <f>[5]trip_summary_region!C672</f>
        <v>2038</v>
      </c>
      <c r="D672">
        <f>[5]trip_summary_region!D672</f>
        <v>94</v>
      </c>
      <c r="E672">
        <f>[5]trip_summary_region!E672</f>
        <v>228</v>
      </c>
      <c r="F672">
        <f>[5]trip_summary_region!F672</f>
        <v>10.128598181999999</v>
      </c>
      <c r="G672">
        <f>[5]trip_summary_region!G672</f>
        <v>248.81406132000001</v>
      </c>
      <c r="H672">
        <f>[5]trip_summary_region!H672</f>
        <v>5.4689339025999999</v>
      </c>
      <c r="I672" t="str">
        <f>[5]trip_summary_region!I672</f>
        <v>Local Train</v>
      </c>
      <c r="J672" t="str">
        <f>[5]trip_summary_region!J672</f>
        <v>2037/38</v>
      </c>
    </row>
    <row r="673" spans="1:10" x14ac:dyDescent="0.2">
      <c r="A673" t="str">
        <f>[5]trip_summary_region!A673</f>
        <v>09 WELLINGTON</v>
      </c>
      <c r="B673">
        <f>[5]trip_summary_region!B673</f>
        <v>6</v>
      </c>
      <c r="C673">
        <f>[5]trip_summary_region!C673</f>
        <v>2043</v>
      </c>
      <c r="D673">
        <f>[5]trip_summary_region!D673</f>
        <v>94</v>
      </c>
      <c r="E673">
        <f>[5]trip_summary_region!E673</f>
        <v>228</v>
      </c>
      <c r="F673">
        <f>[5]trip_summary_region!F673</f>
        <v>9.8277317289999999</v>
      </c>
      <c r="G673">
        <f>[5]trip_summary_region!G673</f>
        <v>240.12026714999999</v>
      </c>
      <c r="H673">
        <f>[5]trip_summary_region!H673</f>
        <v>5.2999744542</v>
      </c>
      <c r="I673" t="str">
        <f>[5]trip_summary_region!I673</f>
        <v>Local Train</v>
      </c>
      <c r="J673" t="str">
        <f>[5]trip_summary_region!J673</f>
        <v>2042/43</v>
      </c>
    </row>
    <row r="674" spans="1:10" x14ac:dyDescent="0.2">
      <c r="A674" t="str">
        <f>[5]trip_summary_region!A674</f>
        <v>09 WELLINGTON</v>
      </c>
      <c r="B674">
        <f>[5]trip_summary_region!B674</f>
        <v>7</v>
      </c>
      <c r="C674">
        <f>[5]trip_summary_region!C674</f>
        <v>2013</v>
      </c>
      <c r="D674">
        <f>[5]trip_summary_region!D674</f>
        <v>211</v>
      </c>
      <c r="E674">
        <f>[5]trip_summary_region!E674</f>
        <v>552</v>
      </c>
      <c r="F674">
        <f>[5]trip_summary_region!F674</f>
        <v>24.821335829999999</v>
      </c>
      <c r="G674">
        <f>[5]trip_summary_region!G674</f>
        <v>187.412398</v>
      </c>
      <c r="H674">
        <f>[5]trip_summary_region!H674</f>
        <v>9.3956469076999998</v>
      </c>
      <c r="I674" t="str">
        <f>[5]trip_summary_region!I674</f>
        <v>Local Bus</v>
      </c>
      <c r="J674" t="str">
        <f>[5]trip_summary_region!J674</f>
        <v>2012/13</v>
      </c>
    </row>
    <row r="675" spans="1:10" x14ac:dyDescent="0.2">
      <c r="A675" t="str">
        <f>[5]trip_summary_region!A675</f>
        <v>09 WELLINGTON</v>
      </c>
      <c r="B675">
        <f>[5]trip_summary_region!B675</f>
        <v>7</v>
      </c>
      <c r="C675">
        <f>[5]trip_summary_region!C675</f>
        <v>2018</v>
      </c>
      <c r="D675">
        <f>[5]trip_summary_region!D675</f>
        <v>211</v>
      </c>
      <c r="E675">
        <f>[5]trip_summary_region!E675</f>
        <v>552</v>
      </c>
      <c r="F675">
        <f>[5]trip_summary_region!F675</f>
        <v>23.850128953999999</v>
      </c>
      <c r="G675">
        <f>[5]trip_summary_region!G675</f>
        <v>181.7900128</v>
      </c>
      <c r="H675">
        <f>[5]trip_summary_region!H675</f>
        <v>9.0797274296000001</v>
      </c>
      <c r="I675" t="str">
        <f>[5]trip_summary_region!I675</f>
        <v>Local Bus</v>
      </c>
      <c r="J675" t="str">
        <f>[5]trip_summary_region!J675</f>
        <v>2017/18</v>
      </c>
    </row>
    <row r="676" spans="1:10" x14ac:dyDescent="0.2">
      <c r="A676" t="str">
        <f>[5]trip_summary_region!A676</f>
        <v>09 WELLINGTON</v>
      </c>
      <c r="B676">
        <f>[5]trip_summary_region!B676</f>
        <v>7</v>
      </c>
      <c r="C676">
        <f>[5]trip_summary_region!C676</f>
        <v>2023</v>
      </c>
      <c r="D676">
        <f>[5]trip_summary_region!D676</f>
        <v>211</v>
      </c>
      <c r="E676">
        <f>[5]trip_summary_region!E676</f>
        <v>552</v>
      </c>
      <c r="F676">
        <f>[5]trip_summary_region!F676</f>
        <v>24.259543268000002</v>
      </c>
      <c r="G676">
        <f>[5]trip_summary_region!G676</f>
        <v>187.11115660999999</v>
      </c>
      <c r="H676">
        <f>[5]trip_summary_region!H676</f>
        <v>9.3040085975999993</v>
      </c>
      <c r="I676" t="str">
        <f>[5]trip_summary_region!I676</f>
        <v>Local Bus</v>
      </c>
      <c r="J676" t="str">
        <f>[5]trip_summary_region!J676</f>
        <v>2022/23</v>
      </c>
    </row>
    <row r="677" spans="1:10" x14ac:dyDescent="0.2">
      <c r="A677" t="str">
        <f>[5]trip_summary_region!A677</f>
        <v>09 WELLINGTON</v>
      </c>
      <c r="B677">
        <f>[5]trip_summary_region!B677</f>
        <v>7</v>
      </c>
      <c r="C677">
        <f>[5]trip_summary_region!C677</f>
        <v>2028</v>
      </c>
      <c r="D677">
        <f>[5]trip_summary_region!D677</f>
        <v>211</v>
      </c>
      <c r="E677">
        <f>[5]trip_summary_region!E677</f>
        <v>552</v>
      </c>
      <c r="F677">
        <f>[5]trip_summary_region!F677</f>
        <v>23.003972069</v>
      </c>
      <c r="G677">
        <f>[5]trip_summary_region!G677</f>
        <v>182.32258335</v>
      </c>
      <c r="H677">
        <f>[5]trip_summary_region!H677</f>
        <v>8.8628852868999992</v>
      </c>
      <c r="I677" t="str">
        <f>[5]trip_summary_region!I677</f>
        <v>Local Bus</v>
      </c>
      <c r="J677" t="str">
        <f>[5]trip_summary_region!J677</f>
        <v>2027/28</v>
      </c>
    </row>
    <row r="678" spans="1:10" x14ac:dyDescent="0.2">
      <c r="A678" t="str">
        <f>[5]trip_summary_region!A678</f>
        <v>09 WELLINGTON</v>
      </c>
      <c r="B678">
        <f>[5]trip_summary_region!B678</f>
        <v>7</v>
      </c>
      <c r="C678">
        <f>[5]trip_summary_region!C678</f>
        <v>2033</v>
      </c>
      <c r="D678">
        <f>[5]trip_summary_region!D678</f>
        <v>211</v>
      </c>
      <c r="E678">
        <f>[5]trip_summary_region!E678</f>
        <v>552</v>
      </c>
      <c r="F678">
        <f>[5]trip_summary_region!F678</f>
        <v>21.607857992</v>
      </c>
      <c r="G678">
        <f>[5]trip_summary_region!G678</f>
        <v>177.10118631</v>
      </c>
      <c r="H678">
        <f>[5]trip_summary_region!H678</f>
        <v>8.3726417217000009</v>
      </c>
      <c r="I678" t="str">
        <f>[5]trip_summary_region!I678</f>
        <v>Local Bus</v>
      </c>
      <c r="J678" t="str">
        <f>[5]trip_summary_region!J678</f>
        <v>2032/33</v>
      </c>
    </row>
    <row r="679" spans="1:10" x14ac:dyDescent="0.2">
      <c r="A679" t="str">
        <f>[5]trip_summary_region!A679</f>
        <v>09 WELLINGTON</v>
      </c>
      <c r="B679">
        <f>[5]trip_summary_region!B679</f>
        <v>7</v>
      </c>
      <c r="C679">
        <f>[5]trip_summary_region!C679</f>
        <v>2038</v>
      </c>
      <c r="D679">
        <f>[5]trip_summary_region!D679</f>
        <v>211</v>
      </c>
      <c r="E679">
        <f>[5]trip_summary_region!E679</f>
        <v>552</v>
      </c>
      <c r="F679">
        <f>[5]trip_summary_region!F679</f>
        <v>20.261840903</v>
      </c>
      <c r="G679">
        <f>[5]trip_summary_region!G679</f>
        <v>171.97027491</v>
      </c>
      <c r="H679">
        <f>[5]trip_summary_region!H679</f>
        <v>7.8966896970000002</v>
      </c>
      <c r="I679" t="str">
        <f>[5]trip_summary_region!I679</f>
        <v>Local Bus</v>
      </c>
      <c r="J679" t="str">
        <f>[5]trip_summary_region!J679</f>
        <v>2037/38</v>
      </c>
    </row>
    <row r="680" spans="1:10" x14ac:dyDescent="0.2">
      <c r="A680" t="str">
        <f>[5]trip_summary_region!A680</f>
        <v>09 WELLINGTON</v>
      </c>
      <c r="B680">
        <f>[5]trip_summary_region!B680</f>
        <v>7</v>
      </c>
      <c r="C680">
        <f>[5]trip_summary_region!C680</f>
        <v>2043</v>
      </c>
      <c r="D680">
        <f>[5]trip_summary_region!D680</f>
        <v>211</v>
      </c>
      <c r="E680">
        <f>[5]trip_summary_region!E680</f>
        <v>552</v>
      </c>
      <c r="F680">
        <f>[5]trip_summary_region!F680</f>
        <v>18.955095878000002</v>
      </c>
      <c r="G680">
        <f>[5]trip_summary_region!G680</f>
        <v>166.55157001000001</v>
      </c>
      <c r="H680">
        <f>[5]trip_summary_region!H680</f>
        <v>7.4243218439999996</v>
      </c>
      <c r="I680" t="str">
        <f>[5]trip_summary_region!I680</f>
        <v>Local Bus</v>
      </c>
      <c r="J680" t="str">
        <f>[5]trip_summary_region!J680</f>
        <v>2042/43</v>
      </c>
    </row>
    <row r="681" spans="1:10" x14ac:dyDescent="0.2">
      <c r="A681" t="str">
        <f>[5]trip_summary_region!A681</f>
        <v>09 WELLINGTON</v>
      </c>
      <c r="B681">
        <f>[5]trip_summary_region!B681</f>
        <v>8</v>
      </c>
      <c r="C681">
        <f>[5]trip_summary_region!C681</f>
        <v>2013</v>
      </c>
      <c r="D681">
        <f>[5]trip_summary_region!D681</f>
        <v>2</v>
      </c>
      <c r="E681">
        <f>[5]trip_summary_region!E681</f>
        <v>4</v>
      </c>
      <c r="F681">
        <f>[5]trip_summary_region!F681</f>
        <v>0.22615005399999999</v>
      </c>
      <c r="G681">
        <f>[5]trip_summary_region!G681</f>
        <v>0</v>
      </c>
      <c r="H681">
        <f>[5]trip_summary_region!H681</f>
        <v>5.6537513499999997E-2</v>
      </c>
      <c r="I681" t="str">
        <f>[5]trip_summary_region!I681</f>
        <v>Local Ferry</v>
      </c>
      <c r="J681" t="str">
        <f>[5]trip_summary_region!J681</f>
        <v>2012/13</v>
      </c>
    </row>
    <row r="682" spans="1:10" x14ac:dyDescent="0.2">
      <c r="A682" t="str">
        <f>[5]trip_summary_region!A682</f>
        <v>09 WELLINGTON</v>
      </c>
      <c r="B682">
        <f>[5]trip_summary_region!B682</f>
        <v>8</v>
      </c>
      <c r="C682">
        <f>[5]trip_summary_region!C682</f>
        <v>2018</v>
      </c>
      <c r="D682">
        <f>[5]trip_summary_region!D682</f>
        <v>2</v>
      </c>
      <c r="E682">
        <f>[5]trip_summary_region!E682</f>
        <v>4</v>
      </c>
      <c r="F682">
        <f>[5]trip_summary_region!F682</f>
        <v>0.25161437549999999</v>
      </c>
      <c r="G682">
        <f>[5]trip_summary_region!G682</f>
        <v>0</v>
      </c>
      <c r="H682">
        <f>[5]trip_summary_region!H682</f>
        <v>6.2903593899999999E-2</v>
      </c>
      <c r="I682" t="str">
        <f>[5]trip_summary_region!I682</f>
        <v>Local Ferry</v>
      </c>
      <c r="J682" t="str">
        <f>[5]trip_summary_region!J682</f>
        <v>2017/18</v>
      </c>
    </row>
    <row r="683" spans="1:10" x14ac:dyDescent="0.2">
      <c r="A683" t="str">
        <f>[5]trip_summary_region!A683</f>
        <v>09 WELLINGTON</v>
      </c>
      <c r="B683">
        <f>[5]trip_summary_region!B683</f>
        <v>8</v>
      </c>
      <c r="C683">
        <f>[5]trip_summary_region!C683</f>
        <v>2023</v>
      </c>
      <c r="D683">
        <f>[5]trip_summary_region!D683</f>
        <v>2</v>
      </c>
      <c r="E683">
        <f>[5]trip_summary_region!E683</f>
        <v>4</v>
      </c>
      <c r="F683">
        <f>[5]trip_summary_region!F683</f>
        <v>0.29867249950000002</v>
      </c>
      <c r="G683">
        <f>[5]trip_summary_region!G683</f>
        <v>0</v>
      </c>
      <c r="H683">
        <f>[5]trip_summary_region!H683</f>
        <v>7.4668124899999994E-2</v>
      </c>
      <c r="I683" t="str">
        <f>[5]trip_summary_region!I683</f>
        <v>Local Ferry</v>
      </c>
      <c r="J683" t="str">
        <f>[5]trip_summary_region!J683</f>
        <v>2022/23</v>
      </c>
    </row>
    <row r="684" spans="1:10" x14ac:dyDescent="0.2">
      <c r="A684" t="str">
        <f>[5]trip_summary_region!A684</f>
        <v>09 WELLINGTON</v>
      </c>
      <c r="B684">
        <f>[5]trip_summary_region!B684</f>
        <v>8</v>
      </c>
      <c r="C684">
        <f>[5]trip_summary_region!C684</f>
        <v>2028</v>
      </c>
      <c r="D684">
        <f>[5]trip_summary_region!D684</f>
        <v>2</v>
      </c>
      <c r="E684">
        <f>[5]trip_summary_region!E684</f>
        <v>4</v>
      </c>
      <c r="F684">
        <f>[5]trip_summary_region!F684</f>
        <v>0.33806518390000001</v>
      </c>
      <c r="G684">
        <f>[5]trip_summary_region!G684</f>
        <v>0</v>
      </c>
      <c r="H684">
        <f>[5]trip_summary_region!H684</f>
        <v>8.4516296000000005E-2</v>
      </c>
      <c r="I684" t="str">
        <f>[5]trip_summary_region!I684</f>
        <v>Local Ferry</v>
      </c>
      <c r="J684" t="str">
        <f>[5]trip_summary_region!J684</f>
        <v>2027/28</v>
      </c>
    </row>
    <row r="685" spans="1:10" x14ac:dyDescent="0.2">
      <c r="A685" t="str">
        <f>[5]trip_summary_region!A685</f>
        <v>09 WELLINGTON</v>
      </c>
      <c r="B685">
        <f>[5]trip_summary_region!B685</f>
        <v>8</v>
      </c>
      <c r="C685">
        <f>[5]trip_summary_region!C685</f>
        <v>2033</v>
      </c>
      <c r="D685">
        <f>[5]trip_summary_region!D685</f>
        <v>2</v>
      </c>
      <c r="E685">
        <f>[5]trip_summary_region!E685</f>
        <v>4</v>
      </c>
      <c r="F685">
        <f>[5]trip_summary_region!F685</f>
        <v>0.37676095970000001</v>
      </c>
      <c r="G685">
        <f>[5]trip_summary_region!G685</f>
        <v>0</v>
      </c>
      <c r="H685">
        <f>[5]trip_summary_region!H685</f>
        <v>9.41902399E-2</v>
      </c>
      <c r="I685" t="str">
        <f>[5]trip_summary_region!I685</f>
        <v>Local Ferry</v>
      </c>
      <c r="J685" t="str">
        <f>[5]trip_summary_region!J685</f>
        <v>2032/33</v>
      </c>
    </row>
    <row r="686" spans="1:10" x14ac:dyDescent="0.2">
      <c r="A686" t="str">
        <f>[5]trip_summary_region!A686</f>
        <v>09 WELLINGTON</v>
      </c>
      <c r="B686">
        <f>[5]trip_summary_region!B686</f>
        <v>8</v>
      </c>
      <c r="C686">
        <f>[5]trip_summary_region!C686</f>
        <v>2038</v>
      </c>
      <c r="D686">
        <f>[5]trip_summary_region!D686</f>
        <v>2</v>
      </c>
      <c r="E686">
        <f>[5]trip_summary_region!E686</f>
        <v>4</v>
      </c>
      <c r="F686">
        <f>[5]trip_summary_region!F686</f>
        <v>0.42251739859999998</v>
      </c>
      <c r="G686">
        <f>[5]trip_summary_region!G686</f>
        <v>0</v>
      </c>
      <c r="H686">
        <f>[5]trip_summary_region!H686</f>
        <v>0.1056293497</v>
      </c>
      <c r="I686" t="str">
        <f>[5]trip_summary_region!I686</f>
        <v>Local Ferry</v>
      </c>
      <c r="J686" t="str">
        <f>[5]trip_summary_region!J686</f>
        <v>2037/38</v>
      </c>
    </row>
    <row r="687" spans="1:10" x14ac:dyDescent="0.2">
      <c r="A687" t="str">
        <f>[5]trip_summary_region!A687</f>
        <v>09 WELLINGTON</v>
      </c>
      <c r="B687">
        <f>[5]trip_summary_region!B687</f>
        <v>8</v>
      </c>
      <c r="C687">
        <f>[5]trip_summary_region!C687</f>
        <v>2043</v>
      </c>
      <c r="D687">
        <f>[5]trip_summary_region!D687</f>
        <v>2</v>
      </c>
      <c r="E687">
        <f>[5]trip_summary_region!E687</f>
        <v>4</v>
      </c>
      <c r="F687">
        <f>[5]trip_summary_region!F687</f>
        <v>0.46676014850000003</v>
      </c>
      <c r="G687">
        <f>[5]trip_summary_region!G687</f>
        <v>0</v>
      </c>
      <c r="H687">
        <f>[5]trip_summary_region!H687</f>
        <v>0.1166900371</v>
      </c>
      <c r="I687" t="str">
        <f>[5]trip_summary_region!I687</f>
        <v>Local Ferry</v>
      </c>
      <c r="J687" t="str">
        <f>[5]trip_summary_region!J687</f>
        <v>2042/43</v>
      </c>
    </row>
    <row r="688" spans="1:10" x14ac:dyDescent="0.2">
      <c r="A688" t="str">
        <f>[5]trip_summary_region!A688</f>
        <v>09 WELLINGTON</v>
      </c>
      <c r="B688">
        <f>[5]trip_summary_region!B688</f>
        <v>9</v>
      </c>
      <c r="C688">
        <f>[5]trip_summary_region!C688</f>
        <v>2013</v>
      </c>
      <c r="D688">
        <f>[5]trip_summary_region!D688</f>
        <v>7</v>
      </c>
      <c r="E688">
        <f>[5]trip_summary_region!E688</f>
        <v>10</v>
      </c>
      <c r="F688">
        <f>[5]trip_summary_region!F688</f>
        <v>0.33422365529999998</v>
      </c>
      <c r="G688">
        <f>[5]trip_summary_region!G688</f>
        <v>0</v>
      </c>
      <c r="H688">
        <f>[5]trip_summary_region!H688</f>
        <v>0.36538599710000003</v>
      </c>
      <c r="I688" t="str">
        <f>[5]trip_summary_region!I688</f>
        <v>Other Household Travel</v>
      </c>
      <c r="J688" t="str">
        <f>[5]trip_summary_region!J688</f>
        <v>2012/13</v>
      </c>
    </row>
    <row r="689" spans="1:10" x14ac:dyDescent="0.2">
      <c r="A689" t="str">
        <f>[5]trip_summary_region!A689</f>
        <v>09 WELLINGTON</v>
      </c>
      <c r="B689">
        <f>[5]trip_summary_region!B689</f>
        <v>9</v>
      </c>
      <c r="C689">
        <f>[5]trip_summary_region!C689</f>
        <v>2018</v>
      </c>
      <c r="D689">
        <f>[5]trip_summary_region!D689</f>
        <v>7</v>
      </c>
      <c r="E689">
        <f>[5]trip_summary_region!E689</f>
        <v>10</v>
      </c>
      <c r="F689">
        <f>[5]trip_summary_region!F689</f>
        <v>0.31002510319999999</v>
      </c>
      <c r="G689">
        <f>[5]trip_summary_region!G689</f>
        <v>0</v>
      </c>
      <c r="H689">
        <f>[5]trip_summary_region!H689</f>
        <v>0.32689731360000002</v>
      </c>
      <c r="I689" t="str">
        <f>[5]trip_summary_region!I689</f>
        <v>Other Household Travel</v>
      </c>
      <c r="J689" t="str">
        <f>[5]trip_summary_region!J689</f>
        <v>2017/18</v>
      </c>
    </row>
    <row r="690" spans="1:10" x14ac:dyDescent="0.2">
      <c r="A690" t="str">
        <f>[5]trip_summary_region!A690</f>
        <v>09 WELLINGTON</v>
      </c>
      <c r="B690">
        <f>[5]trip_summary_region!B690</f>
        <v>9</v>
      </c>
      <c r="C690">
        <f>[5]trip_summary_region!C690</f>
        <v>2023</v>
      </c>
      <c r="D690">
        <f>[5]trip_summary_region!D690</f>
        <v>7</v>
      </c>
      <c r="E690">
        <f>[5]trip_summary_region!E690</f>
        <v>10</v>
      </c>
      <c r="F690">
        <f>[5]trip_summary_region!F690</f>
        <v>0.32476526610000001</v>
      </c>
      <c r="G690">
        <f>[5]trip_summary_region!G690</f>
        <v>0</v>
      </c>
      <c r="H690">
        <f>[5]trip_summary_region!H690</f>
        <v>0.33525093989999999</v>
      </c>
      <c r="I690" t="str">
        <f>[5]trip_summary_region!I690</f>
        <v>Other Household Travel</v>
      </c>
      <c r="J690" t="str">
        <f>[5]trip_summary_region!J690</f>
        <v>2022/23</v>
      </c>
    </row>
    <row r="691" spans="1:10" x14ac:dyDescent="0.2">
      <c r="A691" t="str">
        <f>[5]trip_summary_region!A691</f>
        <v>09 WELLINGTON</v>
      </c>
      <c r="B691">
        <f>[5]trip_summary_region!B691</f>
        <v>9</v>
      </c>
      <c r="C691">
        <f>[5]trip_summary_region!C691</f>
        <v>2028</v>
      </c>
      <c r="D691">
        <f>[5]trip_summary_region!D691</f>
        <v>7</v>
      </c>
      <c r="E691">
        <f>[5]trip_summary_region!E691</f>
        <v>10</v>
      </c>
      <c r="F691">
        <f>[5]trip_summary_region!F691</f>
        <v>0.3165565246</v>
      </c>
      <c r="G691">
        <f>[5]trip_summary_region!G691</f>
        <v>0</v>
      </c>
      <c r="H691">
        <f>[5]trip_summary_region!H691</f>
        <v>0.37054193460000001</v>
      </c>
      <c r="I691" t="str">
        <f>[5]trip_summary_region!I691</f>
        <v>Other Household Travel</v>
      </c>
      <c r="J691" t="str">
        <f>[5]trip_summary_region!J691</f>
        <v>2027/28</v>
      </c>
    </row>
    <row r="692" spans="1:10" x14ac:dyDescent="0.2">
      <c r="A692" t="str">
        <f>[5]trip_summary_region!A692</f>
        <v>09 WELLINGTON</v>
      </c>
      <c r="B692">
        <f>[5]trip_summary_region!B692</f>
        <v>9</v>
      </c>
      <c r="C692">
        <f>[5]trip_summary_region!C692</f>
        <v>2033</v>
      </c>
      <c r="D692">
        <f>[5]trip_summary_region!D692</f>
        <v>7</v>
      </c>
      <c r="E692">
        <f>[5]trip_summary_region!E692</f>
        <v>10</v>
      </c>
      <c r="F692">
        <f>[5]trip_summary_region!F692</f>
        <v>0.3005884607</v>
      </c>
      <c r="G692">
        <f>[5]trip_summary_region!G692</f>
        <v>0</v>
      </c>
      <c r="H692">
        <f>[5]trip_summary_region!H692</f>
        <v>0.38282474119999998</v>
      </c>
      <c r="I692" t="str">
        <f>[5]trip_summary_region!I692</f>
        <v>Other Household Travel</v>
      </c>
      <c r="J692" t="str">
        <f>[5]trip_summary_region!J692</f>
        <v>2032/33</v>
      </c>
    </row>
    <row r="693" spans="1:10" x14ac:dyDescent="0.2">
      <c r="A693" t="str">
        <f>[5]trip_summary_region!A693</f>
        <v>09 WELLINGTON</v>
      </c>
      <c r="B693">
        <f>[5]trip_summary_region!B693</f>
        <v>9</v>
      </c>
      <c r="C693">
        <f>[5]trip_summary_region!C693</f>
        <v>2038</v>
      </c>
      <c r="D693">
        <f>[5]trip_summary_region!D693</f>
        <v>7</v>
      </c>
      <c r="E693">
        <f>[5]trip_summary_region!E693</f>
        <v>10</v>
      </c>
      <c r="F693">
        <f>[5]trip_summary_region!F693</f>
        <v>0.28488795750000001</v>
      </c>
      <c r="G693">
        <f>[5]trip_summary_region!G693</f>
        <v>0</v>
      </c>
      <c r="H693">
        <f>[5]trip_summary_region!H693</f>
        <v>0.35636601680000002</v>
      </c>
      <c r="I693" t="str">
        <f>[5]trip_summary_region!I693</f>
        <v>Other Household Travel</v>
      </c>
      <c r="J693" t="str">
        <f>[5]trip_summary_region!J693</f>
        <v>2037/38</v>
      </c>
    </row>
    <row r="694" spans="1:10" x14ac:dyDescent="0.2">
      <c r="A694" t="str">
        <f>[5]trip_summary_region!A694</f>
        <v>09 WELLINGTON</v>
      </c>
      <c r="B694">
        <f>[5]trip_summary_region!B694</f>
        <v>9</v>
      </c>
      <c r="C694">
        <f>[5]trip_summary_region!C694</f>
        <v>2043</v>
      </c>
      <c r="D694">
        <f>[5]trip_summary_region!D694</f>
        <v>7</v>
      </c>
      <c r="E694">
        <f>[5]trip_summary_region!E694</f>
        <v>10</v>
      </c>
      <c r="F694">
        <f>[5]trip_summary_region!F694</f>
        <v>0.26677333040000001</v>
      </c>
      <c r="G694">
        <f>[5]trip_summary_region!G694</f>
        <v>0</v>
      </c>
      <c r="H694">
        <f>[5]trip_summary_region!H694</f>
        <v>0.32363022759999999</v>
      </c>
      <c r="I694" t="str">
        <f>[5]trip_summary_region!I694</f>
        <v>Other Household Travel</v>
      </c>
      <c r="J694" t="str">
        <f>[5]trip_summary_region!J694</f>
        <v>2042/43</v>
      </c>
    </row>
    <row r="695" spans="1:10" x14ac:dyDescent="0.2">
      <c r="A695" t="str">
        <f>[5]trip_summary_region!A695</f>
        <v>09 WELLINGTON</v>
      </c>
      <c r="B695">
        <f>[5]trip_summary_region!B695</f>
        <v>10</v>
      </c>
      <c r="C695">
        <f>[5]trip_summary_region!C695</f>
        <v>2013</v>
      </c>
      <c r="D695">
        <f>[5]trip_summary_region!D695</f>
        <v>44</v>
      </c>
      <c r="E695">
        <f>[5]trip_summary_region!E695</f>
        <v>59</v>
      </c>
      <c r="F695">
        <f>[5]trip_summary_region!F695</f>
        <v>2.6590020702000001</v>
      </c>
      <c r="G695">
        <f>[5]trip_summary_region!G695</f>
        <v>67.715118274999995</v>
      </c>
      <c r="H695">
        <f>[5]trip_summary_region!H695</f>
        <v>5.4178011538000002</v>
      </c>
      <c r="I695" t="str">
        <f>[5]trip_summary_region!I695</f>
        <v>Air/Non-Local PT</v>
      </c>
      <c r="J695" t="str">
        <f>[5]trip_summary_region!J695</f>
        <v>2012/13</v>
      </c>
    </row>
    <row r="696" spans="1:10" x14ac:dyDescent="0.2">
      <c r="A696" t="str">
        <f>[5]trip_summary_region!A696</f>
        <v>09 WELLINGTON</v>
      </c>
      <c r="B696">
        <f>[5]trip_summary_region!B696</f>
        <v>10</v>
      </c>
      <c r="C696">
        <f>[5]trip_summary_region!C696</f>
        <v>2018</v>
      </c>
      <c r="D696">
        <f>[5]trip_summary_region!D696</f>
        <v>44</v>
      </c>
      <c r="E696">
        <f>[5]trip_summary_region!E696</f>
        <v>59</v>
      </c>
      <c r="F696">
        <f>[5]trip_summary_region!F696</f>
        <v>2.7602023181000002</v>
      </c>
      <c r="G696">
        <f>[5]trip_summary_region!G696</f>
        <v>77.617112509999998</v>
      </c>
      <c r="H696">
        <f>[5]trip_summary_region!H696</f>
        <v>5.7225328060000002</v>
      </c>
      <c r="I696" t="str">
        <f>[5]trip_summary_region!I696</f>
        <v>Air/Non-Local PT</v>
      </c>
      <c r="J696" t="str">
        <f>[5]trip_summary_region!J696</f>
        <v>2017/18</v>
      </c>
    </row>
    <row r="697" spans="1:10" x14ac:dyDescent="0.2">
      <c r="A697" t="str">
        <f>[5]trip_summary_region!A697</f>
        <v>09 WELLINGTON</v>
      </c>
      <c r="B697">
        <f>[5]trip_summary_region!B697</f>
        <v>10</v>
      </c>
      <c r="C697">
        <f>[5]trip_summary_region!C697</f>
        <v>2023</v>
      </c>
      <c r="D697">
        <f>[5]trip_summary_region!D697</f>
        <v>44</v>
      </c>
      <c r="E697">
        <f>[5]trip_summary_region!E697</f>
        <v>59</v>
      </c>
      <c r="F697">
        <f>[5]trip_summary_region!F697</f>
        <v>3.1215030637000001</v>
      </c>
      <c r="G697">
        <f>[5]trip_summary_region!G697</f>
        <v>90.359648090999997</v>
      </c>
      <c r="H697">
        <f>[5]trip_summary_region!H697</f>
        <v>6.6538859965999997</v>
      </c>
      <c r="I697" t="str">
        <f>[5]trip_summary_region!I697</f>
        <v>Air/Non-Local PT</v>
      </c>
      <c r="J697" t="str">
        <f>[5]trip_summary_region!J697</f>
        <v>2022/23</v>
      </c>
    </row>
    <row r="698" spans="1:10" x14ac:dyDescent="0.2">
      <c r="A698" t="str">
        <f>[5]trip_summary_region!A698</f>
        <v>09 WELLINGTON</v>
      </c>
      <c r="B698">
        <f>[5]trip_summary_region!B698</f>
        <v>10</v>
      </c>
      <c r="C698">
        <f>[5]trip_summary_region!C698</f>
        <v>2028</v>
      </c>
      <c r="D698">
        <f>[5]trip_summary_region!D698</f>
        <v>44</v>
      </c>
      <c r="E698">
        <f>[5]trip_summary_region!E698</f>
        <v>59</v>
      </c>
      <c r="F698">
        <f>[5]trip_summary_region!F698</f>
        <v>3.3824796897999998</v>
      </c>
      <c r="G698">
        <f>[5]trip_summary_region!G698</f>
        <v>91.474079821000004</v>
      </c>
      <c r="H698">
        <f>[5]trip_summary_region!H698</f>
        <v>7.3705023537000001</v>
      </c>
      <c r="I698" t="str">
        <f>[5]trip_summary_region!I698</f>
        <v>Air/Non-Local PT</v>
      </c>
      <c r="J698" t="str">
        <f>[5]trip_summary_region!J698</f>
        <v>2027/28</v>
      </c>
    </row>
    <row r="699" spans="1:10" x14ac:dyDescent="0.2">
      <c r="A699" t="str">
        <f>[5]trip_summary_region!A699</f>
        <v>09 WELLINGTON</v>
      </c>
      <c r="B699">
        <f>[5]trip_summary_region!B699</f>
        <v>10</v>
      </c>
      <c r="C699">
        <f>[5]trip_summary_region!C699</f>
        <v>2033</v>
      </c>
      <c r="D699">
        <f>[5]trip_summary_region!D699</f>
        <v>44</v>
      </c>
      <c r="E699">
        <f>[5]trip_summary_region!E699</f>
        <v>59</v>
      </c>
      <c r="F699">
        <f>[5]trip_summary_region!F699</f>
        <v>3.5653346963999999</v>
      </c>
      <c r="G699">
        <f>[5]trip_summary_region!G699</f>
        <v>88.996563203999997</v>
      </c>
      <c r="H699">
        <f>[5]trip_summary_region!H699</f>
        <v>7.8651554653</v>
      </c>
      <c r="I699" t="str">
        <f>[5]trip_summary_region!I699</f>
        <v>Air/Non-Local PT</v>
      </c>
      <c r="J699" t="str">
        <f>[5]trip_summary_region!J699</f>
        <v>2032/33</v>
      </c>
    </row>
    <row r="700" spans="1:10" x14ac:dyDescent="0.2">
      <c r="A700" t="str">
        <f>[5]trip_summary_region!A700</f>
        <v>09 WELLINGTON</v>
      </c>
      <c r="B700">
        <f>[5]trip_summary_region!B700</f>
        <v>10</v>
      </c>
      <c r="C700">
        <f>[5]trip_summary_region!C700</f>
        <v>2038</v>
      </c>
      <c r="D700">
        <f>[5]trip_summary_region!D700</f>
        <v>44</v>
      </c>
      <c r="E700">
        <f>[5]trip_summary_region!E700</f>
        <v>59</v>
      </c>
      <c r="F700">
        <f>[5]trip_summary_region!F700</f>
        <v>3.6301513671999999</v>
      </c>
      <c r="G700">
        <f>[5]trip_summary_region!G700</f>
        <v>82.861127292000006</v>
      </c>
      <c r="H700">
        <f>[5]trip_summary_region!H700</f>
        <v>8.0001868505000004</v>
      </c>
      <c r="I700" t="str">
        <f>[5]trip_summary_region!I700</f>
        <v>Air/Non-Local PT</v>
      </c>
      <c r="J700" t="str">
        <f>[5]trip_summary_region!J700</f>
        <v>2037/38</v>
      </c>
    </row>
    <row r="701" spans="1:10" x14ac:dyDescent="0.2">
      <c r="A701" t="str">
        <f>[5]trip_summary_region!A701</f>
        <v>09 WELLINGTON</v>
      </c>
      <c r="B701">
        <f>[5]trip_summary_region!B701</f>
        <v>10</v>
      </c>
      <c r="C701">
        <f>[5]trip_summary_region!C701</f>
        <v>2043</v>
      </c>
      <c r="D701">
        <f>[5]trip_summary_region!D701</f>
        <v>44</v>
      </c>
      <c r="E701">
        <f>[5]trip_summary_region!E701</f>
        <v>59</v>
      </c>
      <c r="F701">
        <f>[5]trip_summary_region!F701</f>
        <v>3.6722487881000001</v>
      </c>
      <c r="G701">
        <f>[5]trip_summary_region!G701</f>
        <v>75.319982816999996</v>
      </c>
      <c r="H701">
        <f>[5]trip_summary_region!H701</f>
        <v>8.0686788486999994</v>
      </c>
      <c r="I701" t="str">
        <f>[5]trip_summary_region!I701</f>
        <v>Air/Non-Local PT</v>
      </c>
      <c r="J701" t="str">
        <f>[5]trip_summary_region!J701</f>
        <v>2042/43</v>
      </c>
    </row>
    <row r="702" spans="1:10" x14ac:dyDescent="0.2">
      <c r="A702" t="str">
        <f>[5]trip_summary_region!A702</f>
        <v>09 WELLINGTON</v>
      </c>
      <c r="B702">
        <f>[5]trip_summary_region!B702</f>
        <v>11</v>
      </c>
      <c r="C702">
        <f>[5]trip_summary_region!C702</f>
        <v>2013</v>
      </c>
      <c r="D702">
        <f>[5]trip_summary_region!D702</f>
        <v>22</v>
      </c>
      <c r="E702">
        <f>[5]trip_summary_region!E702</f>
        <v>115</v>
      </c>
      <c r="F702">
        <f>[5]trip_summary_region!F702</f>
        <v>5.4599503292999998</v>
      </c>
      <c r="G702">
        <f>[5]trip_summary_region!G702</f>
        <v>100.96436647</v>
      </c>
      <c r="H702">
        <f>[5]trip_summary_region!H702</f>
        <v>1.9758448391000001</v>
      </c>
      <c r="I702" t="str">
        <f>[5]trip_summary_region!I702</f>
        <v>Non-Household Travel</v>
      </c>
      <c r="J702" t="str">
        <f>[5]trip_summary_region!J702</f>
        <v>2012/13</v>
      </c>
    </row>
    <row r="703" spans="1:10" x14ac:dyDescent="0.2">
      <c r="A703" t="str">
        <f>[5]trip_summary_region!A703</f>
        <v>09 WELLINGTON</v>
      </c>
      <c r="B703">
        <f>[5]trip_summary_region!B703</f>
        <v>11</v>
      </c>
      <c r="C703">
        <f>[5]trip_summary_region!C703</f>
        <v>2018</v>
      </c>
      <c r="D703">
        <f>[5]trip_summary_region!D703</f>
        <v>22</v>
      </c>
      <c r="E703">
        <f>[5]trip_summary_region!E703</f>
        <v>115</v>
      </c>
      <c r="F703">
        <f>[5]trip_summary_region!F703</f>
        <v>5.2767067031000003</v>
      </c>
      <c r="G703">
        <f>[5]trip_summary_region!G703</f>
        <v>107.01605850999999</v>
      </c>
      <c r="H703">
        <f>[5]trip_summary_region!H703</f>
        <v>2.0474502582</v>
      </c>
      <c r="I703" t="str">
        <f>[5]trip_summary_region!I703</f>
        <v>Non-Household Travel</v>
      </c>
      <c r="J703" t="str">
        <f>[5]trip_summary_region!J703</f>
        <v>2017/18</v>
      </c>
    </row>
    <row r="704" spans="1:10" x14ac:dyDescent="0.2">
      <c r="A704" t="str">
        <f>[5]trip_summary_region!A704</f>
        <v>09 WELLINGTON</v>
      </c>
      <c r="B704">
        <f>[5]trip_summary_region!B704</f>
        <v>11</v>
      </c>
      <c r="C704">
        <f>[5]trip_summary_region!C704</f>
        <v>2023</v>
      </c>
      <c r="D704">
        <f>[5]trip_summary_region!D704</f>
        <v>22</v>
      </c>
      <c r="E704">
        <f>[5]trip_summary_region!E704</f>
        <v>115</v>
      </c>
      <c r="F704">
        <f>[5]trip_summary_region!F704</f>
        <v>5.5251865805999998</v>
      </c>
      <c r="G704">
        <f>[5]trip_summary_region!G704</f>
        <v>120.52777138</v>
      </c>
      <c r="H704">
        <f>[5]trip_summary_region!H704</f>
        <v>2.2750190606</v>
      </c>
      <c r="I704" t="str">
        <f>[5]trip_summary_region!I704</f>
        <v>Non-Household Travel</v>
      </c>
      <c r="J704" t="str">
        <f>[5]trip_summary_region!J704</f>
        <v>2022/23</v>
      </c>
    </row>
    <row r="705" spans="1:10" x14ac:dyDescent="0.2">
      <c r="A705" t="str">
        <f>[5]trip_summary_region!A705</f>
        <v>09 WELLINGTON</v>
      </c>
      <c r="B705">
        <f>[5]trip_summary_region!B705</f>
        <v>11</v>
      </c>
      <c r="C705">
        <f>[5]trip_summary_region!C705</f>
        <v>2028</v>
      </c>
      <c r="D705">
        <f>[5]trip_summary_region!D705</f>
        <v>22</v>
      </c>
      <c r="E705">
        <f>[5]trip_summary_region!E705</f>
        <v>115</v>
      </c>
      <c r="F705">
        <f>[5]trip_summary_region!F705</f>
        <v>5.5716149715999999</v>
      </c>
      <c r="G705">
        <f>[5]trip_summary_region!G705</f>
        <v>120.4680424</v>
      </c>
      <c r="H705">
        <f>[5]trip_summary_region!H705</f>
        <v>2.2794584656999999</v>
      </c>
      <c r="I705" t="str">
        <f>[5]trip_summary_region!I705</f>
        <v>Non-Household Travel</v>
      </c>
      <c r="J705" t="str">
        <f>[5]trip_summary_region!J705</f>
        <v>2027/28</v>
      </c>
    </row>
    <row r="706" spans="1:10" x14ac:dyDescent="0.2">
      <c r="A706" t="str">
        <f>[5]trip_summary_region!A706</f>
        <v>09 WELLINGTON</v>
      </c>
      <c r="B706">
        <f>[5]trip_summary_region!B706</f>
        <v>11</v>
      </c>
      <c r="C706">
        <f>[5]trip_summary_region!C706</f>
        <v>2033</v>
      </c>
      <c r="D706">
        <f>[5]trip_summary_region!D706</f>
        <v>22</v>
      </c>
      <c r="E706">
        <f>[5]trip_summary_region!E706</f>
        <v>115</v>
      </c>
      <c r="F706">
        <f>[5]trip_summary_region!F706</f>
        <v>5.7201179481000004</v>
      </c>
      <c r="G706">
        <f>[5]trip_summary_region!G706</f>
        <v>118.61677822</v>
      </c>
      <c r="H706">
        <f>[5]trip_summary_region!H706</f>
        <v>2.2816876825999999</v>
      </c>
      <c r="I706" t="str">
        <f>[5]trip_summary_region!I706</f>
        <v>Non-Household Travel</v>
      </c>
      <c r="J706" t="str">
        <f>[5]trip_summary_region!J706</f>
        <v>2032/33</v>
      </c>
    </row>
    <row r="707" spans="1:10" x14ac:dyDescent="0.2">
      <c r="A707" t="str">
        <f>[5]trip_summary_region!A707</f>
        <v>09 WELLINGTON</v>
      </c>
      <c r="B707">
        <f>[5]trip_summary_region!B707</f>
        <v>11</v>
      </c>
      <c r="C707">
        <f>[5]trip_summary_region!C707</f>
        <v>2038</v>
      </c>
      <c r="D707">
        <f>[5]trip_summary_region!D707</f>
        <v>22</v>
      </c>
      <c r="E707">
        <f>[5]trip_summary_region!E707</f>
        <v>115</v>
      </c>
      <c r="F707">
        <f>[5]trip_summary_region!F707</f>
        <v>5.9902704911000004</v>
      </c>
      <c r="G707">
        <f>[5]trip_summary_region!G707</f>
        <v>118.59427329</v>
      </c>
      <c r="H707">
        <f>[5]trip_summary_region!H707</f>
        <v>2.3344334086999998</v>
      </c>
      <c r="I707" t="str">
        <f>[5]trip_summary_region!I707</f>
        <v>Non-Household Travel</v>
      </c>
      <c r="J707" t="str">
        <f>[5]trip_summary_region!J707</f>
        <v>2037/38</v>
      </c>
    </row>
    <row r="708" spans="1:10" x14ac:dyDescent="0.2">
      <c r="A708" t="str">
        <f>[5]trip_summary_region!A708</f>
        <v>09 WELLINGTON</v>
      </c>
      <c r="B708">
        <f>[5]trip_summary_region!B708</f>
        <v>11</v>
      </c>
      <c r="C708">
        <f>[5]trip_summary_region!C708</f>
        <v>2043</v>
      </c>
      <c r="D708">
        <f>[5]trip_summary_region!D708</f>
        <v>22</v>
      </c>
      <c r="E708">
        <f>[5]trip_summary_region!E708</f>
        <v>115</v>
      </c>
      <c r="F708">
        <f>[5]trip_summary_region!F708</f>
        <v>6.2837643367</v>
      </c>
      <c r="G708">
        <f>[5]trip_summary_region!G708</f>
        <v>118.32150256</v>
      </c>
      <c r="H708">
        <f>[5]trip_summary_region!H708</f>
        <v>2.3853803291000002</v>
      </c>
      <c r="I708" t="str">
        <f>[5]trip_summary_region!I708</f>
        <v>Non-Household Travel</v>
      </c>
      <c r="J708" t="str">
        <f>[5]trip_summary_region!J708</f>
        <v>2042/43</v>
      </c>
    </row>
    <row r="709" spans="1:10" x14ac:dyDescent="0.2">
      <c r="A709" t="str">
        <f>[5]trip_summary_region!A709</f>
        <v>10 NELS-MARLB-TAS</v>
      </c>
      <c r="B709">
        <f>[5]trip_summary_region!B709</f>
        <v>0</v>
      </c>
      <c r="C709">
        <f>[5]trip_summary_region!C709</f>
        <v>2013</v>
      </c>
      <c r="D709">
        <f>[5]trip_summary_region!D709</f>
        <v>333</v>
      </c>
      <c r="E709">
        <f>[5]trip_summary_region!E709</f>
        <v>1184</v>
      </c>
      <c r="F709">
        <f>[5]trip_summary_region!F709</f>
        <v>34.609993433</v>
      </c>
      <c r="G709">
        <f>[5]trip_summary_region!G709</f>
        <v>28.582749250999999</v>
      </c>
      <c r="H709">
        <f>[5]trip_summary_region!H709</f>
        <v>7.2640217022</v>
      </c>
      <c r="I709" t="str">
        <f>[5]trip_summary_region!I709</f>
        <v>Pedestrian</v>
      </c>
      <c r="J709" t="str">
        <f>[5]trip_summary_region!J709</f>
        <v>2012/13</v>
      </c>
    </row>
    <row r="710" spans="1:10" x14ac:dyDescent="0.2">
      <c r="A710" t="str">
        <f>[5]trip_summary_region!A710</f>
        <v>10 NELS-MARLB-TAS</v>
      </c>
      <c r="B710">
        <f>[5]trip_summary_region!B710</f>
        <v>0</v>
      </c>
      <c r="C710">
        <f>[5]trip_summary_region!C710</f>
        <v>2018</v>
      </c>
      <c r="D710">
        <f>[5]trip_summary_region!D710</f>
        <v>333</v>
      </c>
      <c r="E710">
        <f>[5]trip_summary_region!E710</f>
        <v>1184</v>
      </c>
      <c r="F710">
        <f>[5]trip_summary_region!F710</f>
        <v>32.992558275999997</v>
      </c>
      <c r="G710">
        <f>[5]trip_summary_region!G710</f>
        <v>27.267364876999999</v>
      </c>
      <c r="H710">
        <f>[5]trip_summary_region!H710</f>
        <v>6.9012564692999998</v>
      </c>
      <c r="I710" t="str">
        <f>[5]trip_summary_region!I710</f>
        <v>Pedestrian</v>
      </c>
      <c r="J710" t="str">
        <f>[5]trip_summary_region!J710</f>
        <v>2017/18</v>
      </c>
    </row>
    <row r="711" spans="1:10" x14ac:dyDescent="0.2">
      <c r="A711" t="str">
        <f>[5]trip_summary_region!A711</f>
        <v>10 NELS-MARLB-TAS</v>
      </c>
      <c r="B711">
        <f>[5]trip_summary_region!B711</f>
        <v>0</v>
      </c>
      <c r="C711">
        <f>[5]trip_summary_region!C711</f>
        <v>2023</v>
      </c>
      <c r="D711">
        <f>[5]trip_summary_region!D711</f>
        <v>333</v>
      </c>
      <c r="E711">
        <f>[5]trip_summary_region!E711</f>
        <v>1184</v>
      </c>
      <c r="F711">
        <f>[5]trip_summary_region!F711</f>
        <v>34.554545754999999</v>
      </c>
      <c r="G711">
        <f>[5]trip_summary_region!G711</f>
        <v>28.824585110000001</v>
      </c>
      <c r="H711">
        <f>[5]trip_summary_region!H711</f>
        <v>7.2513576973999996</v>
      </c>
      <c r="I711" t="str">
        <f>[5]trip_summary_region!I711</f>
        <v>Pedestrian</v>
      </c>
      <c r="J711" t="str">
        <f>[5]trip_summary_region!J711</f>
        <v>2022/23</v>
      </c>
    </row>
    <row r="712" spans="1:10" x14ac:dyDescent="0.2">
      <c r="A712" t="str">
        <f>[5]trip_summary_region!A712</f>
        <v>10 NELS-MARLB-TAS</v>
      </c>
      <c r="B712">
        <f>[5]trip_summary_region!B712</f>
        <v>0</v>
      </c>
      <c r="C712">
        <f>[5]trip_summary_region!C712</f>
        <v>2028</v>
      </c>
      <c r="D712">
        <f>[5]trip_summary_region!D712</f>
        <v>333</v>
      </c>
      <c r="E712">
        <f>[5]trip_summary_region!E712</f>
        <v>1184</v>
      </c>
      <c r="F712">
        <f>[5]trip_summary_region!F712</f>
        <v>34.477018751999999</v>
      </c>
      <c r="G712">
        <f>[5]trip_summary_region!G712</f>
        <v>28.939395995999998</v>
      </c>
      <c r="H712">
        <f>[5]trip_summary_region!H712</f>
        <v>7.3093114993999997</v>
      </c>
      <c r="I712" t="str">
        <f>[5]trip_summary_region!I712</f>
        <v>Pedestrian</v>
      </c>
      <c r="J712" t="str">
        <f>[5]trip_summary_region!J712</f>
        <v>2027/28</v>
      </c>
    </row>
    <row r="713" spans="1:10" x14ac:dyDescent="0.2">
      <c r="A713" t="str">
        <f>[5]trip_summary_region!A713</f>
        <v>10 NELS-MARLB-TAS</v>
      </c>
      <c r="B713">
        <f>[5]trip_summary_region!B713</f>
        <v>0</v>
      </c>
      <c r="C713">
        <f>[5]trip_summary_region!C713</f>
        <v>2033</v>
      </c>
      <c r="D713">
        <f>[5]trip_summary_region!D713</f>
        <v>333</v>
      </c>
      <c r="E713">
        <f>[5]trip_summary_region!E713</f>
        <v>1184</v>
      </c>
      <c r="F713">
        <f>[5]trip_summary_region!F713</f>
        <v>33.591976072999998</v>
      </c>
      <c r="G713">
        <f>[5]trip_summary_region!G713</f>
        <v>28.389989558</v>
      </c>
      <c r="H713">
        <f>[5]trip_summary_region!H713</f>
        <v>7.1925722921000004</v>
      </c>
      <c r="I713" t="str">
        <f>[5]trip_summary_region!I713</f>
        <v>Pedestrian</v>
      </c>
      <c r="J713" t="str">
        <f>[5]trip_summary_region!J713</f>
        <v>2032/33</v>
      </c>
    </row>
    <row r="714" spans="1:10" x14ac:dyDescent="0.2">
      <c r="A714" t="str">
        <f>[5]trip_summary_region!A714</f>
        <v>10 NELS-MARLB-TAS</v>
      </c>
      <c r="B714">
        <f>[5]trip_summary_region!B714</f>
        <v>0</v>
      </c>
      <c r="C714">
        <f>[5]trip_summary_region!C714</f>
        <v>2038</v>
      </c>
      <c r="D714">
        <f>[5]trip_summary_region!D714</f>
        <v>333</v>
      </c>
      <c r="E714">
        <f>[5]trip_summary_region!E714</f>
        <v>1184</v>
      </c>
      <c r="F714">
        <f>[5]trip_summary_region!F714</f>
        <v>32.353178698000001</v>
      </c>
      <c r="G714">
        <f>[5]trip_summary_region!G714</f>
        <v>27.225143998</v>
      </c>
      <c r="H714">
        <f>[5]trip_summary_region!H714</f>
        <v>6.9288820534999997</v>
      </c>
      <c r="I714" t="str">
        <f>[5]trip_summary_region!I714</f>
        <v>Pedestrian</v>
      </c>
      <c r="J714" t="str">
        <f>[5]trip_summary_region!J714</f>
        <v>2037/38</v>
      </c>
    </row>
    <row r="715" spans="1:10" x14ac:dyDescent="0.2">
      <c r="A715" t="str">
        <f>[5]trip_summary_region!A715</f>
        <v>10 NELS-MARLB-TAS</v>
      </c>
      <c r="B715">
        <f>[5]trip_summary_region!B715</f>
        <v>0</v>
      </c>
      <c r="C715">
        <f>[5]trip_summary_region!C715</f>
        <v>2043</v>
      </c>
      <c r="D715">
        <f>[5]trip_summary_region!D715</f>
        <v>333</v>
      </c>
      <c r="E715">
        <f>[5]trip_summary_region!E715</f>
        <v>1184</v>
      </c>
      <c r="F715">
        <f>[5]trip_summary_region!F715</f>
        <v>30.996355791999999</v>
      </c>
      <c r="G715">
        <f>[5]trip_summary_region!G715</f>
        <v>25.899596658</v>
      </c>
      <c r="H715">
        <f>[5]trip_summary_region!H715</f>
        <v>6.6244057433999997</v>
      </c>
      <c r="I715" t="str">
        <f>[5]trip_summary_region!I715</f>
        <v>Pedestrian</v>
      </c>
      <c r="J715" t="str">
        <f>[5]trip_summary_region!J715</f>
        <v>2042/43</v>
      </c>
    </row>
    <row r="716" spans="1:10" x14ac:dyDescent="0.2">
      <c r="A716" t="str">
        <f>[5]trip_summary_region!A716</f>
        <v>10 NELS-MARLB-TAS</v>
      </c>
      <c r="B716">
        <f>[5]trip_summary_region!B716</f>
        <v>1</v>
      </c>
      <c r="C716">
        <f>[5]trip_summary_region!C716</f>
        <v>2013</v>
      </c>
      <c r="D716">
        <f>[5]trip_summary_region!D716</f>
        <v>42</v>
      </c>
      <c r="E716">
        <f>[5]trip_summary_region!E716</f>
        <v>121</v>
      </c>
      <c r="F716">
        <f>[5]trip_summary_region!F716</f>
        <v>2.9519642961999999</v>
      </c>
      <c r="G716">
        <f>[5]trip_summary_region!G716</f>
        <v>10.809874027999999</v>
      </c>
      <c r="H716">
        <f>[5]trip_summary_region!H716</f>
        <v>1.0417220854</v>
      </c>
      <c r="I716" t="str">
        <f>[5]trip_summary_region!I716</f>
        <v>Cyclist</v>
      </c>
      <c r="J716" t="str">
        <f>[5]trip_summary_region!J716</f>
        <v>2012/13</v>
      </c>
    </row>
    <row r="717" spans="1:10" x14ac:dyDescent="0.2">
      <c r="A717" t="str">
        <f>[5]trip_summary_region!A717</f>
        <v>10 NELS-MARLB-TAS</v>
      </c>
      <c r="B717">
        <f>[5]trip_summary_region!B717</f>
        <v>1</v>
      </c>
      <c r="C717">
        <f>[5]trip_summary_region!C717</f>
        <v>2018</v>
      </c>
      <c r="D717">
        <f>[5]trip_summary_region!D717</f>
        <v>42</v>
      </c>
      <c r="E717">
        <f>[5]trip_summary_region!E717</f>
        <v>121</v>
      </c>
      <c r="F717">
        <f>[5]trip_summary_region!F717</f>
        <v>2.6798533753</v>
      </c>
      <c r="G717">
        <f>[5]trip_summary_region!G717</f>
        <v>10.201374881</v>
      </c>
      <c r="H717">
        <f>[5]trip_summary_region!H717</f>
        <v>0.96655646019999997</v>
      </c>
      <c r="I717" t="str">
        <f>[5]trip_summary_region!I717</f>
        <v>Cyclist</v>
      </c>
      <c r="J717" t="str">
        <f>[5]trip_summary_region!J717</f>
        <v>2017/18</v>
      </c>
    </row>
    <row r="718" spans="1:10" x14ac:dyDescent="0.2">
      <c r="A718" t="str">
        <f>[5]trip_summary_region!A718</f>
        <v>10 NELS-MARLB-TAS</v>
      </c>
      <c r="B718">
        <f>[5]trip_summary_region!B718</f>
        <v>1</v>
      </c>
      <c r="C718">
        <f>[5]trip_summary_region!C718</f>
        <v>2023</v>
      </c>
      <c r="D718">
        <f>[5]trip_summary_region!D718</f>
        <v>42</v>
      </c>
      <c r="E718">
        <f>[5]trip_summary_region!E718</f>
        <v>121</v>
      </c>
      <c r="F718">
        <f>[5]trip_summary_region!F718</f>
        <v>2.7426144341000001</v>
      </c>
      <c r="G718">
        <f>[5]trip_summary_region!G718</f>
        <v>10.752784910999999</v>
      </c>
      <c r="H718">
        <f>[5]trip_summary_region!H718</f>
        <v>1.0085271163</v>
      </c>
      <c r="I718" t="str">
        <f>[5]trip_summary_region!I718</f>
        <v>Cyclist</v>
      </c>
      <c r="J718" t="str">
        <f>[5]trip_summary_region!J718</f>
        <v>2022/23</v>
      </c>
    </row>
    <row r="719" spans="1:10" x14ac:dyDescent="0.2">
      <c r="A719" t="str">
        <f>[5]trip_summary_region!A719</f>
        <v>10 NELS-MARLB-TAS</v>
      </c>
      <c r="B719">
        <f>[5]trip_summary_region!B719</f>
        <v>1</v>
      </c>
      <c r="C719">
        <f>[5]trip_summary_region!C719</f>
        <v>2028</v>
      </c>
      <c r="D719">
        <f>[5]trip_summary_region!D719</f>
        <v>42</v>
      </c>
      <c r="E719">
        <f>[5]trip_summary_region!E719</f>
        <v>121</v>
      </c>
      <c r="F719">
        <f>[5]trip_summary_region!F719</f>
        <v>2.7425096603000001</v>
      </c>
      <c r="G719">
        <f>[5]trip_summary_region!G719</f>
        <v>10.807355940000001</v>
      </c>
      <c r="H719">
        <f>[5]trip_summary_region!H719</f>
        <v>1.0257056428</v>
      </c>
      <c r="I719" t="str">
        <f>[5]trip_summary_region!I719</f>
        <v>Cyclist</v>
      </c>
      <c r="J719" t="str">
        <f>[5]trip_summary_region!J719</f>
        <v>2027/28</v>
      </c>
    </row>
    <row r="720" spans="1:10" x14ac:dyDescent="0.2">
      <c r="A720" t="str">
        <f>[5]trip_summary_region!A720</f>
        <v>10 NELS-MARLB-TAS</v>
      </c>
      <c r="B720">
        <f>[5]trip_summary_region!B720</f>
        <v>1</v>
      </c>
      <c r="C720">
        <f>[5]trip_summary_region!C720</f>
        <v>2033</v>
      </c>
      <c r="D720">
        <f>[5]trip_summary_region!D720</f>
        <v>42</v>
      </c>
      <c r="E720">
        <f>[5]trip_summary_region!E720</f>
        <v>121</v>
      </c>
      <c r="F720">
        <f>[5]trip_summary_region!F720</f>
        <v>2.7261223426000001</v>
      </c>
      <c r="G720">
        <f>[5]trip_summary_region!G720</f>
        <v>11.013018261999999</v>
      </c>
      <c r="H720">
        <f>[5]trip_summary_region!H720</f>
        <v>1.0378578899999999</v>
      </c>
      <c r="I720" t="str">
        <f>[5]trip_summary_region!I720</f>
        <v>Cyclist</v>
      </c>
      <c r="J720" t="str">
        <f>[5]trip_summary_region!J720</f>
        <v>2032/33</v>
      </c>
    </row>
    <row r="721" spans="1:10" x14ac:dyDescent="0.2">
      <c r="A721" t="str">
        <f>[5]trip_summary_region!A721</f>
        <v>10 NELS-MARLB-TAS</v>
      </c>
      <c r="B721">
        <f>[5]trip_summary_region!B721</f>
        <v>1</v>
      </c>
      <c r="C721">
        <f>[5]trip_summary_region!C721</f>
        <v>2038</v>
      </c>
      <c r="D721">
        <f>[5]trip_summary_region!D721</f>
        <v>42</v>
      </c>
      <c r="E721">
        <f>[5]trip_summary_region!E721</f>
        <v>121</v>
      </c>
      <c r="F721">
        <f>[5]trip_summary_region!F721</f>
        <v>2.7029097755999998</v>
      </c>
      <c r="G721">
        <f>[5]trip_summary_region!G721</f>
        <v>11.471214287</v>
      </c>
      <c r="H721">
        <f>[5]trip_summary_region!H721</f>
        <v>1.0592459163000001</v>
      </c>
      <c r="I721" t="str">
        <f>[5]trip_summary_region!I721</f>
        <v>Cyclist</v>
      </c>
      <c r="J721" t="str">
        <f>[5]trip_summary_region!J721</f>
        <v>2037/38</v>
      </c>
    </row>
    <row r="722" spans="1:10" x14ac:dyDescent="0.2">
      <c r="A722" t="str">
        <f>[5]trip_summary_region!A722</f>
        <v>10 NELS-MARLB-TAS</v>
      </c>
      <c r="B722">
        <f>[5]trip_summary_region!B722</f>
        <v>1</v>
      </c>
      <c r="C722">
        <f>[5]trip_summary_region!C722</f>
        <v>2043</v>
      </c>
      <c r="D722">
        <f>[5]trip_summary_region!D722</f>
        <v>42</v>
      </c>
      <c r="E722">
        <f>[5]trip_summary_region!E722</f>
        <v>121</v>
      </c>
      <c r="F722">
        <f>[5]trip_summary_region!F722</f>
        <v>2.666393952</v>
      </c>
      <c r="G722">
        <f>[5]trip_summary_region!G722</f>
        <v>11.945241836999999</v>
      </c>
      <c r="H722">
        <f>[5]trip_summary_region!H722</f>
        <v>1.0812804993</v>
      </c>
      <c r="I722" t="str">
        <f>[5]trip_summary_region!I722</f>
        <v>Cyclist</v>
      </c>
      <c r="J722" t="str">
        <f>[5]trip_summary_region!J722</f>
        <v>2042/43</v>
      </c>
    </row>
    <row r="723" spans="1:10" x14ac:dyDescent="0.2">
      <c r="A723" t="str">
        <f>[5]trip_summary_region!A723</f>
        <v>10 NELS-MARLB-TAS</v>
      </c>
      <c r="B723">
        <f>[5]trip_summary_region!B723</f>
        <v>2</v>
      </c>
      <c r="C723">
        <f>[5]trip_summary_region!C723</f>
        <v>2013</v>
      </c>
      <c r="D723">
        <f>[5]trip_summary_region!D723</f>
        <v>480</v>
      </c>
      <c r="E723">
        <f>[5]trip_summary_region!E723</f>
        <v>3377</v>
      </c>
      <c r="F723">
        <f>[5]trip_summary_region!F723</f>
        <v>98.206986838999995</v>
      </c>
      <c r="G723">
        <f>[5]trip_summary_region!G723</f>
        <v>1012.1329009999999</v>
      </c>
      <c r="H723">
        <f>[5]trip_summary_region!H723</f>
        <v>23.635435057999999</v>
      </c>
      <c r="I723" t="str">
        <f>[5]trip_summary_region!I723</f>
        <v>Light Vehicle Driver</v>
      </c>
      <c r="J723" t="str">
        <f>[5]trip_summary_region!J723</f>
        <v>2012/13</v>
      </c>
    </row>
    <row r="724" spans="1:10" x14ac:dyDescent="0.2">
      <c r="A724" t="str">
        <f>[5]trip_summary_region!A724</f>
        <v>10 NELS-MARLB-TAS</v>
      </c>
      <c r="B724">
        <f>[5]trip_summary_region!B724</f>
        <v>2</v>
      </c>
      <c r="C724">
        <f>[5]trip_summary_region!C724</f>
        <v>2018</v>
      </c>
      <c r="D724">
        <f>[5]trip_summary_region!D724</f>
        <v>480</v>
      </c>
      <c r="E724">
        <f>[5]trip_summary_region!E724</f>
        <v>3377</v>
      </c>
      <c r="F724">
        <f>[5]trip_summary_region!F724</f>
        <v>93.320697823000003</v>
      </c>
      <c r="G724">
        <f>[5]trip_summary_region!G724</f>
        <v>943.80929891999995</v>
      </c>
      <c r="H724">
        <f>[5]trip_summary_region!H724</f>
        <v>22.286896652999999</v>
      </c>
      <c r="I724" t="str">
        <f>[5]trip_summary_region!I724</f>
        <v>Light Vehicle Driver</v>
      </c>
      <c r="J724" t="str">
        <f>[5]trip_summary_region!J724</f>
        <v>2017/18</v>
      </c>
    </row>
    <row r="725" spans="1:10" x14ac:dyDescent="0.2">
      <c r="A725" t="str">
        <f>[5]trip_summary_region!A725</f>
        <v>10 NELS-MARLB-TAS</v>
      </c>
      <c r="B725">
        <f>[5]trip_summary_region!B725</f>
        <v>2</v>
      </c>
      <c r="C725">
        <f>[5]trip_summary_region!C725</f>
        <v>2023</v>
      </c>
      <c r="D725">
        <f>[5]trip_summary_region!D725</f>
        <v>480</v>
      </c>
      <c r="E725">
        <f>[5]trip_summary_region!E725</f>
        <v>3377</v>
      </c>
      <c r="F725">
        <f>[5]trip_summary_region!F725</f>
        <v>95.633854182999997</v>
      </c>
      <c r="G725">
        <f>[5]trip_summary_region!G725</f>
        <v>949.45673813999997</v>
      </c>
      <c r="H725">
        <f>[5]trip_summary_region!H725</f>
        <v>22.645788286999998</v>
      </c>
      <c r="I725" t="str">
        <f>[5]trip_summary_region!I725</f>
        <v>Light Vehicle Driver</v>
      </c>
      <c r="J725" t="str">
        <f>[5]trip_summary_region!J725</f>
        <v>2022/23</v>
      </c>
    </row>
    <row r="726" spans="1:10" x14ac:dyDescent="0.2">
      <c r="A726" t="str">
        <f>[5]trip_summary_region!A726</f>
        <v>10 NELS-MARLB-TAS</v>
      </c>
      <c r="B726">
        <f>[5]trip_summary_region!B726</f>
        <v>2</v>
      </c>
      <c r="C726">
        <f>[5]trip_summary_region!C726</f>
        <v>2028</v>
      </c>
      <c r="D726">
        <f>[5]trip_summary_region!D726</f>
        <v>480</v>
      </c>
      <c r="E726">
        <f>[5]trip_summary_region!E726</f>
        <v>3377</v>
      </c>
      <c r="F726">
        <f>[5]trip_summary_region!F726</f>
        <v>94.062710768000002</v>
      </c>
      <c r="G726">
        <f>[5]trip_summary_region!G726</f>
        <v>912.24795867</v>
      </c>
      <c r="H726">
        <f>[5]trip_summary_region!H726</f>
        <v>22.039748232000001</v>
      </c>
      <c r="I726" t="str">
        <f>[5]trip_summary_region!I726</f>
        <v>Light Vehicle Driver</v>
      </c>
      <c r="J726" t="str">
        <f>[5]trip_summary_region!J726</f>
        <v>2027/28</v>
      </c>
    </row>
    <row r="727" spans="1:10" x14ac:dyDescent="0.2">
      <c r="A727" t="str">
        <f>[5]trip_summary_region!A727</f>
        <v>10 NELS-MARLB-TAS</v>
      </c>
      <c r="B727">
        <f>[5]trip_summary_region!B727</f>
        <v>2</v>
      </c>
      <c r="C727">
        <f>[5]trip_summary_region!C727</f>
        <v>2033</v>
      </c>
      <c r="D727">
        <f>[5]trip_summary_region!D727</f>
        <v>480</v>
      </c>
      <c r="E727">
        <f>[5]trip_summary_region!E727</f>
        <v>3377</v>
      </c>
      <c r="F727">
        <f>[5]trip_summary_region!F727</f>
        <v>92.206593419000001</v>
      </c>
      <c r="G727">
        <f>[5]trip_summary_region!G727</f>
        <v>875.24259414999995</v>
      </c>
      <c r="H727">
        <f>[5]trip_summary_region!H727</f>
        <v>21.365038666</v>
      </c>
      <c r="I727" t="str">
        <f>[5]trip_summary_region!I727</f>
        <v>Light Vehicle Driver</v>
      </c>
      <c r="J727" t="str">
        <f>[5]trip_summary_region!J727</f>
        <v>2032/33</v>
      </c>
    </row>
    <row r="728" spans="1:10" x14ac:dyDescent="0.2">
      <c r="A728" t="str">
        <f>[5]trip_summary_region!A728</f>
        <v>10 NELS-MARLB-TAS</v>
      </c>
      <c r="B728">
        <f>[5]trip_summary_region!B728</f>
        <v>2</v>
      </c>
      <c r="C728">
        <f>[5]trip_summary_region!C728</f>
        <v>2038</v>
      </c>
      <c r="D728">
        <f>[5]trip_summary_region!D728</f>
        <v>480</v>
      </c>
      <c r="E728">
        <f>[5]trip_summary_region!E728</f>
        <v>3377</v>
      </c>
      <c r="F728">
        <f>[5]trip_summary_region!F728</f>
        <v>89.624540358999994</v>
      </c>
      <c r="G728">
        <f>[5]trip_summary_region!G728</f>
        <v>836.67487157999994</v>
      </c>
      <c r="H728">
        <f>[5]trip_summary_region!H728</f>
        <v>20.594835529000001</v>
      </c>
      <c r="I728" t="str">
        <f>[5]trip_summary_region!I728</f>
        <v>Light Vehicle Driver</v>
      </c>
      <c r="J728" t="str">
        <f>[5]trip_summary_region!J728</f>
        <v>2037/38</v>
      </c>
    </row>
    <row r="729" spans="1:10" x14ac:dyDescent="0.2">
      <c r="A729" t="str">
        <f>[5]trip_summary_region!A729</f>
        <v>10 NELS-MARLB-TAS</v>
      </c>
      <c r="B729">
        <f>[5]trip_summary_region!B729</f>
        <v>2</v>
      </c>
      <c r="C729">
        <f>[5]trip_summary_region!C729</f>
        <v>2043</v>
      </c>
      <c r="D729">
        <f>[5]trip_summary_region!D729</f>
        <v>480</v>
      </c>
      <c r="E729">
        <f>[5]trip_summary_region!E729</f>
        <v>3377</v>
      </c>
      <c r="F729">
        <f>[5]trip_summary_region!F729</f>
        <v>86.901663595000002</v>
      </c>
      <c r="G729">
        <f>[5]trip_summary_region!G729</f>
        <v>799.67904281000006</v>
      </c>
      <c r="H729">
        <f>[5]trip_summary_region!H729</f>
        <v>19.826039128000001</v>
      </c>
      <c r="I729" t="str">
        <f>[5]trip_summary_region!I729</f>
        <v>Light Vehicle Driver</v>
      </c>
      <c r="J729" t="str">
        <f>[5]trip_summary_region!J729</f>
        <v>2042/43</v>
      </c>
    </row>
    <row r="730" spans="1:10" x14ac:dyDescent="0.2">
      <c r="A730" t="str">
        <f>[5]trip_summary_region!A730</f>
        <v>10 NELS-MARLB-TAS</v>
      </c>
      <c r="B730">
        <f>[5]trip_summary_region!B730</f>
        <v>3</v>
      </c>
      <c r="C730">
        <f>[5]trip_summary_region!C730</f>
        <v>2013</v>
      </c>
      <c r="D730">
        <f>[5]trip_summary_region!D730</f>
        <v>346</v>
      </c>
      <c r="E730">
        <f>[5]trip_summary_region!E730</f>
        <v>1569</v>
      </c>
      <c r="F730">
        <f>[5]trip_summary_region!F730</f>
        <v>45.895773310999999</v>
      </c>
      <c r="G730">
        <f>[5]trip_summary_region!G730</f>
        <v>528.66856442999995</v>
      </c>
      <c r="H730">
        <f>[5]trip_summary_region!H730</f>
        <v>11.910351560000001</v>
      </c>
      <c r="I730" t="str">
        <f>[5]trip_summary_region!I730</f>
        <v>Light Vehicle Passenger</v>
      </c>
      <c r="J730" t="str">
        <f>[5]trip_summary_region!J730</f>
        <v>2012/13</v>
      </c>
    </row>
    <row r="731" spans="1:10" x14ac:dyDescent="0.2">
      <c r="A731" t="str">
        <f>[5]trip_summary_region!A731</f>
        <v>10 NELS-MARLB-TAS</v>
      </c>
      <c r="B731">
        <f>[5]trip_summary_region!B731</f>
        <v>3</v>
      </c>
      <c r="C731">
        <f>[5]trip_summary_region!C731</f>
        <v>2018</v>
      </c>
      <c r="D731">
        <f>[5]trip_summary_region!D731</f>
        <v>346</v>
      </c>
      <c r="E731">
        <f>[5]trip_summary_region!E731</f>
        <v>1569</v>
      </c>
      <c r="F731">
        <f>[5]trip_summary_region!F731</f>
        <v>41.644491457000001</v>
      </c>
      <c r="G731">
        <f>[5]trip_summary_region!G731</f>
        <v>475.78726986999999</v>
      </c>
      <c r="H731">
        <f>[5]trip_summary_region!H731</f>
        <v>10.841325085999999</v>
      </c>
      <c r="I731" t="str">
        <f>[5]trip_summary_region!I731</f>
        <v>Light Vehicle Passenger</v>
      </c>
      <c r="J731" t="str">
        <f>[5]trip_summary_region!J731</f>
        <v>2017/18</v>
      </c>
    </row>
    <row r="732" spans="1:10" x14ac:dyDescent="0.2">
      <c r="A732" t="str">
        <f>[5]trip_summary_region!A732</f>
        <v>10 NELS-MARLB-TAS</v>
      </c>
      <c r="B732">
        <f>[5]trip_summary_region!B732</f>
        <v>3</v>
      </c>
      <c r="C732">
        <f>[5]trip_summary_region!C732</f>
        <v>2023</v>
      </c>
      <c r="D732">
        <f>[5]trip_summary_region!D732</f>
        <v>346</v>
      </c>
      <c r="E732">
        <f>[5]trip_summary_region!E732</f>
        <v>1569</v>
      </c>
      <c r="F732">
        <f>[5]trip_summary_region!F732</f>
        <v>41.787611198999997</v>
      </c>
      <c r="G732">
        <f>[5]trip_summary_region!G732</f>
        <v>473.89340876</v>
      </c>
      <c r="H732">
        <f>[5]trip_summary_region!H732</f>
        <v>10.923793422999999</v>
      </c>
      <c r="I732" t="str">
        <f>[5]trip_summary_region!I732</f>
        <v>Light Vehicle Passenger</v>
      </c>
      <c r="J732" t="str">
        <f>[5]trip_summary_region!J732</f>
        <v>2022/23</v>
      </c>
    </row>
    <row r="733" spans="1:10" x14ac:dyDescent="0.2">
      <c r="A733" t="str">
        <f>[5]trip_summary_region!A733</f>
        <v>10 NELS-MARLB-TAS</v>
      </c>
      <c r="B733">
        <f>[5]trip_summary_region!B733</f>
        <v>3</v>
      </c>
      <c r="C733">
        <f>[5]trip_summary_region!C733</f>
        <v>2028</v>
      </c>
      <c r="D733">
        <f>[5]trip_summary_region!D733</f>
        <v>346</v>
      </c>
      <c r="E733">
        <f>[5]trip_summary_region!E733</f>
        <v>1569</v>
      </c>
      <c r="F733">
        <f>[5]trip_summary_region!F733</f>
        <v>40.415946781999999</v>
      </c>
      <c r="G733">
        <f>[5]trip_summary_region!G733</f>
        <v>454.58810500999999</v>
      </c>
      <c r="H733">
        <f>[5]trip_summary_region!H733</f>
        <v>10.586754925999999</v>
      </c>
      <c r="I733" t="str">
        <f>[5]trip_summary_region!I733</f>
        <v>Light Vehicle Passenger</v>
      </c>
      <c r="J733" t="str">
        <f>[5]trip_summary_region!J733</f>
        <v>2027/28</v>
      </c>
    </row>
    <row r="734" spans="1:10" x14ac:dyDescent="0.2">
      <c r="A734" t="str">
        <f>[5]trip_summary_region!A734</f>
        <v>10 NELS-MARLB-TAS</v>
      </c>
      <c r="B734">
        <f>[5]trip_summary_region!B734</f>
        <v>3</v>
      </c>
      <c r="C734">
        <f>[5]trip_summary_region!C734</f>
        <v>2033</v>
      </c>
      <c r="D734">
        <f>[5]trip_summary_region!D734</f>
        <v>346</v>
      </c>
      <c r="E734">
        <f>[5]trip_summary_region!E734</f>
        <v>1569</v>
      </c>
      <c r="F734">
        <f>[5]trip_summary_region!F734</f>
        <v>38.568007258000002</v>
      </c>
      <c r="G734">
        <f>[5]trip_summary_region!G734</f>
        <v>432.07649416999999</v>
      </c>
      <c r="H734">
        <f>[5]trip_summary_region!H734</f>
        <v>10.117222745999999</v>
      </c>
      <c r="I734" t="str">
        <f>[5]trip_summary_region!I734</f>
        <v>Light Vehicle Passenger</v>
      </c>
      <c r="J734" t="str">
        <f>[5]trip_summary_region!J734</f>
        <v>2032/33</v>
      </c>
    </row>
    <row r="735" spans="1:10" x14ac:dyDescent="0.2">
      <c r="A735" t="str">
        <f>[5]trip_summary_region!A735</f>
        <v>10 NELS-MARLB-TAS</v>
      </c>
      <c r="B735">
        <f>[5]trip_summary_region!B735</f>
        <v>3</v>
      </c>
      <c r="C735">
        <f>[5]trip_summary_region!C735</f>
        <v>2038</v>
      </c>
      <c r="D735">
        <f>[5]trip_summary_region!D735</f>
        <v>346</v>
      </c>
      <c r="E735">
        <f>[5]trip_summary_region!E735</f>
        <v>1569</v>
      </c>
      <c r="F735">
        <f>[5]trip_summary_region!F735</f>
        <v>36.804235571</v>
      </c>
      <c r="G735">
        <f>[5]trip_summary_region!G735</f>
        <v>407.39648176999998</v>
      </c>
      <c r="H735">
        <f>[5]trip_summary_region!H735</f>
        <v>9.6126044049000008</v>
      </c>
      <c r="I735" t="str">
        <f>[5]trip_summary_region!I735</f>
        <v>Light Vehicle Passenger</v>
      </c>
      <c r="J735" t="str">
        <f>[5]trip_summary_region!J735</f>
        <v>2037/38</v>
      </c>
    </row>
    <row r="736" spans="1:10" x14ac:dyDescent="0.2">
      <c r="A736" t="str">
        <f>[5]trip_summary_region!A736</f>
        <v>10 NELS-MARLB-TAS</v>
      </c>
      <c r="B736">
        <f>[5]trip_summary_region!B736</f>
        <v>3</v>
      </c>
      <c r="C736">
        <f>[5]trip_summary_region!C736</f>
        <v>2043</v>
      </c>
      <c r="D736">
        <f>[5]trip_summary_region!D736</f>
        <v>346</v>
      </c>
      <c r="E736">
        <f>[5]trip_summary_region!E736</f>
        <v>1569</v>
      </c>
      <c r="F736">
        <f>[5]trip_summary_region!F736</f>
        <v>35.133734687999997</v>
      </c>
      <c r="G736">
        <f>[5]trip_summary_region!G736</f>
        <v>384.21931129000001</v>
      </c>
      <c r="H736">
        <f>[5]trip_summary_region!H736</f>
        <v>9.1333959613999998</v>
      </c>
      <c r="I736" t="str">
        <f>[5]trip_summary_region!I736</f>
        <v>Light Vehicle Passenger</v>
      </c>
      <c r="J736" t="str">
        <f>[5]trip_summary_region!J736</f>
        <v>2042/43</v>
      </c>
    </row>
    <row r="737" spans="1:10" x14ac:dyDescent="0.2">
      <c r="A737" t="str">
        <f>[5]trip_summary_region!A737</f>
        <v>10 NELS-MARLB-TAS</v>
      </c>
      <c r="B737">
        <f>[5]trip_summary_region!B737</f>
        <v>4</v>
      </c>
      <c r="C737">
        <f>[5]trip_summary_region!C737</f>
        <v>2013</v>
      </c>
      <c r="D737">
        <f>[5]trip_summary_region!D737</f>
        <v>9</v>
      </c>
      <c r="E737">
        <f>[5]trip_summary_region!E737</f>
        <v>16</v>
      </c>
      <c r="F737">
        <f>[5]trip_summary_region!F737</f>
        <v>0.40359339709999997</v>
      </c>
      <c r="G737">
        <f>[5]trip_summary_region!G737</f>
        <v>2.5483198348</v>
      </c>
      <c r="H737">
        <f>[5]trip_summary_region!H737</f>
        <v>8.1526233300000001E-2</v>
      </c>
      <c r="I737" t="s">
        <v>116</v>
      </c>
      <c r="J737" t="str">
        <f>[5]trip_summary_region!J737</f>
        <v>2012/13</v>
      </c>
    </row>
    <row r="738" spans="1:10" x14ac:dyDescent="0.2">
      <c r="A738" t="str">
        <f>[5]trip_summary_region!A738</f>
        <v>10 NELS-MARLB-TAS</v>
      </c>
      <c r="B738">
        <f>[5]trip_summary_region!B738</f>
        <v>4</v>
      </c>
      <c r="C738">
        <f>[5]trip_summary_region!C738</f>
        <v>2018</v>
      </c>
      <c r="D738">
        <f>[5]trip_summary_region!D738</f>
        <v>9</v>
      </c>
      <c r="E738">
        <f>[5]trip_summary_region!E738</f>
        <v>16</v>
      </c>
      <c r="F738">
        <f>[5]trip_summary_region!F738</f>
        <v>0.47115126349999997</v>
      </c>
      <c r="G738">
        <f>[5]trip_summary_region!G738</f>
        <v>2.8244837266</v>
      </c>
      <c r="H738">
        <f>[5]trip_summary_region!H738</f>
        <v>9.2978975199999994E-2</v>
      </c>
      <c r="I738" t="s">
        <v>116</v>
      </c>
      <c r="J738" t="str">
        <f>[5]trip_summary_region!J738</f>
        <v>2017/18</v>
      </c>
    </row>
    <row r="739" spans="1:10" x14ac:dyDescent="0.2">
      <c r="A739" t="str">
        <f>[5]trip_summary_region!A739</f>
        <v>10 NELS-MARLB-TAS</v>
      </c>
      <c r="B739">
        <f>[5]trip_summary_region!B739</f>
        <v>4</v>
      </c>
      <c r="C739">
        <f>[5]trip_summary_region!C739</f>
        <v>2023</v>
      </c>
      <c r="D739">
        <f>[5]trip_summary_region!D739</f>
        <v>9</v>
      </c>
      <c r="E739">
        <f>[5]trip_summary_region!E739</f>
        <v>16</v>
      </c>
      <c r="F739">
        <f>[5]trip_summary_region!F739</f>
        <v>0.57761952920000004</v>
      </c>
      <c r="G739">
        <f>[5]trip_summary_region!G739</f>
        <v>3.2189384516000001</v>
      </c>
      <c r="H739">
        <f>[5]trip_summary_region!H739</f>
        <v>0.1113442169</v>
      </c>
      <c r="I739" t="s">
        <v>116</v>
      </c>
      <c r="J739" t="str">
        <f>[5]trip_summary_region!J739</f>
        <v>2022/23</v>
      </c>
    </row>
    <row r="740" spans="1:10" x14ac:dyDescent="0.2">
      <c r="A740" t="str">
        <f>[5]trip_summary_region!A740</f>
        <v>10 NELS-MARLB-TAS</v>
      </c>
      <c r="B740">
        <f>[5]trip_summary_region!B740</f>
        <v>4</v>
      </c>
      <c r="C740">
        <f>[5]trip_summary_region!C740</f>
        <v>2028</v>
      </c>
      <c r="D740">
        <f>[5]trip_summary_region!D740</f>
        <v>9</v>
      </c>
      <c r="E740">
        <f>[5]trip_summary_region!E740</f>
        <v>16</v>
      </c>
      <c r="F740">
        <f>[5]trip_summary_region!F740</f>
        <v>0.61547591440000005</v>
      </c>
      <c r="G740">
        <f>[5]trip_summary_region!G740</f>
        <v>3.3239040451999999</v>
      </c>
      <c r="H740">
        <f>[5]trip_summary_region!H740</f>
        <v>0.11730906319999999</v>
      </c>
      <c r="I740" t="s">
        <v>116</v>
      </c>
      <c r="J740" t="str">
        <f>[5]trip_summary_region!J740</f>
        <v>2027/28</v>
      </c>
    </row>
    <row r="741" spans="1:10" x14ac:dyDescent="0.2">
      <c r="A741" t="str">
        <f>[5]trip_summary_region!A741</f>
        <v>10 NELS-MARLB-TAS</v>
      </c>
      <c r="B741">
        <f>[5]trip_summary_region!B741</f>
        <v>4</v>
      </c>
      <c r="C741">
        <f>[5]trip_summary_region!C741</f>
        <v>2033</v>
      </c>
      <c r="D741">
        <f>[5]trip_summary_region!D741</f>
        <v>9</v>
      </c>
      <c r="E741">
        <f>[5]trip_summary_region!E741</f>
        <v>16</v>
      </c>
      <c r="F741">
        <f>[5]trip_summary_region!F741</f>
        <v>0.62545510530000004</v>
      </c>
      <c r="G741">
        <f>[5]trip_summary_region!G741</f>
        <v>3.3646077651000001</v>
      </c>
      <c r="H741">
        <f>[5]trip_summary_region!H741</f>
        <v>0.11877275850000001</v>
      </c>
      <c r="I741" t="s">
        <v>116</v>
      </c>
      <c r="J741" t="str">
        <f>[5]trip_summary_region!J741</f>
        <v>2032/33</v>
      </c>
    </row>
    <row r="742" spans="1:10" x14ac:dyDescent="0.2">
      <c r="A742" t="str">
        <f>[5]trip_summary_region!A742</f>
        <v>10 NELS-MARLB-TAS</v>
      </c>
      <c r="B742">
        <f>[5]trip_summary_region!B742</f>
        <v>4</v>
      </c>
      <c r="C742">
        <f>[5]trip_summary_region!C742</f>
        <v>2038</v>
      </c>
      <c r="D742">
        <f>[5]trip_summary_region!D742</f>
        <v>9</v>
      </c>
      <c r="E742">
        <f>[5]trip_summary_region!E742</f>
        <v>16</v>
      </c>
      <c r="F742">
        <f>[5]trip_summary_region!F742</f>
        <v>0.61200286410000004</v>
      </c>
      <c r="G742">
        <f>[5]trip_summary_region!G742</f>
        <v>3.2892556308000001</v>
      </c>
      <c r="H742">
        <f>[5]trip_summary_region!H742</f>
        <v>0.1156089824</v>
      </c>
      <c r="I742" t="s">
        <v>116</v>
      </c>
      <c r="J742" t="str">
        <f>[5]trip_summary_region!J742</f>
        <v>2037/38</v>
      </c>
    </row>
    <row r="743" spans="1:10" x14ac:dyDescent="0.2">
      <c r="A743" t="str">
        <f>[5]trip_summary_region!A743</f>
        <v>10 NELS-MARLB-TAS</v>
      </c>
      <c r="B743">
        <f>[5]trip_summary_region!B743</f>
        <v>4</v>
      </c>
      <c r="C743">
        <f>[5]trip_summary_region!C743</f>
        <v>2043</v>
      </c>
      <c r="D743">
        <f>[5]trip_summary_region!D743</f>
        <v>9</v>
      </c>
      <c r="E743">
        <f>[5]trip_summary_region!E743</f>
        <v>16</v>
      </c>
      <c r="F743">
        <f>[5]trip_summary_region!F743</f>
        <v>0.59563472610000001</v>
      </c>
      <c r="G743">
        <f>[5]trip_summary_region!G743</f>
        <v>3.2015085033999999</v>
      </c>
      <c r="H743">
        <f>[5]trip_summary_region!H743</f>
        <v>0.11197131</v>
      </c>
      <c r="I743" t="s">
        <v>116</v>
      </c>
      <c r="J743" t="str">
        <f>[5]trip_summary_region!J743</f>
        <v>2042/43</v>
      </c>
    </row>
    <row r="744" spans="1:10" x14ac:dyDescent="0.2">
      <c r="A744" t="str">
        <f>[5]trip_summary_region!A744</f>
        <v>10 NELS-MARLB-TAS</v>
      </c>
      <c r="B744">
        <f>[5]trip_summary_region!B744</f>
        <v>5</v>
      </c>
      <c r="C744">
        <f>[5]trip_summary_region!C744</f>
        <v>2013</v>
      </c>
      <c r="D744">
        <f>[5]trip_summary_region!D744</f>
        <v>14</v>
      </c>
      <c r="E744">
        <f>[5]trip_summary_region!E744</f>
        <v>52</v>
      </c>
      <c r="F744">
        <f>[5]trip_summary_region!F744</f>
        <v>1.5095151791999999</v>
      </c>
      <c r="G744">
        <f>[5]trip_summary_region!G744</f>
        <v>34.127286998000002</v>
      </c>
      <c r="H744">
        <f>[5]trip_summary_region!H744</f>
        <v>0.60769230029999999</v>
      </c>
      <c r="I744" t="str">
        <f>[5]trip_summary_region!I744</f>
        <v>Motorcyclist</v>
      </c>
      <c r="J744" t="str">
        <f>[5]trip_summary_region!J744</f>
        <v>2012/13</v>
      </c>
    </row>
    <row r="745" spans="1:10" x14ac:dyDescent="0.2">
      <c r="A745" t="str">
        <f>[5]trip_summary_region!A745</f>
        <v>10 NELS-MARLB-TAS</v>
      </c>
      <c r="B745">
        <f>[5]trip_summary_region!B745</f>
        <v>5</v>
      </c>
      <c r="C745">
        <f>[5]trip_summary_region!C745</f>
        <v>2018</v>
      </c>
      <c r="D745">
        <f>[5]trip_summary_region!D745</f>
        <v>14</v>
      </c>
      <c r="E745">
        <f>[5]trip_summary_region!E745</f>
        <v>52</v>
      </c>
      <c r="F745">
        <f>[5]trip_summary_region!F745</f>
        <v>1.3979742711000001</v>
      </c>
      <c r="G745">
        <f>[5]trip_summary_region!G745</f>
        <v>32.176324786000002</v>
      </c>
      <c r="H745">
        <f>[5]trip_summary_region!H745</f>
        <v>0.56662278830000001</v>
      </c>
      <c r="I745" t="str">
        <f>[5]trip_summary_region!I745</f>
        <v>Motorcyclist</v>
      </c>
      <c r="J745" t="str">
        <f>[5]trip_summary_region!J745</f>
        <v>2017/18</v>
      </c>
    </row>
    <row r="746" spans="1:10" x14ac:dyDescent="0.2">
      <c r="A746" t="str">
        <f>[5]trip_summary_region!A746</f>
        <v>10 NELS-MARLB-TAS</v>
      </c>
      <c r="B746">
        <f>[5]trip_summary_region!B746</f>
        <v>5</v>
      </c>
      <c r="C746">
        <f>[5]trip_summary_region!C746</f>
        <v>2023</v>
      </c>
      <c r="D746">
        <f>[5]trip_summary_region!D746</f>
        <v>14</v>
      </c>
      <c r="E746">
        <f>[5]trip_summary_region!E746</f>
        <v>52</v>
      </c>
      <c r="F746">
        <f>[5]trip_summary_region!F746</f>
        <v>1.4347554176999999</v>
      </c>
      <c r="G746">
        <f>[5]trip_summary_region!G746</f>
        <v>33.241356592000002</v>
      </c>
      <c r="H746">
        <f>[5]trip_summary_region!H746</f>
        <v>0.58082024659999998</v>
      </c>
      <c r="I746" t="str">
        <f>[5]trip_summary_region!I746</f>
        <v>Motorcyclist</v>
      </c>
      <c r="J746" t="str">
        <f>[5]trip_summary_region!J746</f>
        <v>2022/23</v>
      </c>
    </row>
    <row r="747" spans="1:10" x14ac:dyDescent="0.2">
      <c r="A747" t="str">
        <f>[5]trip_summary_region!A747</f>
        <v>10 NELS-MARLB-TAS</v>
      </c>
      <c r="B747">
        <f>[5]trip_summary_region!B747</f>
        <v>5</v>
      </c>
      <c r="C747">
        <f>[5]trip_summary_region!C747</f>
        <v>2028</v>
      </c>
      <c r="D747">
        <f>[5]trip_summary_region!D747</f>
        <v>14</v>
      </c>
      <c r="E747">
        <f>[5]trip_summary_region!E747</f>
        <v>52</v>
      </c>
      <c r="F747">
        <f>[5]trip_summary_region!F747</f>
        <v>1.3911351139000001</v>
      </c>
      <c r="G747">
        <f>[5]trip_summary_region!G747</f>
        <v>31.864533204000001</v>
      </c>
      <c r="H747">
        <f>[5]trip_summary_region!H747</f>
        <v>0.55455774609999997</v>
      </c>
      <c r="I747" t="str">
        <f>[5]trip_summary_region!I747</f>
        <v>Motorcyclist</v>
      </c>
      <c r="J747" t="str">
        <f>[5]trip_summary_region!J747</f>
        <v>2027/28</v>
      </c>
    </row>
    <row r="748" spans="1:10" x14ac:dyDescent="0.2">
      <c r="A748" t="str">
        <f>[5]trip_summary_region!A748</f>
        <v>10 NELS-MARLB-TAS</v>
      </c>
      <c r="B748">
        <f>[5]trip_summary_region!B748</f>
        <v>5</v>
      </c>
      <c r="C748">
        <f>[5]trip_summary_region!C748</f>
        <v>2033</v>
      </c>
      <c r="D748">
        <f>[5]trip_summary_region!D748</f>
        <v>14</v>
      </c>
      <c r="E748">
        <f>[5]trip_summary_region!E748</f>
        <v>52</v>
      </c>
      <c r="F748">
        <f>[5]trip_summary_region!F748</f>
        <v>1.3238666671999999</v>
      </c>
      <c r="G748">
        <f>[5]trip_summary_region!G748</f>
        <v>30.609254987</v>
      </c>
      <c r="H748">
        <f>[5]trip_summary_region!H748</f>
        <v>0.53067045079999997</v>
      </c>
      <c r="I748" t="str">
        <f>[5]trip_summary_region!I748</f>
        <v>Motorcyclist</v>
      </c>
      <c r="J748" t="str">
        <f>[5]trip_summary_region!J748</f>
        <v>2032/33</v>
      </c>
    </row>
    <row r="749" spans="1:10" x14ac:dyDescent="0.2">
      <c r="A749" t="str">
        <f>[5]trip_summary_region!A749</f>
        <v>10 NELS-MARLB-TAS</v>
      </c>
      <c r="B749">
        <f>[5]trip_summary_region!B749</f>
        <v>5</v>
      </c>
      <c r="C749">
        <f>[5]trip_summary_region!C749</f>
        <v>2038</v>
      </c>
      <c r="D749">
        <f>[5]trip_summary_region!D749</f>
        <v>14</v>
      </c>
      <c r="E749">
        <f>[5]trip_summary_region!E749</f>
        <v>52</v>
      </c>
      <c r="F749">
        <f>[5]trip_summary_region!F749</f>
        <v>1.2245108917</v>
      </c>
      <c r="G749">
        <f>[5]trip_summary_region!G749</f>
        <v>28.986591275999999</v>
      </c>
      <c r="H749">
        <f>[5]trip_summary_region!H749</f>
        <v>0.50136485119999996</v>
      </c>
      <c r="I749" t="str">
        <f>[5]trip_summary_region!I749</f>
        <v>Motorcyclist</v>
      </c>
      <c r="J749" t="str">
        <f>[5]trip_summary_region!J749</f>
        <v>2037/38</v>
      </c>
    </row>
    <row r="750" spans="1:10" x14ac:dyDescent="0.2">
      <c r="A750" t="str">
        <f>[5]trip_summary_region!A750</f>
        <v>10 NELS-MARLB-TAS</v>
      </c>
      <c r="B750">
        <f>[5]trip_summary_region!B750</f>
        <v>5</v>
      </c>
      <c r="C750">
        <f>[5]trip_summary_region!C750</f>
        <v>2043</v>
      </c>
      <c r="D750">
        <f>[5]trip_summary_region!D750</f>
        <v>14</v>
      </c>
      <c r="E750">
        <f>[5]trip_summary_region!E750</f>
        <v>52</v>
      </c>
      <c r="F750">
        <f>[5]trip_summary_region!F750</f>
        <v>1.1265865559999999</v>
      </c>
      <c r="G750">
        <f>[5]trip_summary_region!G750</f>
        <v>27.207559411999998</v>
      </c>
      <c r="H750">
        <f>[5]trip_summary_region!H750</f>
        <v>0.46994513230000001</v>
      </c>
      <c r="I750" t="str">
        <f>[5]trip_summary_region!I750</f>
        <v>Motorcyclist</v>
      </c>
      <c r="J750" t="str">
        <f>[5]trip_summary_region!J750</f>
        <v>2042/43</v>
      </c>
    </row>
    <row r="751" spans="1:10" x14ac:dyDescent="0.2">
      <c r="A751" t="str">
        <f>[5]trip_summary_region!A751</f>
        <v>10 NELS-MARLB-TAS</v>
      </c>
      <c r="B751">
        <f>[5]trip_summary_region!B751</f>
        <v>6</v>
      </c>
      <c r="C751">
        <f>[5]trip_summary_region!C751</f>
        <v>2013</v>
      </c>
      <c r="D751">
        <f>[5]trip_summary_region!D751</f>
        <v>1</v>
      </c>
      <c r="E751">
        <f>[5]trip_summary_region!E751</f>
        <v>4</v>
      </c>
      <c r="F751">
        <f>[5]trip_summary_region!F751</f>
        <v>0.1284956481</v>
      </c>
      <c r="G751">
        <f>[5]trip_summary_region!G751</f>
        <v>5.3733082988999996</v>
      </c>
      <c r="H751">
        <f>[5]trip_summary_region!H751</f>
        <v>9.9048728700000005E-2</v>
      </c>
      <c r="I751" t="str">
        <f>[5]trip_summary_region!I751</f>
        <v>Local Train</v>
      </c>
      <c r="J751" t="str">
        <f>[5]trip_summary_region!J751</f>
        <v>2012/13</v>
      </c>
    </row>
    <row r="752" spans="1:10" x14ac:dyDescent="0.2">
      <c r="A752" t="str">
        <f>[5]trip_summary_region!A752</f>
        <v>10 NELS-MARLB-TAS</v>
      </c>
      <c r="B752">
        <f>[5]trip_summary_region!B752</f>
        <v>6</v>
      </c>
      <c r="C752">
        <f>[5]trip_summary_region!C752</f>
        <v>2018</v>
      </c>
      <c r="D752">
        <f>[5]trip_summary_region!D752</f>
        <v>1</v>
      </c>
      <c r="E752">
        <f>[5]trip_summary_region!E752</f>
        <v>4</v>
      </c>
      <c r="F752">
        <f>[5]trip_summary_region!F752</f>
        <v>0.1023821186</v>
      </c>
      <c r="G752">
        <f>[5]trip_summary_region!G752</f>
        <v>4.2898341945</v>
      </c>
      <c r="H752">
        <f>[5]trip_summary_region!H752</f>
        <v>7.9077060699999993E-2</v>
      </c>
      <c r="I752" t="str">
        <f>[5]trip_summary_region!I752</f>
        <v>Local Train</v>
      </c>
      <c r="J752" t="str">
        <f>[5]trip_summary_region!J752</f>
        <v>2017/18</v>
      </c>
    </row>
    <row r="753" spans="1:10" x14ac:dyDescent="0.2">
      <c r="A753" t="str">
        <f>[5]trip_summary_region!A753</f>
        <v>10 NELS-MARLB-TAS</v>
      </c>
      <c r="B753">
        <f>[5]trip_summary_region!B753</f>
        <v>6</v>
      </c>
      <c r="C753">
        <f>[5]trip_summary_region!C753</f>
        <v>2023</v>
      </c>
      <c r="D753">
        <f>[5]trip_summary_region!D753</f>
        <v>1</v>
      </c>
      <c r="E753">
        <f>[5]trip_summary_region!E753</f>
        <v>4</v>
      </c>
      <c r="F753">
        <f>[5]trip_summary_region!F753</f>
        <v>8.0518164899999994E-2</v>
      </c>
      <c r="G753">
        <f>[5]trip_summary_region!G753</f>
        <v>3.3816391121999998</v>
      </c>
      <c r="H753">
        <f>[5]trip_summary_region!H753</f>
        <v>6.23362451E-2</v>
      </c>
      <c r="I753" t="str">
        <f>[5]trip_summary_region!I753</f>
        <v>Local Train</v>
      </c>
      <c r="J753" t="str">
        <f>[5]trip_summary_region!J753</f>
        <v>2022/23</v>
      </c>
    </row>
    <row r="754" spans="1:10" x14ac:dyDescent="0.2">
      <c r="A754" t="str">
        <f>[5]trip_summary_region!A754</f>
        <v>10 NELS-MARLB-TAS</v>
      </c>
      <c r="B754">
        <f>[5]trip_summary_region!B754</f>
        <v>6</v>
      </c>
      <c r="C754">
        <f>[5]trip_summary_region!C754</f>
        <v>2028</v>
      </c>
      <c r="D754">
        <f>[5]trip_summary_region!D754</f>
        <v>1</v>
      </c>
      <c r="E754">
        <f>[5]trip_summary_region!E754</f>
        <v>4</v>
      </c>
      <c r="F754">
        <f>[5]trip_summary_region!F754</f>
        <v>5.0888176200000003E-2</v>
      </c>
      <c r="G754">
        <f>[5]trip_summary_region!G754</f>
        <v>2.1419365492</v>
      </c>
      <c r="H754">
        <f>[5]trip_summary_region!H754</f>
        <v>3.9484181799999997E-2</v>
      </c>
      <c r="I754" t="str">
        <f>[5]trip_summary_region!I754</f>
        <v>Local Train</v>
      </c>
      <c r="J754" t="str">
        <f>[5]trip_summary_region!J754</f>
        <v>2027/28</v>
      </c>
    </row>
    <row r="755" spans="1:10" x14ac:dyDescent="0.2">
      <c r="A755" t="str">
        <f>[5]trip_summary_region!A755</f>
        <v>10 NELS-MARLB-TAS</v>
      </c>
      <c r="B755">
        <f>[5]trip_summary_region!B755</f>
        <v>6</v>
      </c>
      <c r="C755">
        <f>[5]trip_summary_region!C755</f>
        <v>2033</v>
      </c>
      <c r="D755">
        <f>[5]trip_summary_region!D755</f>
        <v>1</v>
      </c>
      <c r="E755">
        <f>[5]trip_summary_region!E755</f>
        <v>4</v>
      </c>
      <c r="F755">
        <f>[5]trip_summary_region!F755</f>
        <v>3.3986224600000003E-2</v>
      </c>
      <c r="G755">
        <f>[5]trip_summary_region!G755</f>
        <v>1.4338370993</v>
      </c>
      <c r="H755">
        <f>[5]trip_summary_region!H755</f>
        <v>2.6431370100000001E-2</v>
      </c>
      <c r="I755" t="str">
        <f>[5]trip_summary_region!I755</f>
        <v>Local Train</v>
      </c>
      <c r="J755" t="str">
        <f>[5]trip_summary_region!J755</f>
        <v>2032/33</v>
      </c>
    </row>
    <row r="756" spans="1:10" x14ac:dyDescent="0.2">
      <c r="A756" t="str">
        <f>[5]trip_summary_region!A756</f>
        <v>10 NELS-MARLB-TAS</v>
      </c>
      <c r="B756">
        <f>[5]trip_summary_region!B756</f>
        <v>6</v>
      </c>
      <c r="C756">
        <f>[5]trip_summary_region!C756</f>
        <v>2038</v>
      </c>
      <c r="D756">
        <f>[5]trip_summary_region!D756</f>
        <v>1</v>
      </c>
      <c r="E756">
        <f>[5]trip_summary_region!E756</f>
        <v>4</v>
      </c>
      <c r="F756">
        <f>[5]trip_summary_region!F756</f>
        <v>2.3697154000000002E-2</v>
      </c>
      <c r="G756">
        <f>[5]trip_summary_region!G756</f>
        <v>1.0024765881</v>
      </c>
      <c r="H756">
        <f>[5]trip_summary_region!H756</f>
        <v>1.84798306E-2</v>
      </c>
      <c r="I756" t="str">
        <f>[5]trip_summary_region!I756</f>
        <v>Local Train</v>
      </c>
      <c r="J756" t="str">
        <f>[5]trip_summary_region!J756</f>
        <v>2037/38</v>
      </c>
    </row>
    <row r="757" spans="1:10" x14ac:dyDescent="0.2">
      <c r="A757" t="str">
        <f>[5]trip_summary_region!A757</f>
        <v>10 NELS-MARLB-TAS</v>
      </c>
      <c r="B757">
        <f>[5]trip_summary_region!B757</f>
        <v>6</v>
      </c>
      <c r="C757">
        <f>[5]trip_summary_region!C757</f>
        <v>2043</v>
      </c>
      <c r="D757">
        <f>[5]trip_summary_region!D757</f>
        <v>1</v>
      </c>
      <c r="E757">
        <f>[5]trip_summary_region!E757</f>
        <v>4</v>
      </c>
      <c r="F757">
        <f>[5]trip_summary_region!F757</f>
        <v>1.4741732E-2</v>
      </c>
      <c r="G757">
        <f>[5]trip_summary_region!G757</f>
        <v>0.62524696800000001</v>
      </c>
      <c r="H757">
        <f>[5]trip_summary_region!H757</f>
        <v>1.1526011100000001E-2</v>
      </c>
      <c r="I757" t="str">
        <f>[5]trip_summary_region!I757</f>
        <v>Local Train</v>
      </c>
      <c r="J757" t="str">
        <f>[5]trip_summary_region!J757</f>
        <v>2042/43</v>
      </c>
    </row>
    <row r="758" spans="1:10" x14ac:dyDescent="0.2">
      <c r="A758" t="str">
        <f>[5]trip_summary_region!A758</f>
        <v>10 NELS-MARLB-TAS</v>
      </c>
      <c r="B758">
        <f>[5]trip_summary_region!B758</f>
        <v>7</v>
      </c>
      <c r="C758">
        <f>[5]trip_summary_region!C758</f>
        <v>2013</v>
      </c>
      <c r="D758">
        <f>[5]trip_summary_region!D758</f>
        <v>38</v>
      </c>
      <c r="E758">
        <f>[5]trip_summary_region!E758</f>
        <v>79</v>
      </c>
      <c r="F758">
        <f>[5]trip_summary_region!F758</f>
        <v>2.0764681202999999</v>
      </c>
      <c r="G758">
        <f>[5]trip_summary_region!G758</f>
        <v>19.807462209000001</v>
      </c>
      <c r="H758">
        <f>[5]trip_summary_region!H758</f>
        <v>0.94491203199999996</v>
      </c>
      <c r="I758" t="str">
        <f>[5]trip_summary_region!I758</f>
        <v>Local Bus</v>
      </c>
      <c r="J758" t="str">
        <f>[5]trip_summary_region!J758</f>
        <v>2012/13</v>
      </c>
    </row>
    <row r="759" spans="1:10" x14ac:dyDescent="0.2">
      <c r="A759" t="str">
        <f>[5]trip_summary_region!A759</f>
        <v>10 NELS-MARLB-TAS</v>
      </c>
      <c r="B759">
        <f>[5]trip_summary_region!B759</f>
        <v>7</v>
      </c>
      <c r="C759">
        <f>[5]trip_summary_region!C759</f>
        <v>2018</v>
      </c>
      <c r="D759">
        <f>[5]trip_summary_region!D759</f>
        <v>38</v>
      </c>
      <c r="E759">
        <f>[5]trip_summary_region!E759</f>
        <v>79</v>
      </c>
      <c r="F759">
        <f>[5]trip_summary_region!F759</f>
        <v>1.8124198828</v>
      </c>
      <c r="G759">
        <f>[5]trip_summary_region!G759</f>
        <v>16.577105019000001</v>
      </c>
      <c r="H759">
        <f>[5]trip_summary_region!H759</f>
        <v>0.7915301776</v>
      </c>
      <c r="I759" t="str">
        <f>[5]trip_summary_region!I759</f>
        <v>Local Bus</v>
      </c>
      <c r="J759" t="str">
        <f>[5]trip_summary_region!J759</f>
        <v>2017/18</v>
      </c>
    </row>
    <row r="760" spans="1:10" x14ac:dyDescent="0.2">
      <c r="A760" t="str">
        <f>[5]trip_summary_region!A760</f>
        <v>10 NELS-MARLB-TAS</v>
      </c>
      <c r="B760">
        <f>[5]trip_summary_region!B760</f>
        <v>7</v>
      </c>
      <c r="C760">
        <f>[5]trip_summary_region!C760</f>
        <v>2023</v>
      </c>
      <c r="D760">
        <f>[5]trip_summary_region!D760</f>
        <v>38</v>
      </c>
      <c r="E760">
        <f>[5]trip_summary_region!E760</f>
        <v>79</v>
      </c>
      <c r="F760">
        <f>[5]trip_summary_region!F760</f>
        <v>1.7870786502</v>
      </c>
      <c r="G760">
        <f>[5]trip_summary_region!G760</f>
        <v>15.5289862</v>
      </c>
      <c r="H760">
        <f>[5]trip_summary_region!H760</f>
        <v>0.7435128782</v>
      </c>
      <c r="I760" t="str">
        <f>[5]trip_summary_region!I760</f>
        <v>Local Bus</v>
      </c>
      <c r="J760" t="str">
        <f>[5]trip_summary_region!J760</f>
        <v>2022/23</v>
      </c>
    </row>
    <row r="761" spans="1:10" x14ac:dyDescent="0.2">
      <c r="A761" t="str">
        <f>[5]trip_summary_region!A761</f>
        <v>10 NELS-MARLB-TAS</v>
      </c>
      <c r="B761">
        <f>[5]trip_summary_region!B761</f>
        <v>7</v>
      </c>
      <c r="C761">
        <f>[5]trip_summary_region!C761</f>
        <v>2028</v>
      </c>
      <c r="D761">
        <f>[5]trip_summary_region!D761</f>
        <v>38</v>
      </c>
      <c r="E761">
        <f>[5]trip_summary_region!E761</f>
        <v>79</v>
      </c>
      <c r="F761">
        <f>[5]trip_summary_region!F761</f>
        <v>1.7873166658999999</v>
      </c>
      <c r="G761">
        <f>[5]trip_summary_region!G761</f>
        <v>14.856912842</v>
      </c>
      <c r="H761">
        <f>[5]trip_summary_region!H761</f>
        <v>0.7158157678</v>
      </c>
      <c r="I761" t="str">
        <f>[5]trip_summary_region!I761</f>
        <v>Local Bus</v>
      </c>
      <c r="J761" t="str">
        <f>[5]trip_summary_region!J761</f>
        <v>2027/28</v>
      </c>
    </row>
    <row r="762" spans="1:10" x14ac:dyDescent="0.2">
      <c r="A762" t="str">
        <f>[5]trip_summary_region!A762</f>
        <v>10 NELS-MARLB-TAS</v>
      </c>
      <c r="B762">
        <f>[5]trip_summary_region!B762</f>
        <v>7</v>
      </c>
      <c r="C762">
        <f>[5]trip_summary_region!C762</f>
        <v>2033</v>
      </c>
      <c r="D762">
        <f>[5]trip_summary_region!D762</f>
        <v>38</v>
      </c>
      <c r="E762">
        <f>[5]trip_summary_region!E762</f>
        <v>79</v>
      </c>
      <c r="F762">
        <f>[5]trip_summary_region!F762</f>
        <v>1.7194626749999999</v>
      </c>
      <c r="G762">
        <f>[5]trip_summary_region!G762</f>
        <v>13.906854659</v>
      </c>
      <c r="H762">
        <f>[5]trip_summary_region!H762</f>
        <v>0.67445609090000003</v>
      </c>
      <c r="I762" t="str">
        <f>[5]trip_summary_region!I762</f>
        <v>Local Bus</v>
      </c>
      <c r="J762" t="str">
        <f>[5]trip_summary_region!J762</f>
        <v>2032/33</v>
      </c>
    </row>
    <row r="763" spans="1:10" x14ac:dyDescent="0.2">
      <c r="A763" t="str">
        <f>[5]trip_summary_region!A763</f>
        <v>10 NELS-MARLB-TAS</v>
      </c>
      <c r="B763">
        <f>[5]trip_summary_region!B763</f>
        <v>7</v>
      </c>
      <c r="C763">
        <f>[5]trip_summary_region!C763</f>
        <v>2038</v>
      </c>
      <c r="D763">
        <f>[5]trip_summary_region!D763</f>
        <v>38</v>
      </c>
      <c r="E763">
        <f>[5]trip_summary_region!E763</f>
        <v>79</v>
      </c>
      <c r="F763">
        <f>[5]trip_summary_region!F763</f>
        <v>1.7755771412000001</v>
      </c>
      <c r="G763">
        <f>[5]trip_summary_region!G763</f>
        <v>13.988798430999999</v>
      </c>
      <c r="H763">
        <f>[5]trip_summary_region!H763</f>
        <v>0.67968248099999995</v>
      </c>
      <c r="I763" t="str">
        <f>[5]trip_summary_region!I763</f>
        <v>Local Bus</v>
      </c>
      <c r="J763" t="str">
        <f>[5]trip_summary_region!J763</f>
        <v>2037/38</v>
      </c>
    </row>
    <row r="764" spans="1:10" x14ac:dyDescent="0.2">
      <c r="A764" t="str">
        <f>[5]trip_summary_region!A764</f>
        <v>10 NELS-MARLB-TAS</v>
      </c>
      <c r="B764">
        <f>[5]trip_summary_region!B764</f>
        <v>7</v>
      </c>
      <c r="C764">
        <f>[5]trip_summary_region!C764</f>
        <v>2043</v>
      </c>
      <c r="D764">
        <f>[5]trip_summary_region!D764</f>
        <v>38</v>
      </c>
      <c r="E764">
        <f>[5]trip_summary_region!E764</f>
        <v>79</v>
      </c>
      <c r="F764">
        <f>[5]trip_summary_region!F764</f>
        <v>1.8324453614</v>
      </c>
      <c r="G764">
        <f>[5]trip_summary_region!G764</f>
        <v>14.156934825</v>
      </c>
      <c r="H764">
        <f>[5]trip_summary_region!H764</f>
        <v>0.68899622540000005</v>
      </c>
      <c r="I764" t="str">
        <f>[5]trip_summary_region!I764</f>
        <v>Local Bus</v>
      </c>
      <c r="J764" t="str">
        <f>[5]trip_summary_region!J764</f>
        <v>2042/43</v>
      </c>
    </row>
    <row r="765" spans="1:10" x14ac:dyDescent="0.2">
      <c r="A765" t="str">
        <f>[5]trip_summary_region!A765</f>
        <v>10 NELS-MARLB-TAS</v>
      </c>
      <c r="B765">
        <f>[5]trip_summary_region!B765</f>
        <v>9</v>
      </c>
      <c r="C765">
        <f>[5]trip_summary_region!C765</f>
        <v>2013</v>
      </c>
      <c r="D765">
        <f>[5]trip_summary_region!D765</f>
        <v>24</v>
      </c>
      <c r="E765">
        <f>[5]trip_summary_region!E765</f>
        <v>56</v>
      </c>
      <c r="F765">
        <f>[5]trip_summary_region!F765</f>
        <v>1.495105957</v>
      </c>
      <c r="G765">
        <f>[5]trip_summary_region!G765</f>
        <v>0</v>
      </c>
      <c r="H765">
        <f>[5]trip_summary_region!H765</f>
        <v>0.51346004550000002</v>
      </c>
      <c r="I765" t="str">
        <f>[5]trip_summary_region!I765</f>
        <v>Other Household Travel</v>
      </c>
      <c r="J765" t="str">
        <f>[5]trip_summary_region!J765</f>
        <v>2012/13</v>
      </c>
    </row>
    <row r="766" spans="1:10" x14ac:dyDescent="0.2">
      <c r="A766" t="str">
        <f>[5]trip_summary_region!A766</f>
        <v>10 NELS-MARLB-TAS</v>
      </c>
      <c r="B766">
        <f>[5]trip_summary_region!B766</f>
        <v>9</v>
      </c>
      <c r="C766">
        <f>[5]trip_summary_region!C766</f>
        <v>2018</v>
      </c>
      <c r="D766">
        <f>[5]trip_summary_region!D766</f>
        <v>24</v>
      </c>
      <c r="E766">
        <f>[5]trip_summary_region!E766</f>
        <v>56</v>
      </c>
      <c r="F766">
        <f>[5]trip_summary_region!F766</f>
        <v>1.3950265872000001</v>
      </c>
      <c r="G766">
        <f>[5]trip_summary_region!G766</f>
        <v>0</v>
      </c>
      <c r="H766">
        <f>[5]trip_summary_region!H766</f>
        <v>0.475105318</v>
      </c>
      <c r="I766" t="str">
        <f>[5]trip_summary_region!I766</f>
        <v>Other Household Travel</v>
      </c>
      <c r="J766" t="str">
        <f>[5]trip_summary_region!J766</f>
        <v>2017/18</v>
      </c>
    </row>
    <row r="767" spans="1:10" x14ac:dyDescent="0.2">
      <c r="A767" t="str">
        <f>[5]trip_summary_region!A767</f>
        <v>10 NELS-MARLB-TAS</v>
      </c>
      <c r="B767">
        <f>[5]trip_summary_region!B767</f>
        <v>9</v>
      </c>
      <c r="C767">
        <f>[5]trip_summary_region!C767</f>
        <v>2023</v>
      </c>
      <c r="D767">
        <f>[5]trip_summary_region!D767</f>
        <v>24</v>
      </c>
      <c r="E767">
        <f>[5]trip_summary_region!E767</f>
        <v>56</v>
      </c>
      <c r="F767">
        <f>[5]trip_summary_region!F767</f>
        <v>1.4307022274000001</v>
      </c>
      <c r="G767">
        <f>[5]trip_summary_region!G767</f>
        <v>0</v>
      </c>
      <c r="H767">
        <f>[5]trip_summary_region!H767</f>
        <v>0.4873547131</v>
      </c>
      <c r="I767" t="str">
        <f>[5]trip_summary_region!I767</f>
        <v>Other Household Travel</v>
      </c>
      <c r="J767" t="str">
        <f>[5]trip_summary_region!J767</f>
        <v>2022/23</v>
      </c>
    </row>
    <row r="768" spans="1:10" x14ac:dyDescent="0.2">
      <c r="A768" t="str">
        <f>[5]trip_summary_region!A768</f>
        <v>10 NELS-MARLB-TAS</v>
      </c>
      <c r="B768">
        <f>[5]trip_summary_region!B768</f>
        <v>9</v>
      </c>
      <c r="C768">
        <f>[5]trip_summary_region!C768</f>
        <v>2028</v>
      </c>
      <c r="D768">
        <f>[5]trip_summary_region!D768</f>
        <v>24</v>
      </c>
      <c r="E768">
        <f>[5]trip_summary_region!E768</f>
        <v>56</v>
      </c>
      <c r="F768">
        <f>[5]trip_summary_region!F768</f>
        <v>1.4528997164999999</v>
      </c>
      <c r="G768">
        <f>[5]trip_summary_region!G768</f>
        <v>0</v>
      </c>
      <c r="H768">
        <f>[5]trip_summary_region!H768</f>
        <v>0.50049047140000003</v>
      </c>
      <c r="I768" t="str">
        <f>[5]trip_summary_region!I768</f>
        <v>Other Household Travel</v>
      </c>
      <c r="J768" t="str">
        <f>[5]trip_summary_region!J768</f>
        <v>2027/28</v>
      </c>
    </row>
    <row r="769" spans="1:10" x14ac:dyDescent="0.2">
      <c r="A769" t="str">
        <f>[5]trip_summary_region!A769</f>
        <v>10 NELS-MARLB-TAS</v>
      </c>
      <c r="B769">
        <f>[5]trip_summary_region!B769</f>
        <v>9</v>
      </c>
      <c r="C769">
        <f>[5]trip_summary_region!C769</f>
        <v>2033</v>
      </c>
      <c r="D769">
        <f>[5]trip_summary_region!D769</f>
        <v>24</v>
      </c>
      <c r="E769">
        <f>[5]trip_summary_region!E769</f>
        <v>56</v>
      </c>
      <c r="F769">
        <f>[5]trip_summary_region!F769</f>
        <v>1.4507889064999999</v>
      </c>
      <c r="G769">
        <f>[5]trip_summary_region!G769</f>
        <v>0</v>
      </c>
      <c r="H769">
        <f>[5]trip_summary_region!H769</f>
        <v>0.50239144170000005</v>
      </c>
      <c r="I769" t="str">
        <f>[5]trip_summary_region!I769</f>
        <v>Other Household Travel</v>
      </c>
      <c r="J769" t="str">
        <f>[5]trip_summary_region!J769</f>
        <v>2032/33</v>
      </c>
    </row>
    <row r="770" spans="1:10" x14ac:dyDescent="0.2">
      <c r="A770" t="str">
        <f>[5]trip_summary_region!A770</f>
        <v>10 NELS-MARLB-TAS</v>
      </c>
      <c r="B770">
        <f>[5]trip_summary_region!B770</f>
        <v>9</v>
      </c>
      <c r="C770">
        <f>[5]trip_summary_region!C770</f>
        <v>2038</v>
      </c>
      <c r="D770">
        <f>[5]trip_summary_region!D770</f>
        <v>24</v>
      </c>
      <c r="E770">
        <f>[5]trip_summary_region!E770</f>
        <v>56</v>
      </c>
      <c r="F770">
        <f>[5]trip_summary_region!F770</f>
        <v>1.4760550403999999</v>
      </c>
      <c r="G770">
        <f>[5]trip_summary_region!G770</f>
        <v>0</v>
      </c>
      <c r="H770">
        <f>[5]trip_summary_region!H770</f>
        <v>0.51558045269999997</v>
      </c>
      <c r="I770" t="str">
        <f>[5]trip_summary_region!I770</f>
        <v>Other Household Travel</v>
      </c>
      <c r="J770" t="str">
        <f>[5]trip_summary_region!J770</f>
        <v>2037/38</v>
      </c>
    </row>
    <row r="771" spans="1:10" x14ac:dyDescent="0.2">
      <c r="A771" t="str">
        <f>[5]trip_summary_region!A771</f>
        <v>10 NELS-MARLB-TAS</v>
      </c>
      <c r="B771">
        <f>[5]trip_summary_region!B771</f>
        <v>9</v>
      </c>
      <c r="C771">
        <f>[5]trip_summary_region!C771</f>
        <v>2043</v>
      </c>
      <c r="D771">
        <f>[5]trip_summary_region!D771</f>
        <v>24</v>
      </c>
      <c r="E771">
        <f>[5]trip_summary_region!E771</f>
        <v>56</v>
      </c>
      <c r="F771">
        <f>[5]trip_summary_region!F771</f>
        <v>1.4904348486000001</v>
      </c>
      <c r="G771">
        <f>[5]trip_summary_region!G771</f>
        <v>0</v>
      </c>
      <c r="H771">
        <f>[5]trip_summary_region!H771</f>
        <v>0.52510807520000002</v>
      </c>
      <c r="I771" t="str">
        <f>[5]trip_summary_region!I771</f>
        <v>Other Household Travel</v>
      </c>
      <c r="J771" t="str">
        <f>[5]trip_summary_region!J771</f>
        <v>2042/43</v>
      </c>
    </row>
    <row r="772" spans="1:10" x14ac:dyDescent="0.2">
      <c r="A772" t="str">
        <f>[5]trip_summary_region!A772</f>
        <v>10 NELS-MARLB-TAS</v>
      </c>
      <c r="B772">
        <f>[5]trip_summary_region!B772</f>
        <v>10</v>
      </c>
      <c r="C772">
        <f>[5]trip_summary_region!C772</f>
        <v>2013</v>
      </c>
      <c r="D772">
        <f>[5]trip_summary_region!D772</f>
        <v>11</v>
      </c>
      <c r="E772">
        <f>[5]trip_summary_region!E772</f>
        <v>13</v>
      </c>
      <c r="F772">
        <f>[5]trip_summary_region!F772</f>
        <v>0.38277994659999998</v>
      </c>
      <c r="G772">
        <f>[5]trip_summary_region!G772</f>
        <v>0</v>
      </c>
      <c r="H772">
        <f>[5]trip_summary_region!H772</f>
        <v>0.45211944030000001</v>
      </c>
      <c r="I772" t="str">
        <f>[5]trip_summary_region!I772</f>
        <v>Air/Non-Local PT</v>
      </c>
      <c r="J772" t="str">
        <f>[5]trip_summary_region!J772</f>
        <v>2012/13</v>
      </c>
    </row>
    <row r="773" spans="1:10" x14ac:dyDescent="0.2">
      <c r="A773" t="str">
        <f>[5]trip_summary_region!A773</f>
        <v>10 NELS-MARLB-TAS</v>
      </c>
      <c r="B773">
        <f>[5]trip_summary_region!B773</f>
        <v>10</v>
      </c>
      <c r="C773">
        <f>[5]trip_summary_region!C773</f>
        <v>2018</v>
      </c>
      <c r="D773">
        <f>[5]trip_summary_region!D773</f>
        <v>11</v>
      </c>
      <c r="E773">
        <f>[5]trip_summary_region!E773</f>
        <v>13</v>
      </c>
      <c r="F773">
        <f>[5]trip_summary_region!F773</f>
        <v>0.38268653460000002</v>
      </c>
      <c r="G773">
        <f>[5]trip_summary_region!G773</f>
        <v>0</v>
      </c>
      <c r="H773">
        <f>[5]trip_summary_region!H773</f>
        <v>0.43129033820000001</v>
      </c>
      <c r="I773" t="str">
        <f>[5]trip_summary_region!I773</f>
        <v>Air/Non-Local PT</v>
      </c>
      <c r="J773" t="str">
        <f>[5]trip_summary_region!J773</f>
        <v>2017/18</v>
      </c>
    </row>
    <row r="774" spans="1:10" x14ac:dyDescent="0.2">
      <c r="A774" t="str">
        <f>[5]trip_summary_region!A774</f>
        <v>10 NELS-MARLB-TAS</v>
      </c>
      <c r="B774">
        <f>[5]trip_summary_region!B774</f>
        <v>10</v>
      </c>
      <c r="C774">
        <f>[5]trip_summary_region!C774</f>
        <v>2023</v>
      </c>
      <c r="D774">
        <f>[5]trip_summary_region!D774</f>
        <v>11</v>
      </c>
      <c r="E774">
        <f>[5]trip_summary_region!E774</f>
        <v>13</v>
      </c>
      <c r="F774">
        <f>[5]trip_summary_region!F774</f>
        <v>0.3982708338</v>
      </c>
      <c r="G774">
        <f>[5]trip_summary_region!G774</f>
        <v>0</v>
      </c>
      <c r="H774">
        <f>[5]trip_summary_region!H774</f>
        <v>0.43984337530000001</v>
      </c>
      <c r="I774" t="str">
        <f>[5]trip_summary_region!I774</f>
        <v>Air/Non-Local PT</v>
      </c>
      <c r="J774" t="str">
        <f>[5]trip_summary_region!J774</f>
        <v>2022/23</v>
      </c>
    </row>
    <row r="775" spans="1:10" x14ac:dyDescent="0.2">
      <c r="A775" t="str">
        <f>[5]trip_summary_region!A775</f>
        <v>10 NELS-MARLB-TAS</v>
      </c>
      <c r="B775">
        <f>[5]trip_summary_region!B775</f>
        <v>10</v>
      </c>
      <c r="C775">
        <f>[5]trip_summary_region!C775</f>
        <v>2028</v>
      </c>
      <c r="D775">
        <f>[5]trip_summary_region!D775</f>
        <v>11</v>
      </c>
      <c r="E775">
        <f>[5]trip_summary_region!E775</f>
        <v>13</v>
      </c>
      <c r="F775">
        <f>[5]trip_summary_region!F775</f>
        <v>0.39793561109999998</v>
      </c>
      <c r="G775">
        <f>[5]trip_summary_region!G775</f>
        <v>0</v>
      </c>
      <c r="H775">
        <f>[5]trip_summary_region!H775</f>
        <v>0.41973899999999997</v>
      </c>
      <c r="I775" t="str">
        <f>[5]trip_summary_region!I775</f>
        <v>Air/Non-Local PT</v>
      </c>
      <c r="J775" t="str">
        <f>[5]trip_summary_region!J775</f>
        <v>2027/28</v>
      </c>
    </row>
    <row r="776" spans="1:10" x14ac:dyDescent="0.2">
      <c r="A776" t="str">
        <f>[5]trip_summary_region!A776</f>
        <v>10 NELS-MARLB-TAS</v>
      </c>
      <c r="B776">
        <f>[5]trip_summary_region!B776</f>
        <v>10</v>
      </c>
      <c r="C776">
        <f>[5]trip_summary_region!C776</f>
        <v>2033</v>
      </c>
      <c r="D776">
        <f>[5]trip_summary_region!D776</f>
        <v>11</v>
      </c>
      <c r="E776">
        <f>[5]trip_summary_region!E776</f>
        <v>13</v>
      </c>
      <c r="F776">
        <f>[5]trip_summary_region!F776</f>
        <v>0.39587967769999999</v>
      </c>
      <c r="G776">
        <f>[5]trip_summary_region!G776</f>
        <v>0</v>
      </c>
      <c r="H776">
        <f>[5]trip_summary_region!H776</f>
        <v>0.38750980629999998</v>
      </c>
      <c r="I776" t="str">
        <f>[5]trip_summary_region!I776</f>
        <v>Air/Non-Local PT</v>
      </c>
      <c r="J776" t="str">
        <f>[5]trip_summary_region!J776</f>
        <v>2032/33</v>
      </c>
    </row>
    <row r="777" spans="1:10" x14ac:dyDescent="0.2">
      <c r="A777" t="str">
        <f>[5]trip_summary_region!A777</f>
        <v>10 NELS-MARLB-TAS</v>
      </c>
      <c r="B777">
        <f>[5]trip_summary_region!B777</f>
        <v>10</v>
      </c>
      <c r="C777">
        <f>[5]trip_summary_region!C777</f>
        <v>2038</v>
      </c>
      <c r="D777">
        <f>[5]trip_summary_region!D777</f>
        <v>11</v>
      </c>
      <c r="E777">
        <f>[5]trip_summary_region!E777</f>
        <v>13</v>
      </c>
      <c r="F777">
        <f>[5]trip_summary_region!F777</f>
        <v>0.38820905979999998</v>
      </c>
      <c r="G777">
        <f>[5]trip_summary_region!G777</f>
        <v>0</v>
      </c>
      <c r="H777">
        <f>[5]trip_summary_region!H777</f>
        <v>0.34796765260000001</v>
      </c>
      <c r="I777" t="str">
        <f>[5]trip_summary_region!I777</f>
        <v>Air/Non-Local PT</v>
      </c>
      <c r="J777" t="str">
        <f>[5]trip_summary_region!J777</f>
        <v>2037/38</v>
      </c>
    </row>
    <row r="778" spans="1:10" x14ac:dyDescent="0.2">
      <c r="A778" t="str">
        <f>[5]trip_summary_region!A778</f>
        <v>10 NELS-MARLB-TAS</v>
      </c>
      <c r="B778">
        <f>[5]trip_summary_region!B778</f>
        <v>10</v>
      </c>
      <c r="C778">
        <f>[5]trip_summary_region!C778</f>
        <v>2043</v>
      </c>
      <c r="D778">
        <f>[5]trip_summary_region!D778</f>
        <v>11</v>
      </c>
      <c r="E778">
        <f>[5]trip_summary_region!E778</f>
        <v>13</v>
      </c>
      <c r="F778">
        <f>[5]trip_summary_region!F778</f>
        <v>0.38260695350000001</v>
      </c>
      <c r="G778">
        <f>[5]trip_summary_region!G778</f>
        <v>0</v>
      </c>
      <c r="H778">
        <f>[5]trip_summary_region!H778</f>
        <v>0.31834658599999999</v>
      </c>
      <c r="I778" t="str">
        <f>[5]trip_summary_region!I778</f>
        <v>Air/Non-Local PT</v>
      </c>
      <c r="J778" t="str">
        <f>[5]trip_summary_region!J778</f>
        <v>2042/43</v>
      </c>
    </row>
    <row r="779" spans="1:10" x14ac:dyDescent="0.2">
      <c r="A779" t="str">
        <f>[5]trip_summary_region!A779</f>
        <v>10 NELS-MARLB-TAS</v>
      </c>
      <c r="B779">
        <f>[5]trip_summary_region!B779</f>
        <v>11</v>
      </c>
      <c r="C779">
        <f>[5]trip_summary_region!C779</f>
        <v>2013</v>
      </c>
      <c r="D779">
        <f>[5]trip_summary_region!D779</f>
        <v>10</v>
      </c>
      <c r="E779">
        <f>[5]trip_summary_region!E779</f>
        <v>59</v>
      </c>
      <c r="F779">
        <f>[5]trip_summary_region!F779</f>
        <v>1.9294573958000001</v>
      </c>
      <c r="G779">
        <f>[5]trip_summary_region!G779</f>
        <v>30.128221894999999</v>
      </c>
      <c r="H779">
        <f>[5]trip_summary_region!H779</f>
        <v>0.79809006319999998</v>
      </c>
      <c r="I779" t="str">
        <f>[5]trip_summary_region!I779</f>
        <v>Non-Household Travel</v>
      </c>
      <c r="J779" t="str">
        <f>[5]trip_summary_region!J779</f>
        <v>2012/13</v>
      </c>
    </row>
    <row r="780" spans="1:10" x14ac:dyDescent="0.2">
      <c r="A780" t="str">
        <f>[5]trip_summary_region!A780</f>
        <v>10 NELS-MARLB-TAS</v>
      </c>
      <c r="B780">
        <f>[5]trip_summary_region!B780</f>
        <v>11</v>
      </c>
      <c r="C780">
        <f>[5]trip_summary_region!C780</f>
        <v>2018</v>
      </c>
      <c r="D780">
        <f>[5]trip_summary_region!D780</f>
        <v>10</v>
      </c>
      <c r="E780">
        <f>[5]trip_summary_region!E780</f>
        <v>59</v>
      </c>
      <c r="F780">
        <f>[5]trip_summary_region!F780</f>
        <v>1.6505363044000001</v>
      </c>
      <c r="G780">
        <f>[5]trip_summary_region!G780</f>
        <v>28.079940483000001</v>
      </c>
      <c r="H780">
        <f>[5]trip_summary_region!H780</f>
        <v>0.73627297550000004</v>
      </c>
      <c r="I780" t="str">
        <f>[5]trip_summary_region!I780</f>
        <v>Non-Household Travel</v>
      </c>
      <c r="J780" t="str">
        <f>[5]trip_summary_region!J780</f>
        <v>2017/18</v>
      </c>
    </row>
    <row r="781" spans="1:10" x14ac:dyDescent="0.2">
      <c r="A781" t="str">
        <f>[5]trip_summary_region!A781</f>
        <v>10 NELS-MARLB-TAS</v>
      </c>
      <c r="B781">
        <f>[5]trip_summary_region!B781</f>
        <v>11</v>
      </c>
      <c r="C781">
        <f>[5]trip_summary_region!C781</f>
        <v>2023</v>
      </c>
      <c r="D781">
        <f>[5]trip_summary_region!D781</f>
        <v>10</v>
      </c>
      <c r="E781">
        <f>[5]trip_summary_region!E781</f>
        <v>59</v>
      </c>
      <c r="F781">
        <f>[5]trip_summary_region!F781</f>
        <v>1.4908491895</v>
      </c>
      <c r="G781">
        <f>[5]trip_summary_region!G781</f>
        <v>27.565964506</v>
      </c>
      <c r="H781">
        <f>[5]trip_summary_region!H781</f>
        <v>0.70951396990000004</v>
      </c>
      <c r="I781" t="str">
        <f>[5]trip_summary_region!I781</f>
        <v>Non-Household Travel</v>
      </c>
      <c r="J781" t="str">
        <f>[5]trip_summary_region!J781</f>
        <v>2022/23</v>
      </c>
    </row>
    <row r="782" spans="1:10" x14ac:dyDescent="0.2">
      <c r="A782" t="str">
        <f>[5]trip_summary_region!A782</f>
        <v>10 NELS-MARLB-TAS</v>
      </c>
      <c r="B782">
        <f>[5]trip_summary_region!B782</f>
        <v>11</v>
      </c>
      <c r="C782">
        <f>[5]trip_summary_region!C782</f>
        <v>2028</v>
      </c>
      <c r="D782">
        <f>[5]trip_summary_region!D782</f>
        <v>10</v>
      </c>
      <c r="E782">
        <f>[5]trip_summary_region!E782</f>
        <v>59</v>
      </c>
      <c r="F782">
        <f>[5]trip_summary_region!F782</f>
        <v>1.3255785148999999</v>
      </c>
      <c r="G782">
        <f>[5]trip_summary_region!G782</f>
        <v>24.172931373000001</v>
      </c>
      <c r="H782">
        <f>[5]trip_summary_region!H782</f>
        <v>0.61876923819999996</v>
      </c>
      <c r="I782" t="str">
        <f>[5]trip_summary_region!I782</f>
        <v>Non-Household Travel</v>
      </c>
      <c r="J782" t="str">
        <f>[5]trip_summary_region!J782</f>
        <v>2027/28</v>
      </c>
    </row>
    <row r="783" spans="1:10" x14ac:dyDescent="0.2">
      <c r="A783" t="str">
        <f>[5]trip_summary_region!A783</f>
        <v>10 NELS-MARLB-TAS</v>
      </c>
      <c r="B783">
        <f>[5]trip_summary_region!B783</f>
        <v>11</v>
      </c>
      <c r="C783">
        <f>[5]trip_summary_region!C783</f>
        <v>2033</v>
      </c>
      <c r="D783">
        <f>[5]trip_summary_region!D783</f>
        <v>10</v>
      </c>
      <c r="E783">
        <f>[5]trip_summary_region!E783</f>
        <v>59</v>
      </c>
      <c r="F783">
        <f>[5]trip_summary_region!F783</f>
        <v>1.237700268</v>
      </c>
      <c r="G783">
        <f>[5]trip_summary_region!G783</f>
        <v>20.638235582</v>
      </c>
      <c r="H783">
        <f>[5]trip_summary_region!H783</f>
        <v>0.53339542380000005</v>
      </c>
      <c r="I783" t="str">
        <f>[5]trip_summary_region!I783</f>
        <v>Non-Household Travel</v>
      </c>
      <c r="J783" t="str">
        <f>[5]trip_summary_region!J783</f>
        <v>2032/33</v>
      </c>
    </row>
    <row r="784" spans="1:10" x14ac:dyDescent="0.2">
      <c r="A784" t="str">
        <f>[5]trip_summary_region!A784</f>
        <v>10 NELS-MARLB-TAS</v>
      </c>
      <c r="B784">
        <f>[5]trip_summary_region!B784</f>
        <v>11</v>
      </c>
      <c r="C784">
        <f>[5]trip_summary_region!C784</f>
        <v>2038</v>
      </c>
      <c r="D784">
        <f>[5]trip_summary_region!D784</f>
        <v>10</v>
      </c>
      <c r="E784">
        <f>[5]trip_summary_region!E784</f>
        <v>59</v>
      </c>
      <c r="F784">
        <f>[5]trip_summary_region!F784</f>
        <v>1.2341556532</v>
      </c>
      <c r="G784">
        <f>[5]trip_summary_region!G784</f>
        <v>17.564837547</v>
      </c>
      <c r="H784">
        <f>[5]trip_summary_region!H784</f>
        <v>0.46532981899999998</v>
      </c>
      <c r="I784" t="str">
        <f>[5]trip_summary_region!I784</f>
        <v>Non-Household Travel</v>
      </c>
      <c r="J784" t="str">
        <f>[5]trip_summary_region!J784</f>
        <v>2037/38</v>
      </c>
    </row>
    <row r="785" spans="1:10" x14ac:dyDescent="0.2">
      <c r="A785" t="str">
        <f>[5]trip_summary_region!A785</f>
        <v>10 NELS-MARLB-TAS</v>
      </c>
      <c r="B785">
        <f>[5]trip_summary_region!B785</f>
        <v>11</v>
      </c>
      <c r="C785">
        <f>[5]trip_summary_region!C785</f>
        <v>2043</v>
      </c>
      <c r="D785">
        <f>[5]trip_summary_region!D785</f>
        <v>10</v>
      </c>
      <c r="E785">
        <f>[5]trip_summary_region!E785</f>
        <v>59</v>
      </c>
      <c r="F785">
        <f>[5]trip_summary_region!F785</f>
        <v>1.2267171586000001</v>
      </c>
      <c r="G785">
        <f>[5]trip_summary_region!G785</f>
        <v>14.998438902</v>
      </c>
      <c r="H785">
        <f>[5]trip_summary_region!H785</f>
        <v>0.40721200670000002</v>
      </c>
      <c r="I785" t="str">
        <f>[5]trip_summary_region!I785</f>
        <v>Non-Household Travel</v>
      </c>
      <c r="J785" t="str">
        <f>[5]trip_summary_region!J785</f>
        <v>2042/43</v>
      </c>
    </row>
    <row r="786" spans="1:10" x14ac:dyDescent="0.2">
      <c r="A786" t="str">
        <f>[5]trip_summary_region!A786</f>
        <v>12 WEST COAST</v>
      </c>
      <c r="B786">
        <f>[5]trip_summary_region!B786</f>
        <v>0</v>
      </c>
      <c r="C786">
        <f>[5]trip_summary_region!C786</f>
        <v>2013</v>
      </c>
      <c r="D786">
        <f>[5]trip_summary_region!D786</f>
        <v>145</v>
      </c>
      <c r="E786">
        <f>[5]trip_summary_region!E786</f>
        <v>451</v>
      </c>
      <c r="F786">
        <f>[5]trip_summary_region!F786</f>
        <v>5.2699511529</v>
      </c>
      <c r="G786">
        <f>[5]trip_summary_region!G786</f>
        <v>4.6474841125999999</v>
      </c>
      <c r="H786">
        <f>[5]trip_summary_region!H786</f>
        <v>1.1518220776999999</v>
      </c>
      <c r="I786" t="str">
        <f>[5]trip_summary_region!I786</f>
        <v>Pedestrian</v>
      </c>
      <c r="J786" t="str">
        <f>[5]trip_summary_region!J786</f>
        <v>2012/13</v>
      </c>
    </row>
    <row r="787" spans="1:10" x14ac:dyDescent="0.2">
      <c r="A787" t="str">
        <f>[5]trip_summary_region!A787</f>
        <v>12 WEST COAST</v>
      </c>
      <c r="B787">
        <f>[5]trip_summary_region!B787</f>
        <v>0</v>
      </c>
      <c r="C787">
        <f>[5]trip_summary_region!C787</f>
        <v>2018</v>
      </c>
      <c r="D787">
        <f>[5]trip_summary_region!D787</f>
        <v>145</v>
      </c>
      <c r="E787">
        <f>[5]trip_summary_region!E787</f>
        <v>451</v>
      </c>
      <c r="F787">
        <f>[5]trip_summary_region!F787</f>
        <v>4.4539437897000003</v>
      </c>
      <c r="G787">
        <f>[5]trip_summary_region!G787</f>
        <v>4.0149325678999999</v>
      </c>
      <c r="H787">
        <f>[5]trip_summary_region!H787</f>
        <v>1.010258493</v>
      </c>
      <c r="I787" t="str">
        <f>[5]trip_summary_region!I787</f>
        <v>Pedestrian</v>
      </c>
      <c r="J787" t="str">
        <f>[5]trip_summary_region!J787</f>
        <v>2017/18</v>
      </c>
    </row>
    <row r="788" spans="1:10" x14ac:dyDescent="0.2">
      <c r="A788" t="str">
        <f>[5]trip_summary_region!A788</f>
        <v>12 WEST COAST</v>
      </c>
      <c r="B788">
        <f>[5]trip_summary_region!B788</f>
        <v>0</v>
      </c>
      <c r="C788">
        <f>[5]trip_summary_region!C788</f>
        <v>2023</v>
      </c>
      <c r="D788">
        <f>[5]trip_summary_region!D788</f>
        <v>145</v>
      </c>
      <c r="E788">
        <f>[5]trip_summary_region!E788</f>
        <v>451</v>
      </c>
      <c r="F788">
        <f>[5]trip_summary_region!F788</f>
        <v>3.9772473815999998</v>
      </c>
      <c r="G788">
        <f>[5]trip_summary_region!G788</f>
        <v>3.6549651945999999</v>
      </c>
      <c r="H788">
        <f>[5]trip_summary_region!H788</f>
        <v>0.94150144449999995</v>
      </c>
      <c r="I788" t="str">
        <f>[5]trip_summary_region!I788</f>
        <v>Pedestrian</v>
      </c>
      <c r="J788" t="str">
        <f>[5]trip_summary_region!J788</f>
        <v>2022/23</v>
      </c>
    </row>
    <row r="789" spans="1:10" x14ac:dyDescent="0.2">
      <c r="A789" t="str">
        <f>[5]trip_summary_region!A789</f>
        <v>12 WEST COAST</v>
      </c>
      <c r="B789">
        <f>[5]trip_summary_region!B789</f>
        <v>0</v>
      </c>
      <c r="C789">
        <f>[5]trip_summary_region!C789</f>
        <v>2028</v>
      </c>
      <c r="D789">
        <f>[5]trip_summary_region!D789</f>
        <v>145</v>
      </c>
      <c r="E789">
        <f>[5]trip_summary_region!E789</f>
        <v>451</v>
      </c>
      <c r="F789">
        <f>[5]trip_summary_region!F789</f>
        <v>3.4907341464999999</v>
      </c>
      <c r="G789">
        <f>[5]trip_summary_region!G789</f>
        <v>3.3151889529999998</v>
      </c>
      <c r="H789">
        <f>[5]trip_summary_region!H789</f>
        <v>0.86646035669999999</v>
      </c>
      <c r="I789" t="str">
        <f>[5]trip_summary_region!I789</f>
        <v>Pedestrian</v>
      </c>
      <c r="J789" t="str">
        <f>[5]trip_summary_region!J789</f>
        <v>2027/28</v>
      </c>
    </row>
    <row r="790" spans="1:10" x14ac:dyDescent="0.2">
      <c r="A790" t="str">
        <f>[5]trip_summary_region!A790</f>
        <v>12 WEST COAST</v>
      </c>
      <c r="B790">
        <f>[5]trip_summary_region!B790</f>
        <v>0</v>
      </c>
      <c r="C790">
        <f>[5]trip_summary_region!C790</f>
        <v>2033</v>
      </c>
      <c r="D790">
        <f>[5]trip_summary_region!D790</f>
        <v>145</v>
      </c>
      <c r="E790">
        <f>[5]trip_summary_region!E790</f>
        <v>451</v>
      </c>
      <c r="F790">
        <f>[5]trip_summary_region!F790</f>
        <v>3.0950688073000001</v>
      </c>
      <c r="G790">
        <f>[5]trip_summary_region!G790</f>
        <v>3.0389517774999999</v>
      </c>
      <c r="H790">
        <f>[5]trip_summary_region!H790</f>
        <v>0.79904169420000004</v>
      </c>
      <c r="I790" t="str">
        <f>[5]trip_summary_region!I790</f>
        <v>Pedestrian</v>
      </c>
      <c r="J790" t="str">
        <f>[5]trip_summary_region!J790</f>
        <v>2032/33</v>
      </c>
    </row>
    <row r="791" spans="1:10" x14ac:dyDescent="0.2">
      <c r="A791" t="str">
        <f>[5]trip_summary_region!A791</f>
        <v>12 WEST COAST</v>
      </c>
      <c r="B791">
        <f>[5]trip_summary_region!B791</f>
        <v>0</v>
      </c>
      <c r="C791">
        <f>[5]trip_summary_region!C791</f>
        <v>2038</v>
      </c>
      <c r="D791">
        <f>[5]trip_summary_region!D791</f>
        <v>145</v>
      </c>
      <c r="E791">
        <f>[5]trip_summary_region!E791</f>
        <v>451</v>
      </c>
      <c r="F791">
        <f>[5]trip_summary_region!F791</f>
        <v>2.7792742825999999</v>
      </c>
      <c r="G791">
        <f>[5]trip_summary_region!G791</f>
        <v>2.8294160401999999</v>
      </c>
      <c r="H791">
        <f>[5]trip_summary_region!H791</f>
        <v>0.74425630769999995</v>
      </c>
      <c r="I791" t="str">
        <f>[5]trip_summary_region!I791</f>
        <v>Pedestrian</v>
      </c>
      <c r="J791" t="str">
        <f>[5]trip_summary_region!J791</f>
        <v>2037/38</v>
      </c>
    </row>
    <row r="792" spans="1:10" x14ac:dyDescent="0.2">
      <c r="A792" t="str">
        <f>[5]trip_summary_region!A792</f>
        <v>12 WEST COAST</v>
      </c>
      <c r="B792">
        <f>[5]trip_summary_region!B792</f>
        <v>0</v>
      </c>
      <c r="C792">
        <f>[5]trip_summary_region!C792</f>
        <v>2043</v>
      </c>
      <c r="D792">
        <f>[5]trip_summary_region!D792</f>
        <v>145</v>
      </c>
      <c r="E792">
        <f>[5]trip_summary_region!E792</f>
        <v>451</v>
      </c>
      <c r="F792">
        <f>[5]trip_summary_region!F792</f>
        <v>2.5520224347</v>
      </c>
      <c r="G792">
        <f>[5]trip_summary_region!G792</f>
        <v>2.6887883109000001</v>
      </c>
      <c r="H792">
        <f>[5]trip_summary_region!H792</f>
        <v>0.70358593709999995</v>
      </c>
      <c r="I792" t="str">
        <f>[5]trip_summary_region!I792</f>
        <v>Pedestrian</v>
      </c>
      <c r="J792" t="str">
        <f>[5]trip_summary_region!J792</f>
        <v>2042/43</v>
      </c>
    </row>
    <row r="793" spans="1:10" x14ac:dyDescent="0.2">
      <c r="A793" t="str">
        <f>[5]trip_summary_region!A793</f>
        <v>12 WEST COAST</v>
      </c>
      <c r="B793">
        <f>[5]trip_summary_region!B793</f>
        <v>1</v>
      </c>
      <c r="C793">
        <f>[5]trip_summary_region!C793</f>
        <v>2013</v>
      </c>
      <c r="D793">
        <f>[5]trip_summary_region!D793</f>
        <v>23</v>
      </c>
      <c r="E793">
        <f>[5]trip_summary_region!E793</f>
        <v>75</v>
      </c>
      <c r="F793">
        <f>[5]trip_summary_region!F793</f>
        <v>0.73381292249999996</v>
      </c>
      <c r="G793">
        <f>[5]trip_summary_region!G793</f>
        <v>1.9571055828999999</v>
      </c>
      <c r="H793">
        <f>[5]trip_summary_region!H793</f>
        <v>0.17528853950000001</v>
      </c>
      <c r="I793" t="str">
        <f>[5]trip_summary_region!I793</f>
        <v>Cyclist</v>
      </c>
      <c r="J793" t="str">
        <f>[5]trip_summary_region!J793</f>
        <v>2012/13</v>
      </c>
    </row>
    <row r="794" spans="1:10" x14ac:dyDescent="0.2">
      <c r="A794" t="str">
        <f>[5]trip_summary_region!A794</f>
        <v>12 WEST COAST</v>
      </c>
      <c r="B794">
        <f>[5]trip_summary_region!B794</f>
        <v>1</v>
      </c>
      <c r="C794">
        <f>[5]trip_summary_region!C794</f>
        <v>2018</v>
      </c>
      <c r="D794">
        <f>[5]trip_summary_region!D794</f>
        <v>23</v>
      </c>
      <c r="E794">
        <f>[5]trip_summary_region!E794</f>
        <v>75</v>
      </c>
      <c r="F794">
        <f>[5]trip_summary_region!F794</f>
        <v>0.6496205665</v>
      </c>
      <c r="G794">
        <f>[5]trip_summary_region!G794</f>
        <v>1.8228852137</v>
      </c>
      <c r="H794">
        <f>[5]trip_summary_region!H794</f>
        <v>0.15610228670000001</v>
      </c>
      <c r="I794" t="str">
        <f>[5]trip_summary_region!I794</f>
        <v>Cyclist</v>
      </c>
      <c r="J794" t="str">
        <f>[5]trip_summary_region!J794</f>
        <v>2017/18</v>
      </c>
    </row>
    <row r="795" spans="1:10" x14ac:dyDescent="0.2">
      <c r="A795" t="str">
        <f>[5]trip_summary_region!A795</f>
        <v>12 WEST COAST</v>
      </c>
      <c r="B795">
        <f>[5]trip_summary_region!B795</f>
        <v>1</v>
      </c>
      <c r="C795">
        <f>[5]trip_summary_region!C795</f>
        <v>2023</v>
      </c>
      <c r="D795">
        <f>[5]trip_summary_region!D795</f>
        <v>23</v>
      </c>
      <c r="E795">
        <f>[5]trip_summary_region!E795</f>
        <v>75</v>
      </c>
      <c r="F795">
        <f>[5]trip_summary_region!F795</f>
        <v>0.61162800500000003</v>
      </c>
      <c r="G795">
        <f>[5]trip_summary_region!G795</f>
        <v>1.803283505</v>
      </c>
      <c r="H795">
        <f>[5]trip_summary_region!H795</f>
        <v>0.1469060224</v>
      </c>
      <c r="I795" t="str">
        <f>[5]trip_summary_region!I795</f>
        <v>Cyclist</v>
      </c>
      <c r="J795" t="str">
        <f>[5]trip_summary_region!J795</f>
        <v>2022/23</v>
      </c>
    </row>
    <row r="796" spans="1:10" x14ac:dyDescent="0.2">
      <c r="A796" t="str">
        <f>[5]trip_summary_region!A796</f>
        <v>12 WEST COAST</v>
      </c>
      <c r="B796">
        <f>[5]trip_summary_region!B796</f>
        <v>1</v>
      </c>
      <c r="C796">
        <f>[5]trip_summary_region!C796</f>
        <v>2028</v>
      </c>
      <c r="D796">
        <f>[5]trip_summary_region!D796</f>
        <v>23</v>
      </c>
      <c r="E796">
        <f>[5]trip_summary_region!E796</f>
        <v>75</v>
      </c>
      <c r="F796">
        <f>[5]trip_summary_region!F796</f>
        <v>0.56921507090000001</v>
      </c>
      <c r="G796">
        <f>[5]trip_summary_region!G796</f>
        <v>1.6766130011</v>
      </c>
      <c r="H796">
        <f>[5]trip_summary_region!H796</f>
        <v>0.13270942499999999</v>
      </c>
      <c r="I796" t="str">
        <f>[5]trip_summary_region!I796</f>
        <v>Cyclist</v>
      </c>
      <c r="J796" t="str">
        <f>[5]trip_summary_region!J796</f>
        <v>2027/28</v>
      </c>
    </row>
    <row r="797" spans="1:10" x14ac:dyDescent="0.2">
      <c r="A797" t="str">
        <f>[5]trip_summary_region!A797</f>
        <v>12 WEST COAST</v>
      </c>
      <c r="B797">
        <f>[5]trip_summary_region!B797</f>
        <v>1</v>
      </c>
      <c r="C797">
        <f>[5]trip_summary_region!C797</f>
        <v>2033</v>
      </c>
      <c r="D797">
        <f>[5]trip_summary_region!D797</f>
        <v>23</v>
      </c>
      <c r="E797">
        <f>[5]trip_summary_region!E797</f>
        <v>75</v>
      </c>
      <c r="F797">
        <f>[5]trip_summary_region!F797</f>
        <v>0.51175195009999996</v>
      </c>
      <c r="G797">
        <f>[5]trip_summary_region!G797</f>
        <v>1.5613640509</v>
      </c>
      <c r="H797">
        <f>[5]trip_summary_region!H797</f>
        <v>0.11794603250000001</v>
      </c>
      <c r="I797" t="str">
        <f>[5]trip_summary_region!I797</f>
        <v>Cyclist</v>
      </c>
      <c r="J797" t="str">
        <f>[5]trip_summary_region!J797</f>
        <v>2032/33</v>
      </c>
    </row>
    <row r="798" spans="1:10" x14ac:dyDescent="0.2">
      <c r="A798" t="str">
        <f>[5]trip_summary_region!A798</f>
        <v>12 WEST COAST</v>
      </c>
      <c r="B798">
        <f>[5]trip_summary_region!B798</f>
        <v>1</v>
      </c>
      <c r="C798">
        <f>[5]trip_summary_region!C798</f>
        <v>2038</v>
      </c>
      <c r="D798">
        <f>[5]trip_summary_region!D798</f>
        <v>23</v>
      </c>
      <c r="E798">
        <f>[5]trip_summary_region!E798</f>
        <v>75</v>
      </c>
      <c r="F798">
        <f>[5]trip_summary_region!F798</f>
        <v>0.46584258490000002</v>
      </c>
      <c r="G798">
        <f>[5]trip_summary_region!G798</f>
        <v>1.5381831469</v>
      </c>
      <c r="H798">
        <f>[5]trip_summary_region!H798</f>
        <v>0.10757323570000001</v>
      </c>
      <c r="I798" t="str">
        <f>[5]trip_summary_region!I798</f>
        <v>Cyclist</v>
      </c>
      <c r="J798" t="str">
        <f>[5]trip_summary_region!J798</f>
        <v>2037/38</v>
      </c>
    </row>
    <row r="799" spans="1:10" x14ac:dyDescent="0.2">
      <c r="A799" t="str">
        <f>[5]trip_summary_region!A799</f>
        <v>12 WEST COAST</v>
      </c>
      <c r="B799">
        <f>[5]trip_summary_region!B799</f>
        <v>1</v>
      </c>
      <c r="C799">
        <f>[5]trip_summary_region!C799</f>
        <v>2043</v>
      </c>
      <c r="D799">
        <f>[5]trip_summary_region!D799</f>
        <v>23</v>
      </c>
      <c r="E799">
        <f>[5]trip_summary_region!E799</f>
        <v>75</v>
      </c>
      <c r="F799">
        <f>[5]trip_summary_region!F799</f>
        <v>0.4228663735</v>
      </c>
      <c r="G799">
        <f>[5]trip_summary_region!G799</f>
        <v>1.5031197542000001</v>
      </c>
      <c r="H799">
        <f>[5]trip_summary_region!H799</f>
        <v>9.7932925500000004E-2</v>
      </c>
      <c r="I799" t="str">
        <f>[5]trip_summary_region!I799</f>
        <v>Cyclist</v>
      </c>
      <c r="J799" t="str">
        <f>[5]trip_summary_region!J799</f>
        <v>2042/43</v>
      </c>
    </row>
    <row r="800" spans="1:10" x14ac:dyDescent="0.2">
      <c r="A800" t="str">
        <f>[5]trip_summary_region!A800</f>
        <v>12 WEST COAST</v>
      </c>
      <c r="B800">
        <f>[5]trip_summary_region!B800</f>
        <v>2</v>
      </c>
      <c r="C800">
        <f>[5]trip_summary_region!C800</f>
        <v>2013</v>
      </c>
      <c r="D800">
        <f>[5]trip_summary_region!D800</f>
        <v>269</v>
      </c>
      <c r="E800">
        <f>[5]trip_summary_region!E800</f>
        <v>1828</v>
      </c>
      <c r="F800">
        <f>[5]trip_summary_region!F800</f>
        <v>21.329902885999999</v>
      </c>
      <c r="G800">
        <f>[5]trip_summary_region!G800</f>
        <v>226.22434741999999</v>
      </c>
      <c r="H800">
        <f>[5]trip_summary_region!H800</f>
        <v>5.0852916584000001</v>
      </c>
      <c r="I800" t="str">
        <f>[5]trip_summary_region!I800</f>
        <v>Light Vehicle Driver</v>
      </c>
      <c r="J800" t="str">
        <f>[5]trip_summary_region!J800</f>
        <v>2012/13</v>
      </c>
    </row>
    <row r="801" spans="1:10" x14ac:dyDescent="0.2">
      <c r="A801" t="str">
        <f>[5]trip_summary_region!A801</f>
        <v>12 WEST COAST</v>
      </c>
      <c r="B801">
        <f>[5]trip_summary_region!B801</f>
        <v>2</v>
      </c>
      <c r="C801">
        <f>[5]trip_summary_region!C801</f>
        <v>2018</v>
      </c>
      <c r="D801">
        <f>[5]trip_summary_region!D801</f>
        <v>269</v>
      </c>
      <c r="E801">
        <f>[5]trip_summary_region!E801</f>
        <v>1828</v>
      </c>
      <c r="F801">
        <f>[5]trip_summary_region!F801</f>
        <v>19.239156645000001</v>
      </c>
      <c r="G801">
        <f>[5]trip_summary_region!G801</f>
        <v>209.51051222999999</v>
      </c>
      <c r="H801">
        <f>[5]trip_summary_region!H801</f>
        <v>4.6618041889999997</v>
      </c>
      <c r="I801" t="str">
        <f>[5]trip_summary_region!I801</f>
        <v>Light Vehicle Driver</v>
      </c>
      <c r="J801" t="str">
        <f>[5]trip_summary_region!J801</f>
        <v>2017/18</v>
      </c>
    </row>
    <row r="802" spans="1:10" x14ac:dyDescent="0.2">
      <c r="A802" t="str">
        <f>[5]trip_summary_region!A802</f>
        <v>12 WEST COAST</v>
      </c>
      <c r="B802">
        <f>[5]trip_summary_region!B802</f>
        <v>2</v>
      </c>
      <c r="C802">
        <f>[5]trip_summary_region!C802</f>
        <v>2023</v>
      </c>
      <c r="D802">
        <f>[5]trip_summary_region!D802</f>
        <v>269</v>
      </c>
      <c r="E802">
        <f>[5]trip_summary_region!E802</f>
        <v>1828</v>
      </c>
      <c r="F802">
        <f>[5]trip_summary_region!F802</f>
        <v>18.054143529000001</v>
      </c>
      <c r="G802">
        <f>[5]trip_summary_region!G802</f>
        <v>203.90634713</v>
      </c>
      <c r="H802">
        <f>[5]trip_summary_region!H802</f>
        <v>4.4690901327999999</v>
      </c>
      <c r="I802" t="str">
        <f>[5]trip_summary_region!I802</f>
        <v>Light Vehicle Driver</v>
      </c>
      <c r="J802" t="str">
        <f>[5]trip_summary_region!J802</f>
        <v>2022/23</v>
      </c>
    </row>
    <row r="803" spans="1:10" x14ac:dyDescent="0.2">
      <c r="A803" t="str">
        <f>[5]trip_summary_region!A803</f>
        <v>12 WEST COAST</v>
      </c>
      <c r="B803">
        <f>[5]trip_summary_region!B803</f>
        <v>2</v>
      </c>
      <c r="C803">
        <f>[5]trip_summary_region!C803</f>
        <v>2028</v>
      </c>
      <c r="D803">
        <f>[5]trip_summary_region!D803</f>
        <v>269</v>
      </c>
      <c r="E803">
        <f>[5]trip_summary_region!E803</f>
        <v>1828</v>
      </c>
      <c r="F803">
        <f>[5]trip_summary_region!F803</f>
        <v>16.810062990999999</v>
      </c>
      <c r="G803">
        <f>[5]trip_summary_region!G803</f>
        <v>194.45426176000001</v>
      </c>
      <c r="H803">
        <f>[5]trip_summary_region!H803</f>
        <v>4.2228281684000004</v>
      </c>
      <c r="I803" t="str">
        <f>[5]trip_summary_region!I803</f>
        <v>Light Vehicle Driver</v>
      </c>
      <c r="J803" t="str">
        <f>[5]trip_summary_region!J803</f>
        <v>2027/28</v>
      </c>
    </row>
    <row r="804" spans="1:10" x14ac:dyDescent="0.2">
      <c r="A804" t="str">
        <f>[5]trip_summary_region!A804</f>
        <v>12 WEST COAST</v>
      </c>
      <c r="B804">
        <f>[5]trip_summary_region!B804</f>
        <v>2</v>
      </c>
      <c r="C804">
        <f>[5]trip_summary_region!C804</f>
        <v>2033</v>
      </c>
      <c r="D804">
        <f>[5]trip_summary_region!D804</f>
        <v>269</v>
      </c>
      <c r="E804">
        <f>[5]trip_summary_region!E804</f>
        <v>1828</v>
      </c>
      <c r="F804">
        <f>[5]trip_summary_region!F804</f>
        <v>15.441342178999999</v>
      </c>
      <c r="G804">
        <f>[5]trip_summary_region!G804</f>
        <v>182.53431534000001</v>
      </c>
      <c r="H804">
        <f>[5]trip_summary_region!H804</f>
        <v>3.9289435298000002</v>
      </c>
      <c r="I804" t="str">
        <f>[5]trip_summary_region!I804</f>
        <v>Light Vehicle Driver</v>
      </c>
      <c r="J804" t="str">
        <f>[5]trip_summary_region!J804</f>
        <v>2032/33</v>
      </c>
    </row>
    <row r="805" spans="1:10" x14ac:dyDescent="0.2">
      <c r="A805" t="str">
        <f>[5]trip_summary_region!A805</f>
        <v>12 WEST COAST</v>
      </c>
      <c r="B805">
        <f>[5]trip_summary_region!B805</f>
        <v>2</v>
      </c>
      <c r="C805">
        <f>[5]trip_summary_region!C805</f>
        <v>2038</v>
      </c>
      <c r="D805">
        <f>[5]trip_summary_region!D805</f>
        <v>269</v>
      </c>
      <c r="E805">
        <f>[5]trip_summary_region!E805</f>
        <v>1828</v>
      </c>
      <c r="F805">
        <f>[5]trip_summary_region!F805</f>
        <v>14.485827521999999</v>
      </c>
      <c r="G805">
        <f>[5]trip_summary_region!G805</f>
        <v>175.9263808</v>
      </c>
      <c r="H805">
        <f>[5]trip_summary_region!H805</f>
        <v>3.7410029504</v>
      </c>
      <c r="I805" t="str">
        <f>[5]trip_summary_region!I805</f>
        <v>Light Vehicle Driver</v>
      </c>
      <c r="J805" t="str">
        <f>[5]trip_summary_region!J805</f>
        <v>2037/38</v>
      </c>
    </row>
    <row r="806" spans="1:10" x14ac:dyDescent="0.2">
      <c r="A806" t="str">
        <f>[5]trip_summary_region!A806</f>
        <v>12 WEST COAST</v>
      </c>
      <c r="B806">
        <f>[5]trip_summary_region!B806</f>
        <v>2</v>
      </c>
      <c r="C806">
        <f>[5]trip_summary_region!C806</f>
        <v>2043</v>
      </c>
      <c r="D806">
        <f>[5]trip_summary_region!D806</f>
        <v>269</v>
      </c>
      <c r="E806">
        <f>[5]trip_summary_region!E806</f>
        <v>1828</v>
      </c>
      <c r="F806">
        <f>[5]trip_summary_region!F806</f>
        <v>13.618298472999999</v>
      </c>
      <c r="G806">
        <f>[5]trip_summary_region!G806</f>
        <v>170.19698427</v>
      </c>
      <c r="H806">
        <f>[5]trip_summary_region!H806</f>
        <v>3.5716228928999998</v>
      </c>
      <c r="I806" t="str">
        <f>[5]trip_summary_region!I806</f>
        <v>Light Vehicle Driver</v>
      </c>
      <c r="J806" t="str">
        <f>[5]trip_summary_region!J806</f>
        <v>2042/43</v>
      </c>
    </row>
    <row r="807" spans="1:10" x14ac:dyDescent="0.2">
      <c r="A807" t="str">
        <f>[5]trip_summary_region!A807</f>
        <v>12 WEST COAST</v>
      </c>
      <c r="B807">
        <f>[5]trip_summary_region!B807</f>
        <v>3</v>
      </c>
      <c r="C807">
        <f>[5]trip_summary_region!C807</f>
        <v>2013</v>
      </c>
      <c r="D807">
        <f>[5]trip_summary_region!D807</f>
        <v>210</v>
      </c>
      <c r="E807">
        <f>[5]trip_summary_region!E807</f>
        <v>1017</v>
      </c>
      <c r="F807">
        <f>[5]trip_summary_region!F807</f>
        <v>11.090105214999999</v>
      </c>
      <c r="G807">
        <f>[5]trip_summary_region!G807</f>
        <v>160.37072223999999</v>
      </c>
      <c r="H807">
        <f>[5]trip_summary_region!H807</f>
        <v>3.4140139011000001</v>
      </c>
      <c r="I807" t="str">
        <f>[5]trip_summary_region!I807</f>
        <v>Light Vehicle Passenger</v>
      </c>
      <c r="J807" t="str">
        <f>[5]trip_summary_region!J807</f>
        <v>2012/13</v>
      </c>
    </row>
    <row r="808" spans="1:10" x14ac:dyDescent="0.2">
      <c r="A808" t="str">
        <f>[5]trip_summary_region!A808</f>
        <v>12 WEST COAST</v>
      </c>
      <c r="B808">
        <f>[5]trip_summary_region!B808</f>
        <v>3</v>
      </c>
      <c r="C808">
        <f>[5]trip_summary_region!C808</f>
        <v>2018</v>
      </c>
      <c r="D808">
        <f>[5]trip_summary_region!D808</f>
        <v>210</v>
      </c>
      <c r="E808">
        <f>[5]trip_summary_region!E808</f>
        <v>1017</v>
      </c>
      <c r="F808">
        <f>[5]trip_summary_region!F808</f>
        <v>9.4384707665000001</v>
      </c>
      <c r="G808">
        <f>[5]trip_summary_region!G808</f>
        <v>146.01621342999999</v>
      </c>
      <c r="H808">
        <f>[5]trip_summary_region!H808</f>
        <v>3.0998713610999999</v>
      </c>
      <c r="I808" t="str">
        <f>[5]trip_summary_region!I808</f>
        <v>Light Vehicle Passenger</v>
      </c>
      <c r="J808" t="str">
        <f>[5]trip_summary_region!J808</f>
        <v>2017/18</v>
      </c>
    </row>
    <row r="809" spans="1:10" x14ac:dyDescent="0.2">
      <c r="A809" t="str">
        <f>[5]trip_summary_region!A809</f>
        <v>12 WEST COAST</v>
      </c>
      <c r="B809">
        <f>[5]trip_summary_region!B809</f>
        <v>3</v>
      </c>
      <c r="C809">
        <f>[5]trip_summary_region!C809</f>
        <v>2023</v>
      </c>
      <c r="D809">
        <f>[5]trip_summary_region!D809</f>
        <v>210</v>
      </c>
      <c r="E809">
        <f>[5]trip_summary_region!E809</f>
        <v>1017</v>
      </c>
      <c r="F809">
        <f>[5]trip_summary_region!F809</f>
        <v>8.6746145019000007</v>
      </c>
      <c r="G809">
        <f>[5]trip_summary_region!G809</f>
        <v>141.67665869999999</v>
      </c>
      <c r="H809">
        <f>[5]trip_summary_region!H809</f>
        <v>3.0155308184999998</v>
      </c>
      <c r="I809" t="str">
        <f>[5]trip_summary_region!I809</f>
        <v>Light Vehicle Passenger</v>
      </c>
      <c r="J809" t="str">
        <f>[5]trip_summary_region!J809</f>
        <v>2022/23</v>
      </c>
    </row>
    <row r="810" spans="1:10" x14ac:dyDescent="0.2">
      <c r="A810" t="str">
        <f>[5]trip_summary_region!A810</f>
        <v>12 WEST COAST</v>
      </c>
      <c r="B810">
        <f>[5]trip_summary_region!B810</f>
        <v>3</v>
      </c>
      <c r="C810">
        <f>[5]trip_summary_region!C810</f>
        <v>2028</v>
      </c>
      <c r="D810">
        <f>[5]trip_summary_region!D810</f>
        <v>210</v>
      </c>
      <c r="E810">
        <f>[5]trip_summary_region!E810</f>
        <v>1017</v>
      </c>
      <c r="F810">
        <f>[5]trip_summary_region!F810</f>
        <v>8.0035270527000009</v>
      </c>
      <c r="G810">
        <f>[5]trip_summary_region!G810</f>
        <v>136.87583522</v>
      </c>
      <c r="H810">
        <f>[5]trip_summary_region!H810</f>
        <v>2.9222337990999998</v>
      </c>
      <c r="I810" t="str">
        <f>[5]trip_summary_region!I810</f>
        <v>Light Vehicle Passenger</v>
      </c>
      <c r="J810" t="str">
        <f>[5]trip_summary_region!J810</f>
        <v>2027/28</v>
      </c>
    </row>
    <row r="811" spans="1:10" x14ac:dyDescent="0.2">
      <c r="A811" t="str">
        <f>[5]trip_summary_region!A811</f>
        <v>12 WEST COAST</v>
      </c>
      <c r="B811">
        <f>[5]trip_summary_region!B811</f>
        <v>3</v>
      </c>
      <c r="C811">
        <f>[5]trip_summary_region!C811</f>
        <v>2033</v>
      </c>
      <c r="D811">
        <f>[5]trip_summary_region!D811</f>
        <v>210</v>
      </c>
      <c r="E811">
        <f>[5]trip_summary_region!E811</f>
        <v>1017</v>
      </c>
      <c r="F811">
        <f>[5]trip_summary_region!F811</f>
        <v>7.2595228923999997</v>
      </c>
      <c r="G811">
        <f>[5]trip_summary_region!G811</f>
        <v>127.14983904</v>
      </c>
      <c r="H811">
        <f>[5]trip_summary_region!H811</f>
        <v>2.7394488368999999</v>
      </c>
      <c r="I811" t="str">
        <f>[5]trip_summary_region!I811</f>
        <v>Light Vehicle Passenger</v>
      </c>
      <c r="J811" t="str">
        <f>[5]trip_summary_region!J811</f>
        <v>2032/33</v>
      </c>
    </row>
    <row r="812" spans="1:10" x14ac:dyDescent="0.2">
      <c r="A812" t="str">
        <f>[5]trip_summary_region!A812</f>
        <v>12 WEST COAST</v>
      </c>
      <c r="B812">
        <f>[5]trip_summary_region!B812</f>
        <v>3</v>
      </c>
      <c r="C812">
        <f>[5]trip_summary_region!C812</f>
        <v>2038</v>
      </c>
      <c r="D812">
        <f>[5]trip_summary_region!D812</f>
        <v>210</v>
      </c>
      <c r="E812">
        <f>[5]trip_summary_region!E812</f>
        <v>1017</v>
      </c>
      <c r="F812">
        <f>[5]trip_summary_region!F812</f>
        <v>6.5447979752999998</v>
      </c>
      <c r="G812">
        <f>[5]trip_summary_region!G812</f>
        <v>118.99072477</v>
      </c>
      <c r="H812">
        <f>[5]trip_summary_region!H812</f>
        <v>2.5488300141</v>
      </c>
      <c r="I812" t="str">
        <f>[5]trip_summary_region!I812</f>
        <v>Light Vehicle Passenger</v>
      </c>
      <c r="J812" t="str">
        <f>[5]trip_summary_region!J812</f>
        <v>2037/38</v>
      </c>
    </row>
    <row r="813" spans="1:10" x14ac:dyDescent="0.2">
      <c r="A813" t="str">
        <f>[5]trip_summary_region!A813</f>
        <v>12 WEST COAST</v>
      </c>
      <c r="B813">
        <f>[5]trip_summary_region!B813</f>
        <v>3</v>
      </c>
      <c r="C813">
        <f>[5]trip_summary_region!C813</f>
        <v>2043</v>
      </c>
      <c r="D813">
        <f>[5]trip_summary_region!D813</f>
        <v>210</v>
      </c>
      <c r="E813">
        <f>[5]trip_summary_region!E813</f>
        <v>1017</v>
      </c>
      <c r="F813">
        <f>[5]trip_summary_region!F813</f>
        <v>5.9129659112999997</v>
      </c>
      <c r="G813">
        <f>[5]trip_summary_region!G813</f>
        <v>111.90600069</v>
      </c>
      <c r="H813">
        <f>[5]trip_summary_region!H813</f>
        <v>2.3730853270000001</v>
      </c>
      <c r="I813" t="str">
        <f>[5]trip_summary_region!I813</f>
        <v>Light Vehicle Passenger</v>
      </c>
      <c r="J813" t="str">
        <f>[5]trip_summary_region!J813</f>
        <v>2042/43</v>
      </c>
    </row>
    <row r="814" spans="1:10" x14ac:dyDescent="0.2">
      <c r="A814" t="str">
        <f>[5]trip_summary_region!A814</f>
        <v>12 WEST COAST</v>
      </c>
      <c r="B814">
        <f>[5]trip_summary_region!B814</f>
        <v>4</v>
      </c>
      <c r="C814">
        <f>[5]trip_summary_region!C814</f>
        <v>2013</v>
      </c>
      <c r="D814">
        <f>[5]trip_summary_region!D814</f>
        <v>12</v>
      </c>
      <c r="E814">
        <f>[5]trip_summary_region!E814</f>
        <v>23</v>
      </c>
      <c r="F814">
        <f>[5]trip_summary_region!F814</f>
        <v>0.29973375209999997</v>
      </c>
      <c r="G814">
        <f>[5]trip_summary_region!G814</f>
        <v>1.6916956777000001</v>
      </c>
      <c r="H814">
        <f>[5]trip_summary_region!H814</f>
        <v>6.5507808299999998E-2</v>
      </c>
      <c r="I814" t="s">
        <v>116</v>
      </c>
      <c r="J814" t="str">
        <f>[5]trip_summary_region!J814</f>
        <v>2012/13</v>
      </c>
    </row>
    <row r="815" spans="1:10" x14ac:dyDescent="0.2">
      <c r="A815" t="str">
        <f>[5]trip_summary_region!A815</f>
        <v>12 WEST COAST</v>
      </c>
      <c r="B815">
        <f>[5]trip_summary_region!B815</f>
        <v>4</v>
      </c>
      <c r="C815">
        <f>[5]trip_summary_region!C815</f>
        <v>2018</v>
      </c>
      <c r="D815">
        <f>[5]trip_summary_region!D815</f>
        <v>12</v>
      </c>
      <c r="E815">
        <f>[5]trip_summary_region!E815</f>
        <v>23</v>
      </c>
      <c r="F815">
        <f>[5]trip_summary_region!F815</f>
        <v>0.32214121179999999</v>
      </c>
      <c r="G815">
        <f>[5]trip_summary_region!G815</f>
        <v>1.8375639989000001</v>
      </c>
      <c r="H815">
        <f>[5]trip_summary_region!H815</f>
        <v>7.1300211299999999E-2</v>
      </c>
      <c r="I815" t="s">
        <v>116</v>
      </c>
      <c r="J815" t="str">
        <f>[5]trip_summary_region!J815</f>
        <v>2017/18</v>
      </c>
    </row>
    <row r="816" spans="1:10" x14ac:dyDescent="0.2">
      <c r="A816" t="str">
        <f>[5]trip_summary_region!A816</f>
        <v>12 WEST COAST</v>
      </c>
      <c r="B816">
        <f>[5]trip_summary_region!B816</f>
        <v>4</v>
      </c>
      <c r="C816">
        <f>[5]trip_summary_region!C816</f>
        <v>2023</v>
      </c>
      <c r="D816">
        <f>[5]trip_summary_region!D816</f>
        <v>12</v>
      </c>
      <c r="E816">
        <f>[5]trip_summary_region!E816</f>
        <v>23</v>
      </c>
      <c r="F816">
        <f>[5]trip_summary_region!F816</f>
        <v>0.3590997742</v>
      </c>
      <c r="G816">
        <f>[5]trip_summary_region!G816</f>
        <v>2.0523080788999999</v>
      </c>
      <c r="H816">
        <f>[5]trip_summary_region!H816</f>
        <v>8.04136872E-2</v>
      </c>
      <c r="I816" t="s">
        <v>116</v>
      </c>
      <c r="J816" t="str">
        <f>[5]trip_summary_region!J816</f>
        <v>2022/23</v>
      </c>
    </row>
    <row r="817" spans="1:10" x14ac:dyDescent="0.2">
      <c r="A817" t="str">
        <f>[5]trip_summary_region!A817</f>
        <v>12 WEST COAST</v>
      </c>
      <c r="B817">
        <f>[5]trip_summary_region!B817</f>
        <v>4</v>
      </c>
      <c r="C817">
        <f>[5]trip_summary_region!C817</f>
        <v>2028</v>
      </c>
      <c r="D817">
        <f>[5]trip_summary_region!D817</f>
        <v>12</v>
      </c>
      <c r="E817">
        <f>[5]trip_summary_region!E817</f>
        <v>23</v>
      </c>
      <c r="F817">
        <f>[5]trip_summary_region!F817</f>
        <v>0.34218862729999999</v>
      </c>
      <c r="G817">
        <f>[5]trip_summary_region!G817</f>
        <v>2.1615845995999998</v>
      </c>
      <c r="H817">
        <f>[5]trip_summary_region!H817</f>
        <v>7.9303467099999997E-2</v>
      </c>
      <c r="I817" t="s">
        <v>116</v>
      </c>
      <c r="J817" t="str">
        <f>[5]trip_summary_region!J817</f>
        <v>2027/28</v>
      </c>
    </row>
    <row r="818" spans="1:10" x14ac:dyDescent="0.2">
      <c r="A818" t="str">
        <f>[5]trip_summary_region!A818</f>
        <v>12 WEST COAST</v>
      </c>
      <c r="B818">
        <f>[5]trip_summary_region!B818</f>
        <v>4</v>
      </c>
      <c r="C818">
        <f>[5]trip_summary_region!C818</f>
        <v>2033</v>
      </c>
      <c r="D818">
        <f>[5]trip_summary_region!D818</f>
        <v>12</v>
      </c>
      <c r="E818">
        <f>[5]trip_summary_region!E818</f>
        <v>23</v>
      </c>
      <c r="F818">
        <f>[5]trip_summary_region!F818</f>
        <v>0.31229135479999998</v>
      </c>
      <c r="G818">
        <f>[5]trip_summary_region!G818</f>
        <v>2.0841076073</v>
      </c>
      <c r="H818">
        <f>[5]trip_summary_region!H818</f>
        <v>7.3634606300000002E-2</v>
      </c>
      <c r="I818" t="s">
        <v>116</v>
      </c>
      <c r="J818" t="str">
        <f>[5]trip_summary_region!J818</f>
        <v>2032/33</v>
      </c>
    </row>
    <row r="819" spans="1:10" x14ac:dyDescent="0.2">
      <c r="A819" t="str">
        <f>[5]trip_summary_region!A819</f>
        <v>12 WEST COAST</v>
      </c>
      <c r="B819">
        <f>[5]trip_summary_region!B819</f>
        <v>4</v>
      </c>
      <c r="C819">
        <f>[5]trip_summary_region!C819</f>
        <v>2038</v>
      </c>
      <c r="D819">
        <f>[5]trip_summary_region!D819</f>
        <v>12</v>
      </c>
      <c r="E819">
        <f>[5]trip_summary_region!E819</f>
        <v>23</v>
      </c>
      <c r="F819">
        <f>[5]trip_summary_region!F819</f>
        <v>0.2901873525</v>
      </c>
      <c r="G819">
        <f>[5]trip_summary_region!G819</f>
        <v>2.0546308450000001</v>
      </c>
      <c r="H819">
        <f>[5]trip_summary_region!H819</f>
        <v>6.9644723300000003E-2</v>
      </c>
      <c r="I819" t="s">
        <v>116</v>
      </c>
      <c r="J819" t="str">
        <f>[5]trip_summary_region!J819</f>
        <v>2037/38</v>
      </c>
    </row>
    <row r="820" spans="1:10" x14ac:dyDescent="0.2">
      <c r="A820" t="str">
        <f>[5]trip_summary_region!A820</f>
        <v>12 WEST COAST</v>
      </c>
      <c r="B820">
        <f>[5]trip_summary_region!B820</f>
        <v>4</v>
      </c>
      <c r="C820">
        <f>[5]trip_summary_region!C820</f>
        <v>2043</v>
      </c>
      <c r="D820">
        <f>[5]trip_summary_region!D820</f>
        <v>12</v>
      </c>
      <c r="E820">
        <f>[5]trip_summary_region!E820</f>
        <v>23</v>
      </c>
      <c r="F820">
        <f>[5]trip_summary_region!F820</f>
        <v>0.2677556385</v>
      </c>
      <c r="G820">
        <f>[5]trip_summary_region!G820</f>
        <v>1.9799005412999999</v>
      </c>
      <c r="H820">
        <f>[5]trip_summary_region!H820</f>
        <v>6.5098349099999994E-2</v>
      </c>
      <c r="I820" t="s">
        <v>116</v>
      </c>
      <c r="J820" t="str">
        <f>[5]trip_summary_region!J820</f>
        <v>2042/43</v>
      </c>
    </row>
    <row r="821" spans="1:10" x14ac:dyDescent="0.2">
      <c r="A821" t="str">
        <f>[5]trip_summary_region!A821</f>
        <v>12 WEST COAST</v>
      </c>
      <c r="B821">
        <f>[5]trip_summary_region!B821</f>
        <v>5</v>
      </c>
      <c r="C821">
        <f>[5]trip_summary_region!C821</f>
        <v>2013</v>
      </c>
      <c r="D821">
        <f>[5]trip_summary_region!D821</f>
        <v>2</v>
      </c>
      <c r="E821">
        <f>[5]trip_summary_region!E821</f>
        <v>5</v>
      </c>
      <c r="F821">
        <f>[5]trip_summary_region!F821</f>
        <v>6.1723256599999998E-2</v>
      </c>
      <c r="G821">
        <f>[5]trip_summary_region!G821</f>
        <v>0.29466348679999999</v>
      </c>
      <c r="H821">
        <f>[5]trip_summary_region!H821</f>
        <v>9.7989774000000005E-3</v>
      </c>
      <c r="I821" t="str">
        <f>[5]trip_summary_region!I821</f>
        <v>Motorcyclist</v>
      </c>
      <c r="J821" t="str">
        <f>[5]trip_summary_region!J821</f>
        <v>2012/13</v>
      </c>
    </row>
    <row r="822" spans="1:10" x14ac:dyDescent="0.2">
      <c r="A822" t="str">
        <f>[5]trip_summary_region!A822</f>
        <v>12 WEST COAST</v>
      </c>
      <c r="B822">
        <f>[5]trip_summary_region!B822</f>
        <v>5</v>
      </c>
      <c r="C822">
        <f>[5]trip_summary_region!C822</f>
        <v>2018</v>
      </c>
      <c r="D822">
        <f>[5]trip_summary_region!D822</f>
        <v>2</v>
      </c>
      <c r="E822">
        <f>[5]trip_summary_region!E822</f>
        <v>5</v>
      </c>
      <c r="F822">
        <f>[5]trip_summary_region!F822</f>
        <v>6.5401977200000003E-2</v>
      </c>
      <c r="G822">
        <f>[5]trip_summary_region!G822</f>
        <v>0.32418034159999998</v>
      </c>
      <c r="H822">
        <f>[5]trip_summary_region!H822</f>
        <v>1.0686040500000001E-2</v>
      </c>
      <c r="I822" t="str">
        <f>[5]trip_summary_region!I822</f>
        <v>Motorcyclist</v>
      </c>
      <c r="J822" t="str">
        <f>[5]trip_summary_region!J822</f>
        <v>2017/18</v>
      </c>
    </row>
    <row r="823" spans="1:10" x14ac:dyDescent="0.2">
      <c r="A823" t="str">
        <f>[5]trip_summary_region!A823</f>
        <v>12 WEST COAST</v>
      </c>
      <c r="B823">
        <f>[5]trip_summary_region!B823</f>
        <v>5</v>
      </c>
      <c r="C823">
        <f>[5]trip_summary_region!C823</f>
        <v>2023</v>
      </c>
      <c r="D823">
        <f>[5]trip_summary_region!D823</f>
        <v>2</v>
      </c>
      <c r="E823">
        <f>[5]trip_summary_region!E823</f>
        <v>5</v>
      </c>
      <c r="F823">
        <f>[5]trip_summary_region!F823</f>
        <v>7.0883292000000001E-2</v>
      </c>
      <c r="G823">
        <f>[5]trip_summary_region!G823</f>
        <v>0.34368688479999998</v>
      </c>
      <c r="H823">
        <f>[5]trip_summary_region!H823</f>
        <v>1.13873879E-2</v>
      </c>
      <c r="I823" t="str">
        <f>[5]trip_summary_region!I823</f>
        <v>Motorcyclist</v>
      </c>
      <c r="J823" t="str">
        <f>[5]trip_summary_region!J823</f>
        <v>2022/23</v>
      </c>
    </row>
    <row r="824" spans="1:10" x14ac:dyDescent="0.2">
      <c r="A824" t="str">
        <f>[5]trip_summary_region!A824</f>
        <v>12 WEST COAST</v>
      </c>
      <c r="B824">
        <f>[5]trip_summary_region!B824</f>
        <v>5</v>
      </c>
      <c r="C824">
        <f>[5]trip_summary_region!C824</f>
        <v>2028</v>
      </c>
      <c r="D824">
        <f>[5]trip_summary_region!D824</f>
        <v>2</v>
      </c>
      <c r="E824">
        <f>[5]trip_summary_region!E824</f>
        <v>5</v>
      </c>
      <c r="F824">
        <f>[5]trip_summary_region!F824</f>
        <v>7.4151093599999995E-2</v>
      </c>
      <c r="G824">
        <f>[5]trip_summary_region!G824</f>
        <v>0.35691425030000001</v>
      </c>
      <c r="H824">
        <f>[5]trip_summary_region!H824</f>
        <v>1.1846021700000001E-2</v>
      </c>
      <c r="I824" t="str">
        <f>[5]trip_summary_region!I824</f>
        <v>Motorcyclist</v>
      </c>
      <c r="J824" t="str">
        <f>[5]trip_summary_region!J824</f>
        <v>2027/28</v>
      </c>
    </row>
    <row r="825" spans="1:10" x14ac:dyDescent="0.2">
      <c r="A825" t="str">
        <f>[5]trip_summary_region!A825</f>
        <v>12 WEST COAST</v>
      </c>
      <c r="B825">
        <f>[5]trip_summary_region!B825</f>
        <v>5</v>
      </c>
      <c r="C825">
        <f>[5]trip_summary_region!C825</f>
        <v>2033</v>
      </c>
      <c r="D825">
        <f>[5]trip_summary_region!D825</f>
        <v>2</v>
      </c>
      <c r="E825">
        <f>[5]trip_summary_region!E825</f>
        <v>5</v>
      </c>
      <c r="F825">
        <f>[5]trip_summary_region!F825</f>
        <v>7.68775815E-2</v>
      </c>
      <c r="G825">
        <f>[5]trip_summary_region!G825</f>
        <v>0.37989372160000001</v>
      </c>
      <c r="H825">
        <f>[5]trip_summary_region!H825</f>
        <v>1.25314299E-2</v>
      </c>
      <c r="I825" t="str">
        <f>[5]trip_summary_region!I825</f>
        <v>Motorcyclist</v>
      </c>
      <c r="J825" t="str">
        <f>[5]trip_summary_region!J825</f>
        <v>2032/33</v>
      </c>
    </row>
    <row r="826" spans="1:10" x14ac:dyDescent="0.2">
      <c r="A826" t="str">
        <f>[5]trip_summary_region!A826</f>
        <v>12 WEST COAST</v>
      </c>
      <c r="B826">
        <f>[5]trip_summary_region!B826</f>
        <v>5</v>
      </c>
      <c r="C826">
        <f>[5]trip_summary_region!C826</f>
        <v>2038</v>
      </c>
      <c r="D826">
        <f>[5]trip_summary_region!D826</f>
        <v>2</v>
      </c>
      <c r="E826">
        <f>[5]trip_summary_region!E826</f>
        <v>5</v>
      </c>
      <c r="F826">
        <f>[5]trip_summary_region!F826</f>
        <v>8.0799788400000003E-2</v>
      </c>
      <c r="G826">
        <f>[5]trip_summary_region!G826</f>
        <v>0.40618520139999997</v>
      </c>
      <c r="H826">
        <f>[5]trip_summary_region!H826</f>
        <v>1.33459232E-2</v>
      </c>
      <c r="I826" t="str">
        <f>[5]trip_summary_region!I826</f>
        <v>Motorcyclist</v>
      </c>
      <c r="J826" t="str">
        <f>[5]trip_summary_region!J826</f>
        <v>2037/38</v>
      </c>
    </row>
    <row r="827" spans="1:10" x14ac:dyDescent="0.2">
      <c r="A827" t="str">
        <f>[5]trip_summary_region!A827</f>
        <v>12 WEST COAST</v>
      </c>
      <c r="B827">
        <f>[5]trip_summary_region!B827</f>
        <v>5</v>
      </c>
      <c r="C827">
        <f>[5]trip_summary_region!C827</f>
        <v>2043</v>
      </c>
      <c r="D827">
        <f>[5]trip_summary_region!D827</f>
        <v>2</v>
      </c>
      <c r="E827">
        <f>[5]trip_summary_region!E827</f>
        <v>5</v>
      </c>
      <c r="F827">
        <f>[5]trip_summary_region!F827</f>
        <v>8.1170841699999996E-2</v>
      </c>
      <c r="G827">
        <f>[5]trip_summary_region!G827</f>
        <v>0.41535099730000002</v>
      </c>
      <c r="H827">
        <f>[5]trip_summary_region!H827</f>
        <v>1.3592270300000001E-2</v>
      </c>
      <c r="I827" t="str">
        <f>[5]trip_summary_region!I827</f>
        <v>Motorcyclist</v>
      </c>
      <c r="J827" t="str">
        <f>[5]trip_summary_region!J827</f>
        <v>2042/43</v>
      </c>
    </row>
    <row r="828" spans="1:10" x14ac:dyDescent="0.2">
      <c r="A828" t="str">
        <f>[5]trip_summary_region!A828</f>
        <v>12 WEST COAST</v>
      </c>
      <c r="B828">
        <f>[5]trip_summary_region!B828</f>
        <v>7</v>
      </c>
      <c r="C828">
        <f>[5]trip_summary_region!C828</f>
        <v>2013</v>
      </c>
      <c r="D828">
        <f>[5]trip_summary_region!D828</f>
        <v>15</v>
      </c>
      <c r="E828">
        <f>[5]trip_summary_region!E828</f>
        <v>42</v>
      </c>
      <c r="F828">
        <f>[5]trip_summary_region!F828</f>
        <v>0.50805546800000001</v>
      </c>
      <c r="G828">
        <f>[5]trip_summary_region!G828</f>
        <v>6.0600083682000001</v>
      </c>
      <c r="H828">
        <f>[5]trip_summary_region!H828</f>
        <v>0.18249519829999999</v>
      </c>
      <c r="I828" t="str">
        <f>[5]trip_summary_region!I828</f>
        <v>Local Bus</v>
      </c>
      <c r="J828" t="str">
        <f>[5]trip_summary_region!J828</f>
        <v>2012/13</v>
      </c>
    </row>
    <row r="829" spans="1:10" x14ac:dyDescent="0.2">
      <c r="A829" t="str">
        <f>[5]trip_summary_region!A829</f>
        <v>12 WEST COAST</v>
      </c>
      <c r="B829">
        <f>[5]trip_summary_region!B829</f>
        <v>7</v>
      </c>
      <c r="C829">
        <f>[5]trip_summary_region!C829</f>
        <v>2018</v>
      </c>
      <c r="D829">
        <f>[5]trip_summary_region!D829</f>
        <v>15</v>
      </c>
      <c r="E829">
        <f>[5]trip_summary_region!E829</f>
        <v>42</v>
      </c>
      <c r="F829">
        <f>[5]trip_summary_region!F829</f>
        <v>0.43164286330000001</v>
      </c>
      <c r="G829">
        <f>[5]trip_summary_region!G829</f>
        <v>5.2081869600999999</v>
      </c>
      <c r="H829">
        <f>[5]trip_summary_region!H829</f>
        <v>0.15531685789999999</v>
      </c>
      <c r="I829" t="str">
        <f>[5]trip_summary_region!I829</f>
        <v>Local Bus</v>
      </c>
      <c r="J829" t="str">
        <f>[5]trip_summary_region!J829</f>
        <v>2017/18</v>
      </c>
    </row>
    <row r="830" spans="1:10" x14ac:dyDescent="0.2">
      <c r="A830" t="str">
        <f>[5]trip_summary_region!A830</f>
        <v>12 WEST COAST</v>
      </c>
      <c r="B830">
        <f>[5]trip_summary_region!B830</f>
        <v>7</v>
      </c>
      <c r="C830">
        <f>[5]trip_summary_region!C830</f>
        <v>2023</v>
      </c>
      <c r="D830">
        <f>[5]trip_summary_region!D830</f>
        <v>15</v>
      </c>
      <c r="E830">
        <f>[5]trip_summary_region!E830</f>
        <v>42</v>
      </c>
      <c r="F830">
        <f>[5]trip_summary_region!F830</f>
        <v>0.38467216900000001</v>
      </c>
      <c r="G830">
        <f>[5]trip_summary_region!G830</f>
        <v>4.7798439893999998</v>
      </c>
      <c r="H830">
        <f>[5]trip_summary_region!H830</f>
        <v>0.13992436890000001</v>
      </c>
      <c r="I830" t="str">
        <f>[5]trip_summary_region!I830</f>
        <v>Local Bus</v>
      </c>
      <c r="J830" t="str">
        <f>[5]trip_summary_region!J830</f>
        <v>2022/23</v>
      </c>
    </row>
    <row r="831" spans="1:10" x14ac:dyDescent="0.2">
      <c r="A831" t="str">
        <f>[5]trip_summary_region!A831</f>
        <v>12 WEST COAST</v>
      </c>
      <c r="B831">
        <f>[5]trip_summary_region!B831</f>
        <v>7</v>
      </c>
      <c r="C831">
        <f>[5]trip_summary_region!C831</f>
        <v>2028</v>
      </c>
      <c r="D831">
        <f>[5]trip_summary_region!D831</f>
        <v>15</v>
      </c>
      <c r="E831">
        <f>[5]trip_summary_region!E831</f>
        <v>42</v>
      </c>
      <c r="F831">
        <f>[5]trip_summary_region!F831</f>
        <v>0.34927639059999999</v>
      </c>
      <c r="G831">
        <f>[5]trip_summary_region!G831</f>
        <v>4.3231623033000002</v>
      </c>
      <c r="H831">
        <f>[5]trip_summary_region!H831</f>
        <v>0.1271319242</v>
      </c>
      <c r="I831" t="str">
        <f>[5]trip_summary_region!I831</f>
        <v>Local Bus</v>
      </c>
      <c r="J831" t="str">
        <f>[5]trip_summary_region!J831</f>
        <v>2027/28</v>
      </c>
    </row>
    <row r="832" spans="1:10" x14ac:dyDescent="0.2">
      <c r="A832" t="str">
        <f>[5]trip_summary_region!A832</f>
        <v>12 WEST COAST</v>
      </c>
      <c r="B832">
        <f>[5]trip_summary_region!B832</f>
        <v>7</v>
      </c>
      <c r="C832">
        <f>[5]trip_summary_region!C832</f>
        <v>2033</v>
      </c>
      <c r="D832">
        <f>[5]trip_summary_region!D832</f>
        <v>15</v>
      </c>
      <c r="E832">
        <f>[5]trip_summary_region!E832</f>
        <v>42</v>
      </c>
      <c r="F832">
        <f>[5]trip_summary_region!F832</f>
        <v>0.31038678120000002</v>
      </c>
      <c r="G832">
        <f>[5]trip_summary_region!G832</f>
        <v>3.9418109720999999</v>
      </c>
      <c r="H832">
        <f>[5]trip_summary_region!H832</f>
        <v>0.1145712757</v>
      </c>
      <c r="I832" t="str">
        <f>[5]trip_summary_region!I832</f>
        <v>Local Bus</v>
      </c>
      <c r="J832" t="str">
        <f>[5]trip_summary_region!J832</f>
        <v>2032/33</v>
      </c>
    </row>
    <row r="833" spans="1:10" x14ac:dyDescent="0.2">
      <c r="A833" t="str">
        <f>[5]trip_summary_region!A833</f>
        <v>12 WEST COAST</v>
      </c>
      <c r="B833">
        <f>[5]trip_summary_region!B833</f>
        <v>7</v>
      </c>
      <c r="C833">
        <f>[5]trip_summary_region!C833</f>
        <v>2038</v>
      </c>
      <c r="D833">
        <f>[5]trip_summary_region!D833</f>
        <v>15</v>
      </c>
      <c r="E833">
        <f>[5]trip_summary_region!E833</f>
        <v>42</v>
      </c>
      <c r="F833">
        <f>[5]trip_summary_region!F833</f>
        <v>0.27032787409999998</v>
      </c>
      <c r="G833">
        <f>[5]trip_summary_region!G833</f>
        <v>3.6296800523999999</v>
      </c>
      <c r="H833">
        <f>[5]trip_summary_region!H833</f>
        <v>0.102495658</v>
      </c>
      <c r="I833" t="str">
        <f>[5]trip_summary_region!I833</f>
        <v>Local Bus</v>
      </c>
      <c r="J833" t="str">
        <f>[5]trip_summary_region!J833</f>
        <v>2037/38</v>
      </c>
    </row>
    <row r="834" spans="1:10" x14ac:dyDescent="0.2">
      <c r="A834" t="str">
        <f>[5]trip_summary_region!A834</f>
        <v>12 WEST COAST</v>
      </c>
      <c r="B834">
        <f>[5]trip_summary_region!B834</f>
        <v>7</v>
      </c>
      <c r="C834">
        <f>[5]trip_summary_region!C834</f>
        <v>2043</v>
      </c>
      <c r="D834">
        <f>[5]trip_summary_region!D834</f>
        <v>15</v>
      </c>
      <c r="E834">
        <f>[5]trip_summary_region!E834</f>
        <v>42</v>
      </c>
      <c r="F834">
        <f>[5]trip_summary_region!F834</f>
        <v>0.23596655350000001</v>
      </c>
      <c r="G834">
        <f>[5]trip_summary_region!G834</f>
        <v>3.4017483957999999</v>
      </c>
      <c r="H834">
        <f>[5]trip_summary_region!H834</f>
        <v>9.2688732999999995E-2</v>
      </c>
      <c r="I834" t="str">
        <f>[5]trip_summary_region!I834</f>
        <v>Local Bus</v>
      </c>
      <c r="J834" t="str">
        <f>[5]trip_summary_region!J834</f>
        <v>2042/43</v>
      </c>
    </row>
    <row r="835" spans="1:10" x14ac:dyDescent="0.2">
      <c r="A835" t="str">
        <f>[5]trip_summary_region!A835</f>
        <v>12 WEST COAST</v>
      </c>
      <c r="B835">
        <f>[5]trip_summary_region!B835</f>
        <v>9</v>
      </c>
      <c r="C835">
        <f>[5]trip_summary_region!C835</f>
        <v>2013</v>
      </c>
      <c r="D835">
        <f>[5]trip_summary_region!D835</f>
        <v>3</v>
      </c>
      <c r="E835">
        <f>[5]trip_summary_region!E835</f>
        <v>3</v>
      </c>
      <c r="F835">
        <f>[5]trip_summary_region!F835</f>
        <v>2.77012627E-2</v>
      </c>
      <c r="G835">
        <f>[5]trip_summary_region!G835</f>
        <v>0</v>
      </c>
      <c r="H835">
        <f>[5]trip_summary_region!H835</f>
        <v>3.6766106000000001E-3</v>
      </c>
      <c r="I835" t="str">
        <f>[5]trip_summary_region!I835</f>
        <v>Other Household Travel</v>
      </c>
      <c r="J835" t="str">
        <f>[5]trip_summary_region!J835</f>
        <v>2012/13</v>
      </c>
    </row>
    <row r="836" spans="1:10" x14ac:dyDescent="0.2">
      <c r="A836" t="str">
        <f>[5]trip_summary_region!A836</f>
        <v>12 WEST COAST</v>
      </c>
      <c r="B836">
        <f>[5]trip_summary_region!B836</f>
        <v>9</v>
      </c>
      <c r="C836">
        <f>[5]trip_summary_region!C836</f>
        <v>2018</v>
      </c>
      <c r="D836">
        <f>[5]trip_summary_region!D836</f>
        <v>3</v>
      </c>
      <c r="E836">
        <f>[5]trip_summary_region!E836</f>
        <v>3</v>
      </c>
      <c r="F836">
        <f>[5]trip_summary_region!F836</f>
        <v>2.40422977E-2</v>
      </c>
      <c r="G836">
        <f>[5]trip_summary_region!G836</f>
        <v>0</v>
      </c>
      <c r="H836">
        <f>[5]trip_summary_region!H836</f>
        <v>3.1276155E-3</v>
      </c>
      <c r="I836" t="str">
        <f>[5]trip_summary_region!I836</f>
        <v>Other Household Travel</v>
      </c>
      <c r="J836" t="str">
        <f>[5]trip_summary_region!J836</f>
        <v>2017/18</v>
      </c>
    </row>
    <row r="837" spans="1:10" x14ac:dyDescent="0.2">
      <c r="A837" t="str">
        <f>[5]trip_summary_region!A837</f>
        <v>12 WEST COAST</v>
      </c>
      <c r="B837">
        <f>[5]trip_summary_region!B837</f>
        <v>9</v>
      </c>
      <c r="C837">
        <f>[5]trip_summary_region!C837</f>
        <v>2023</v>
      </c>
      <c r="D837">
        <f>[5]trip_summary_region!D837</f>
        <v>3</v>
      </c>
      <c r="E837">
        <f>[5]trip_summary_region!E837</f>
        <v>3</v>
      </c>
      <c r="F837">
        <f>[5]trip_summary_region!F837</f>
        <v>2.2316217999999999E-2</v>
      </c>
      <c r="G837">
        <f>[5]trip_summary_region!G837</f>
        <v>0</v>
      </c>
      <c r="H837">
        <f>[5]trip_summary_region!H837</f>
        <v>2.8600858999999999E-3</v>
      </c>
      <c r="I837" t="str">
        <f>[5]trip_summary_region!I837</f>
        <v>Other Household Travel</v>
      </c>
      <c r="J837" t="str">
        <f>[5]trip_summary_region!J837</f>
        <v>2022/23</v>
      </c>
    </row>
    <row r="838" spans="1:10" x14ac:dyDescent="0.2">
      <c r="A838" t="str">
        <f>[5]trip_summary_region!A838</f>
        <v>12 WEST COAST</v>
      </c>
      <c r="B838">
        <f>[5]trip_summary_region!B838</f>
        <v>9</v>
      </c>
      <c r="C838">
        <f>[5]trip_summary_region!C838</f>
        <v>2028</v>
      </c>
      <c r="D838">
        <f>[5]trip_summary_region!D838</f>
        <v>3</v>
      </c>
      <c r="E838">
        <f>[5]trip_summary_region!E838</f>
        <v>3</v>
      </c>
      <c r="F838">
        <f>[5]trip_summary_region!F838</f>
        <v>1.83684447E-2</v>
      </c>
      <c r="G838">
        <f>[5]trip_summary_region!G838</f>
        <v>0</v>
      </c>
      <c r="H838">
        <f>[5]trip_summary_region!H838</f>
        <v>2.3069789999999998E-3</v>
      </c>
      <c r="I838" t="str">
        <f>[5]trip_summary_region!I838</f>
        <v>Other Household Travel</v>
      </c>
      <c r="J838" t="str">
        <f>[5]trip_summary_region!J838</f>
        <v>2027/28</v>
      </c>
    </row>
    <row r="839" spans="1:10" x14ac:dyDescent="0.2">
      <c r="A839" t="str">
        <f>[5]trip_summary_region!A839</f>
        <v>12 WEST COAST</v>
      </c>
      <c r="B839">
        <f>[5]trip_summary_region!B839</f>
        <v>9</v>
      </c>
      <c r="C839">
        <f>[5]trip_summary_region!C839</f>
        <v>2033</v>
      </c>
      <c r="D839">
        <f>[5]trip_summary_region!D839</f>
        <v>3</v>
      </c>
      <c r="E839">
        <f>[5]trip_summary_region!E839</f>
        <v>3</v>
      </c>
      <c r="F839">
        <f>[5]trip_summary_region!F839</f>
        <v>1.5582880299999999E-2</v>
      </c>
      <c r="G839">
        <f>[5]trip_summary_region!G839</f>
        <v>0</v>
      </c>
      <c r="H839">
        <f>[5]trip_summary_region!H839</f>
        <v>1.9677732E-3</v>
      </c>
      <c r="I839" t="str">
        <f>[5]trip_summary_region!I839</f>
        <v>Other Household Travel</v>
      </c>
      <c r="J839" t="str">
        <f>[5]trip_summary_region!J839</f>
        <v>2032/33</v>
      </c>
    </row>
    <row r="840" spans="1:10" x14ac:dyDescent="0.2">
      <c r="A840" t="str">
        <f>[5]trip_summary_region!A840</f>
        <v>12 WEST COAST</v>
      </c>
      <c r="B840">
        <f>[5]trip_summary_region!B840</f>
        <v>9</v>
      </c>
      <c r="C840">
        <f>[5]trip_summary_region!C840</f>
        <v>2038</v>
      </c>
      <c r="D840">
        <f>[5]trip_summary_region!D840</f>
        <v>3</v>
      </c>
      <c r="E840">
        <f>[5]trip_summary_region!E840</f>
        <v>3</v>
      </c>
      <c r="F840">
        <f>[5]trip_summary_region!F840</f>
        <v>1.43053039E-2</v>
      </c>
      <c r="G840">
        <f>[5]trip_summary_region!G840</f>
        <v>0</v>
      </c>
      <c r="H840">
        <f>[5]trip_summary_region!H840</f>
        <v>1.8462362000000001E-3</v>
      </c>
      <c r="I840" t="str">
        <f>[5]trip_summary_region!I840</f>
        <v>Other Household Travel</v>
      </c>
      <c r="J840" t="str">
        <f>[5]trip_summary_region!J840</f>
        <v>2037/38</v>
      </c>
    </row>
    <row r="841" spans="1:10" x14ac:dyDescent="0.2">
      <c r="A841" t="str">
        <f>[5]trip_summary_region!A841</f>
        <v>12 WEST COAST</v>
      </c>
      <c r="B841">
        <f>[5]trip_summary_region!B841</f>
        <v>9</v>
      </c>
      <c r="C841">
        <f>[5]trip_summary_region!C841</f>
        <v>2043</v>
      </c>
      <c r="D841">
        <f>[5]trip_summary_region!D841</f>
        <v>3</v>
      </c>
      <c r="E841">
        <f>[5]trip_summary_region!E841</f>
        <v>3</v>
      </c>
      <c r="F841">
        <f>[5]trip_summary_region!F841</f>
        <v>1.2843917099999999E-2</v>
      </c>
      <c r="G841">
        <f>[5]trip_summary_region!G841</f>
        <v>0</v>
      </c>
      <c r="H841">
        <f>[5]trip_summary_region!H841</f>
        <v>1.6911064000000001E-3</v>
      </c>
      <c r="I841" t="str">
        <f>[5]trip_summary_region!I841</f>
        <v>Other Household Travel</v>
      </c>
      <c r="J841" t="str">
        <f>[5]trip_summary_region!J841</f>
        <v>2042/43</v>
      </c>
    </row>
    <row r="842" spans="1:10" x14ac:dyDescent="0.2">
      <c r="A842" t="str">
        <f>[5]trip_summary_region!A842</f>
        <v>12 WEST COAST</v>
      </c>
      <c r="B842">
        <f>[5]trip_summary_region!B842</f>
        <v>10</v>
      </c>
      <c r="C842">
        <f>[5]trip_summary_region!C842</f>
        <v>2013</v>
      </c>
      <c r="D842">
        <f>[5]trip_summary_region!D842</f>
        <v>4</v>
      </c>
      <c r="E842">
        <f>[5]trip_summary_region!E842</f>
        <v>8</v>
      </c>
      <c r="F842">
        <f>[5]trip_summary_region!F842</f>
        <v>0.10084271459999999</v>
      </c>
      <c r="G842">
        <f>[5]trip_summary_region!G842</f>
        <v>10.387194593</v>
      </c>
      <c r="H842">
        <f>[5]trip_summary_region!H842</f>
        <v>0.1870167032</v>
      </c>
      <c r="I842" t="str">
        <f>[5]trip_summary_region!I842</f>
        <v>Air/Non-Local PT</v>
      </c>
      <c r="J842" t="str">
        <f>[5]trip_summary_region!J842</f>
        <v>2012/13</v>
      </c>
    </row>
    <row r="843" spans="1:10" x14ac:dyDescent="0.2">
      <c r="A843" t="str">
        <f>[5]trip_summary_region!A843</f>
        <v>12 WEST COAST</v>
      </c>
      <c r="B843">
        <f>[5]trip_summary_region!B843</f>
        <v>10</v>
      </c>
      <c r="C843">
        <f>[5]trip_summary_region!C843</f>
        <v>2018</v>
      </c>
      <c r="D843">
        <f>[5]trip_summary_region!D843</f>
        <v>4</v>
      </c>
      <c r="E843">
        <f>[5]trip_summary_region!E843</f>
        <v>8</v>
      </c>
      <c r="F843">
        <f>[5]trip_summary_region!F843</f>
        <v>9.7054913399999998E-2</v>
      </c>
      <c r="G843">
        <f>[5]trip_summary_region!G843</f>
        <v>9.8851845837999992</v>
      </c>
      <c r="H843">
        <f>[5]trip_summary_region!H843</f>
        <v>0.18060230529999999</v>
      </c>
      <c r="I843" t="str">
        <f>[5]trip_summary_region!I843</f>
        <v>Air/Non-Local PT</v>
      </c>
      <c r="J843" t="str">
        <f>[5]trip_summary_region!J843</f>
        <v>2017/18</v>
      </c>
    </row>
    <row r="844" spans="1:10" x14ac:dyDescent="0.2">
      <c r="A844" t="str">
        <f>[5]trip_summary_region!A844</f>
        <v>12 WEST COAST</v>
      </c>
      <c r="B844">
        <f>[5]trip_summary_region!B844</f>
        <v>10</v>
      </c>
      <c r="C844">
        <f>[5]trip_summary_region!C844</f>
        <v>2023</v>
      </c>
      <c r="D844">
        <f>[5]trip_summary_region!D844</f>
        <v>4</v>
      </c>
      <c r="E844">
        <f>[5]trip_summary_region!E844</f>
        <v>8</v>
      </c>
      <c r="F844">
        <f>[5]trip_summary_region!F844</f>
        <v>9.6789048700000005E-2</v>
      </c>
      <c r="G844">
        <f>[5]trip_summary_region!G844</f>
        <v>9.7229512347</v>
      </c>
      <c r="H844">
        <f>[5]trip_summary_region!H844</f>
        <v>0.18084509679999999</v>
      </c>
      <c r="I844" t="str">
        <f>[5]trip_summary_region!I844</f>
        <v>Air/Non-Local PT</v>
      </c>
      <c r="J844" t="str">
        <f>[5]trip_summary_region!J844</f>
        <v>2022/23</v>
      </c>
    </row>
    <row r="845" spans="1:10" x14ac:dyDescent="0.2">
      <c r="A845" t="str">
        <f>[5]trip_summary_region!A845</f>
        <v>12 WEST COAST</v>
      </c>
      <c r="B845">
        <f>[5]trip_summary_region!B845</f>
        <v>10</v>
      </c>
      <c r="C845">
        <f>[5]trip_summary_region!C845</f>
        <v>2028</v>
      </c>
      <c r="D845">
        <f>[5]trip_summary_region!D845</f>
        <v>4</v>
      </c>
      <c r="E845">
        <f>[5]trip_summary_region!E845</f>
        <v>8</v>
      </c>
      <c r="F845">
        <f>[5]trip_summary_region!F845</f>
        <v>8.7269772499999995E-2</v>
      </c>
      <c r="G845">
        <f>[5]trip_summary_region!G845</f>
        <v>8.5168406159999996</v>
      </c>
      <c r="H845">
        <f>[5]trip_summary_region!H845</f>
        <v>0.16442235090000001</v>
      </c>
      <c r="I845" t="str">
        <f>[5]trip_summary_region!I845</f>
        <v>Air/Non-Local PT</v>
      </c>
      <c r="J845" t="str">
        <f>[5]trip_summary_region!J845</f>
        <v>2027/28</v>
      </c>
    </row>
    <row r="846" spans="1:10" x14ac:dyDescent="0.2">
      <c r="A846" t="str">
        <f>[5]trip_summary_region!A846</f>
        <v>12 WEST COAST</v>
      </c>
      <c r="B846">
        <f>[5]trip_summary_region!B846</f>
        <v>10</v>
      </c>
      <c r="C846">
        <f>[5]trip_summary_region!C846</f>
        <v>2033</v>
      </c>
      <c r="D846">
        <f>[5]trip_summary_region!D846</f>
        <v>4</v>
      </c>
      <c r="E846">
        <f>[5]trip_summary_region!E846</f>
        <v>8</v>
      </c>
      <c r="F846">
        <f>[5]trip_summary_region!F846</f>
        <v>7.5861924499999997E-2</v>
      </c>
      <c r="G846">
        <f>[5]trip_summary_region!G846</f>
        <v>7.2421173614000001</v>
      </c>
      <c r="H846">
        <f>[5]trip_summary_region!H846</f>
        <v>0.14381002279999999</v>
      </c>
      <c r="I846" t="str">
        <f>[5]trip_summary_region!I846</f>
        <v>Air/Non-Local PT</v>
      </c>
      <c r="J846" t="str">
        <f>[5]trip_summary_region!J846</f>
        <v>2032/33</v>
      </c>
    </row>
    <row r="847" spans="1:10" x14ac:dyDescent="0.2">
      <c r="A847" t="str">
        <f>[5]trip_summary_region!A847</f>
        <v>12 WEST COAST</v>
      </c>
      <c r="B847">
        <f>[5]trip_summary_region!B847</f>
        <v>10</v>
      </c>
      <c r="C847">
        <f>[5]trip_summary_region!C847</f>
        <v>2038</v>
      </c>
      <c r="D847">
        <f>[5]trip_summary_region!D847</f>
        <v>4</v>
      </c>
      <c r="E847">
        <f>[5]trip_summary_region!E847</f>
        <v>8</v>
      </c>
      <c r="F847">
        <f>[5]trip_summary_region!F847</f>
        <v>6.8374181300000003E-2</v>
      </c>
      <c r="G847">
        <f>[5]trip_summary_region!G847</f>
        <v>6.4546662953</v>
      </c>
      <c r="H847">
        <f>[5]trip_summary_region!H847</f>
        <v>0.13001205390000001</v>
      </c>
      <c r="I847" t="str">
        <f>[5]trip_summary_region!I847</f>
        <v>Air/Non-Local PT</v>
      </c>
      <c r="J847" t="str">
        <f>[5]trip_summary_region!J847</f>
        <v>2037/38</v>
      </c>
    </row>
    <row r="848" spans="1:10" x14ac:dyDescent="0.2">
      <c r="A848" t="str">
        <f>[5]trip_summary_region!A848</f>
        <v>12 WEST COAST</v>
      </c>
      <c r="B848">
        <f>[5]trip_summary_region!B848</f>
        <v>10</v>
      </c>
      <c r="C848">
        <f>[5]trip_summary_region!C848</f>
        <v>2043</v>
      </c>
      <c r="D848">
        <f>[5]trip_summary_region!D848</f>
        <v>4</v>
      </c>
      <c r="E848">
        <f>[5]trip_summary_region!E848</f>
        <v>8</v>
      </c>
      <c r="F848">
        <f>[5]trip_summary_region!F848</f>
        <v>6.0272184399999998E-2</v>
      </c>
      <c r="G848">
        <f>[5]trip_summary_region!G848</f>
        <v>5.6154764765999996</v>
      </c>
      <c r="H848">
        <f>[5]trip_summary_region!H848</f>
        <v>0.1150120033</v>
      </c>
      <c r="I848" t="str">
        <f>[5]trip_summary_region!I848</f>
        <v>Air/Non-Local PT</v>
      </c>
      <c r="J848" t="str">
        <f>[5]trip_summary_region!J848</f>
        <v>2042/43</v>
      </c>
    </row>
    <row r="849" spans="1:10" x14ac:dyDescent="0.2">
      <c r="A849" t="str">
        <f>[5]trip_summary_region!A849</f>
        <v>12 WEST COAST</v>
      </c>
      <c r="B849">
        <f>[5]trip_summary_region!B849</f>
        <v>11</v>
      </c>
      <c r="C849">
        <f>[5]trip_summary_region!C849</f>
        <v>2013</v>
      </c>
      <c r="D849">
        <f>[5]trip_summary_region!D849</f>
        <v>9</v>
      </c>
      <c r="E849">
        <f>[5]trip_summary_region!E849</f>
        <v>44</v>
      </c>
      <c r="F849">
        <f>[5]trip_summary_region!F849</f>
        <v>0.57649160089999996</v>
      </c>
      <c r="G849">
        <f>[5]trip_summary_region!G849</f>
        <v>20.958164275000001</v>
      </c>
      <c r="H849">
        <f>[5]trip_summary_region!H849</f>
        <v>0.34686230169999999</v>
      </c>
      <c r="I849" t="str">
        <f>[5]trip_summary_region!I849</f>
        <v>Non-Household Travel</v>
      </c>
      <c r="J849" t="str">
        <f>[5]trip_summary_region!J849</f>
        <v>2012/13</v>
      </c>
    </row>
    <row r="850" spans="1:10" x14ac:dyDescent="0.2">
      <c r="A850" t="str">
        <f>[5]trip_summary_region!A850</f>
        <v>12 WEST COAST</v>
      </c>
      <c r="B850">
        <f>[5]trip_summary_region!B850</f>
        <v>11</v>
      </c>
      <c r="C850">
        <f>[5]trip_summary_region!C850</f>
        <v>2018</v>
      </c>
      <c r="D850">
        <f>[5]trip_summary_region!D850</f>
        <v>9</v>
      </c>
      <c r="E850">
        <f>[5]trip_summary_region!E850</f>
        <v>44</v>
      </c>
      <c r="F850">
        <f>[5]trip_summary_region!F850</f>
        <v>0.56963531509999998</v>
      </c>
      <c r="G850">
        <f>[5]trip_summary_region!G850</f>
        <v>19.840337714</v>
      </c>
      <c r="H850">
        <f>[5]trip_summary_region!H850</f>
        <v>0.33040184830000002</v>
      </c>
      <c r="I850" t="str">
        <f>[5]trip_summary_region!I850</f>
        <v>Non-Household Travel</v>
      </c>
      <c r="J850" t="str">
        <f>[5]trip_summary_region!J850</f>
        <v>2017/18</v>
      </c>
    </row>
    <row r="851" spans="1:10" x14ac:dyDescent="0.2">
      <c r="A851" t="str">
        <f>[5]trip_summary_region!A851</f>
        <v>12 WEST COAST</v>
      </c>
      <c r="B851">
        <f>[5]trip_summary_region!B851</f>
        <v>11</v>
      </c>
      <c r="C851">
        <f>[5]trip_summary_region!C851</f>
        <v>2023</v>
      </c>
      <c r="D851">
        <f>[5]trip_summary_region!D851</f>
        <v>9</v>
      </c>
      <c r="E851">
        <f>[5]trip_summary_region!E851</f>
        <v>44</v>
      </c>
      <c r="F851">
        <f>[5]trip_summary_region!F851</f>
        <v>0.56009095220000005</v>
      </c>
      <c r="G851">
        <f>[5]trip_summary_region!G851</f>
        <v>19.403701046999998</v>
      </c>
      <c r="H851">
        <f>[5]trip_summary_region!H851</f>
        <v>0.32432978019999997</v>
      </c>
      <c r="I851" t="str">
        <f>[5]trip_summary_region!I851</f>
        <v>Non-Household Travel</v>
      </c>
      <c r="J851" t="str">
        <f>[5]trip_summary_region!J851</f>
        <v>2022/23</v>
      </c>
    </row>
    <row r="852" spans="1:10" x14ac:dyDescent="0.2">
      <c r="A852" t="str">
        <f>[5]trip_summary_region!A852</f>
        <v>12 WEST COAST</v>
      </c>
      <c r="B852">
        <f>[5]trip_summary_region!B852</f>
        <v>11</v>
      </c>
      <c r="C852">
        <f>[5]trip_summary_region!C852</f>
        <v>2028</v>
      </c>
      <c r="D852">
        <f>[5]trip_summary_region!D852</f>
        <v>9</v>
      </c>
      <c r="E852">
        <f>[5]trip_summary_region!E852</f>
        <v>44</v>
      </c>
      <c r="F852">
        <f>[5]trip_summary_region!F852</f>
        <v>0.54759867750000002</v>
      </c>
      <c r="G852">
        <f>[5]trip_summary_region!G852</f>
        <v>18.078053071999999</v>
      </c>
      <c r="H852">
        <f>[5]trip_summary_region!H852</f>
        <v>0.30397163739999999</v>
      </c>
      <c r="I852" t="str">
        <f>[5]trip_summary_region!I852</f>
        <v>Non-Household Travel</v>
      </c>
      <c r="J852" t="str">
        <f>[5]trip_summary_region!J852</f>
        <v>2027/28</v>
      </c>
    </row>
    <row r="853" spans="1:10" x14ac:dyDescent="0.2">
      <c r="A853" t="str">
        <f>[5]trip_summary_region!A853</f>
        <v>12 WEST COAST</v>
      </c>
      <c r="B853">
        <f>[5]trip_summary_region!B853</f>
        <v>11</v>
      </c>
      <c r="C853">
        <f>[5]trip_summary_region!C853</f>
        <v>2033</v>
      </c>
      <c r="D853">
        <f>[5]trip_summary_region!D853</f>
        <v>9</v>
      </c>
      <c r="E853">
        <f>[5]trip_summary_region!E853</f>
        <v>44</v>
      </c>
      <c r="F853">
        <f>[5]trip_summary_region!F853</f>
        <v>0.51481980380000003</v>
      </c>
      <c r="G853">
        <f>[5]trip_summary_region!G853</f>
        <v>16.270901327000001</v>
      </c>
      <c r="H853">
        <f>[5]trip_summary_region!H853</f>
        <v>0.27541816320000001</v>
      </c>
      <c r="I853" t="str">
        <f>[5]trip_summary_region!I853</f>
        <v>Non-Household Travel</v>
      </c>
      <c r="J853" t="str">
        <f>[5]trip_summary_region!J853</f>
        <v>2032/33</v>
      </c>
    </row>
    <row r="854" spans="1:10" x14ac:dyDescent="0.2">
      <c r="A854" t="str">
        <f>[5]trip_summary_region!A854</f>
        <v>12 WEST COAST</v>
      </c>
      <c r="B854">
        <f>[5]trip_summary_region!B854</f>
        <v>11</v>
      </c>
      <c r="C854">
        <f>[5]trip_summary_region!C854</f>
        <v>2038</v>
      </c>
      <c r="D854">
        <f>[5]trip_summary_region!D854</f>
        <v>9</v>
      </c>
      <c r="E854">
        <f>[5]trip_summary_region!E854</f>
        <v>44</v>
      </c>
      <c r="F854">
        <f>[5]trip_summary_region!F854</f>
        <v>0.47973443589999998</v>
      </c>
      <c r="G854">
        <f>[5]trip_summary_region!G854</f>
        <v>14.642656835</v>
      </c>
      <c r="H854">
        <f>[5]trip_summary_region!H854</f>
        <v>0.24959618610000001</v>
      </c>
      <c r="I854" t="str">
        <f>[5]trip_summary_region!I854</f>
        <v>Non-Household Travel</v>
      </c>
      <c r="J854" t="str">
        <f>[5]trip_summary_region!J854</f>
        <v>2037/38</v>
      </c>
    </row>
    <row r="855" spans="1:10" x14ac:dyDescent="0.2">
      <c r="A855" t="str">
        <f>[5]trip_summary_region!A855</f>
        <v>12 WEST COAST</v>
      </c>
      <c r="B855">
        <f>[5]trip_summary_region!B855</f>
        <v>11</v>
      </c>
      <c r="C855">
        <f>[5]trip_summary_region!C855</f>
        <v>2043</v>
      </c>
      <c r="D855">
        <f>[5]trip_summary_region!D855</f>
        <v>9</v>
      </c>
      <c r="E855">
        <f>[5]trip_summary_region!E855</f>
        <v>44</v>
      </c>
      <c r="F855">
        <f>[5]trip_summary_region!F855</f>
        <v>0.4399299626</v>
      </c>
      <c r="G855">
        <f>[5]trip_summary_region!G855</f>
        <v>12.999663735</v>
      </c>
      <c r="H855">
        <f>[5]trip_summary_region!H855</f>
        <v>0.22341850369999999</v>
      </c>
      <c r="I855" t="str">
        <f>[5]trip_summary_region!I855</f>
        <v>Non-Household Travel</v>
      </c>
      <c r="J855" t="str">
        <f>[5]trip_summary_region!J855</f>
        <v>2042/43</v>
      </c>
    </row>
    <row r="856" spans="1:10" x14ac:dyDescent="0.2">
      <c r="A856" t="str">
        <f>[5]trip_summary_region!A856</f>
        <v>13 CANTERBURY</v>
      </c>
      <c r="B856">
        <f>[5]trip_summary_region!B856</f>
        <v>0</v>
      </c>
      <c r="C856">
        <f>[5]trip_summary_region!C856</f>
        <v>2013</v>
      </c>
      <c r="D856">
        <f>[5]trip_summary_region!D856</f>
        <v>2073</v>
      </c>
      <c r="E856">
        <f>[5]trip_summary_region!E856</f>
        <v>7645</v>
      </c>
      <c r="F856">
        <f>[5]trip_summary_region!F856</f>
        <v>131.04676542000001</v>
      </c>
      <c r="G856">
        <f>[5]trip_summary_region!G856</f>
        <v>113.37513976</v>
      </c>
      <c r="H856">
        <f>[5]trip_summary_region!H856</f>
        <v>27.07651954</v>
      </c>
      <c r="I856" t="str">
        <f>[5]trip_summary_region!I856</f>
        <v>Pedestrian</v>
      </c>
      <c r="J856" t="str">
        <f>[5]trip_summary_region!J856</f>
        <v>2012/13</v>
      </c>
    </row>
    <row r="857" spans="1:10" x14ac:dyDescent="0.2">
      <c r="A857" t="str">
        <f>[5]trip_summary_region!A857</f>
        <v>13 CANTERBURY</v>
      </c>
      <c r="B857">
        <f>[5]trip_summary_region!B857</f>
        <v>0</v>
      </c>
      <c r="C857">
        <f>[5]trip_summary_region!C857</f>
        <v>2018</v>
      </c>
      <c r="D857">
        <f>[5]trip_summary_region!D857</f>
        <v>2073</v>
      </c>
      <c r="E857">
        <f>[5]trip_summary_region!E857</f>
        <v>7645</v>
      </c>
      <c r="F857">
        <f>[5]trip_summary_region!F857</f>
        <v>127.2899896</v>
      </c>
      <c r="G857">
        <f>[5]trip_summary_region!G857</f>
        <v>110.05648687</v>
      </c>
      <c r="H857">
        <f>[5]trip_summary_region!H857</f>
        <v>26.056358703000001</v>
      </c>
      <c r="I857" t="str">
        <f>[5]trip_summary_region!I857</f>
        <v>Pedestrian</v>
      </c>
      <c r="J857" t="str">
        <f>[5]trip_summary_region!J857</f>
        <v>2017/18</v>
      </c>
    </row>
    <row r="858" spans="1:10" x14ac:dyDescent="0.2">
      <c r="A858" t="str">
        <f>[5]trip_summary_region!A858</f>
        <v>13 CANTERBURY</v>
      </c>
      <c r="B858">
        <f>[5]trip_summary_region!B858</f>
        <v>0</v>
      </c>
      <c r="C858">
        <f>[5]trip_summary_region!C858</f>
        <v>2023</v>
      </c>
      <c r="D858">
        <f>[5]trip_summary_region!D858</f>
        <v>2073</v>
      </c>
      <c r="E858">
        <f>[5]trip_summary_region!E858</f>
        <v>7645</v>
      </c>
      <c r="F858">
        <f>[5]trip_summary_region!F858</f>
        <v>131.65501852</v>
      </c>
      <c r="G858">
        <f>[5]trip_summary_region!G858</f>
        <v>113.08323128000001</v>
      </c>
      <c r="H858">
        <f>[5]trip_summary_region!H858</f>
        <v>26.603350751000001</v>
      </c>
      <c r="I858" t="str">
        <f>[5]trip_summary_region!I858</f>
        <v>Pedestrian</v>
      </c>
      <c r="J858" t="str">
        <f>[5]trip_summary_region!J858</f>
        <v>2022/23</v>
      </c>
    </row>
    <row r="859" spans="1:10" x14ac:dyDescent="0.2">
      <c r="A859" t="str">
        <f>[5]trip_summary_region!A859</f>
        <v>13 CANTERBURY</v>
      </c>
      <c r="B859">
        <f>[5]trip_summary_region!B859</f>
        <v>0</v>
      </c>
      <c r="C859">
        <f>[5]trip_summary_region!C859</f>
        <v>2028</v>
      </c>
      <c r="D859">
        <f>[5]trip_summary_region!D859</f>
        <v>2073</v>
      </c>
      <c r="E859">
        <f>[5]trip_summary_region!E859</f>
        <v>7645</v>
      </c>
      <c r="F859">
        <f>[5]trip_summary_region!F859</f>
        <v>129.05447681999999</v>
      </c>
      <c r="G859">
        <f>[5]trip_summary_region!G859</f>
        <v>110.17217775</v>
      </c>
      <c r="H859">
        <f>[5]trip_summary_region!H859</f>
        <v>25.718800929</v>
      </c>
      <c r="I859" t="str">
        <f>[5]trip_summary_region!I859</f>
        <v>Pedestrian</v>
      </c>
      <c r="J859" t="str">
        <f>[5]trip_summary_region!J859</f>
        <v>2027/28</v>
      </c>
    </row>
    <row r="860" spans="1:10" x14ac:dyDescent="0.2">
      <c r="A860" t="str">
        <f>[5]trip_summary_region!A860</f>
        <v>13 CANTERBURY</v>
      </c>
      <c r="B860">
        <f>[5]trip_summary_region!B860</f>
        <v>0</v>
      </c>
      <c r="C860">
        <f>[5]trip_summary_region!C860</f>
        <v>2033</v>
      </c>
      <c r="D860">
        <f>[5]trip_summary_region!D860</f>
        <v>2073</v>
      </c>
      <c r="E860">
        <f>[5]trip_summary_region!E860</f>
        <v>7645</v>
      </c>
      <c r="F860">
        <f>[5]trip_summary_region!F860</f>
        <v>125.79500289000001</v>
      </c>
      <c r="G860">
        <f>[5]trip_summary_region!G860</f>
        <v>106.82388709999999</v>
      </c>
      <c r="H860">
        <f>[5]trip_summary_region!H860</f>
        <v>24.804930638999998</v>
      </c>
      <c r="I860" t="str">
        <f>[5]trip_summary_region!I860</f>
        <v>Pedestrian</v>
      </c>
      <c r="J860" t="str">
        <f>[5]trip_summary_region!J860</f>
        <v>2032/33</v>
      </c>
    </row>
    <row r="861" spans="1:10" x14ac:dyDescent="0.2">
      <c r="A861" t="str">
        <f>[5]trip_summary_region!A861</f>
        <v>13 CANTERBURY</v>
      </c>
      <c r="B861">
        <f>[5]trip_summary_region!B861</f>
        <v>0</v>
      </c>
      <c r="C861">
        <f>[5]trip_summary_region!C861</f>
        <v>2038</v>
      </c>
      <c r="D861">
        <f>[5]trip_summary_region!D861</f>
        <v>2073</v>
      </c>
      <c r="E861">
        <f>[5]trip_summary_region!E861</f>
        <v>7645</v>
      </c>
      <c r="F861">
        <f>[5]trip_summary_region!F861</f>
        <v>122.41910043</v>
      </c>
      <c r="G861">
        <f>[5]trip_summary_region!G861</f>
        <v>103.59219019</v>
      </c>
      <c r="H861">
        <f>[5]trip_summary_region!H861</f>
        <v>23.900766939</v>
      </c>
      <c r="I861" t="str">
        <f>[5]trip_summary_region!I861</f>
        <v>Pedestrian</v>
      </c>
      <c r="J861" t="str">
        <f>[5]trip_summary_region!J861</f>
        <v>2037/38</v>
      </c>
    </row>
    <row r="862" spans="1:10" x14ac:dyDescent="0.2">
      <c r="A862" t="str">
        <f>[5]trip_summary_region!A862</f>
        <v>13 CANTERBURY</v>
      </c>
      <c r="B862">
        <f>[5]trip_summary_region!B862</f>
        <v>0</v>
      </c>
      <c r="C862">
        <f>[5]trip_summary_region!C862</f>
        <v>2043</v>
      </c>
      <c r="D862">
        <f>[5]trip_summary_region!D862</f>
        <v>2073</v>
      </c>
      <c r="E862">
        <f>[5]trip_summary_region!E862</f>
        <v>7645</v>
      </c>
      <c r="F862">
        <f>[5]trip_summary_region!F862</f>
        <v>119.35507585000001</v>
      </c>
      <c r="G862">
        <f>[5]trip_summary_region!G862</f>
        <v>100.64863819</v>
      </c>
      <c r="H862">
        <f>[5]trip_summary_region!H862</f>
        <v>23.100767208000001</v>
      </c>
      <c r="I862" t="str">
        <f>[5]trip_summary_region!I862</f>
        <v>Pedestrian</v>
      </c>
      <c r="J862" t="str">
        <f>[5]trip_summary_region!J862</f>
        <v>2042/43</v>
      </c>
    </row>
    <row r="863" spans="1:10" x14ac:dyDescent="0.2">
      <c r="A863" t="str">
        <f>[5]trip_summary_region!A863</f>
        <v>13 CANTERBURY</v>
      </c>
      <c r="B863">
        <f>[5]trip_summary_region!B863</f>
        <v>1</v>
      </c>
      <c r="C863">
        <f>[5]trip_summary_region!C863</f>
        <v>2013</v>
      </c>
      <c r="D863">
        <f>[5]trip_summary_region!D863</f>
        <v>335</v>
      </c>
      <c r="E863">
        <f>[5]trip_summary_region!E863</f>
        <v>1282</v>
      </c>
      <c r="F863">
        <f>[5]trip_summary_region!F863</f>
        <v>23.740018446000001</v>
      </c>
      <c r="G863">
        <f>[5]trip_summary_region!G863</f>
        <v>97.023488555</v>
      </c>
      <c r="H863">
        <f>[5]trip_summary_region!H863</f>
        <v>7.2445897615000003</v>
      </c>
      <c r="I863" t="str">
        <f>[5]trip_summary_region!I863</f>
        <v>Cyclist</v>
      </c>
      <c r="J863" t="str">
        <f>[5]trip_summary_region!J863</f>
        <v>2012/13</v>
      </c>
    </row>
    <row r="864" spans="1:10" x14ac:dyDescent="0.2">
      <c r="A864" t="str">
        <f>[5]trip_summary_region!A864</f>
        <v>13 CANTERBURY</v>
      </c>
      <c r="B864">
        <f>[5]trip_summary_region!B864</f>
        <v>1</v>
      </c>
      <c r="C864">
        <f>[5]trip_summary_region!C864</f>
        <v>2018</v>
      </c>
      <c r="D864">
        <f>[5]trip_summary_region!D864</f>
        <v>335</v>
      </c>
      <c r="E864">
        <f>[5]trip_summary_region!E864</f>
        <v>1282</v>
      </c>
      <c r="F864">
        <f>[5]trip_summary_region!F864</f>
        <v>23.592666787999999</v>
      </c>
      <c r="G864">
        <f>[5]trip_summary_region!G864</f>
        <v>99.408176800000007</v>
      </c>
      <c r="H864">
        <f>[5]trip_summary_region!H864</f>
        <v>7.2833591557000004</v>
      </c>
      <c r="I864" t="str">
        <f>[5]trip_summary_region!I864</f>
        <v>Cyclist</v>
      </c>
      <c r="J864" t="str">
        <f>[5]trip_summary_region!J864</f>
        <v>2017/18</v>
      </c>
    </row>
    <row r="865" spans="1:10" x14ac:dyDescent="0.2">
      <c r="A865" t="str">
        <f>[5]trip_summary_region!A865</f>
        <v>13 CANTERBURY</v>
      </c>
      <c r="B865">
        <f>[5]trip_summary_region!B865</f>
        <v>1</v>
      </c>
      <c r="C865">
        <f>[5]trip_summary_region!C865</f>
        <v>2023</v>
      </c>
      <c r="D865">
        <f>[5]trip_summary_region!D865</f>
        <v>335</v>
      </c>
      <c r="E865">
        <f>[5]trip_summary_region!E865</f>
        <v>1282</v>
      </c>
      <c r="F865">
        <f>[5]trip_summary_region!F865</f>
        <v>24.178052476000001</v>
      </c>
      <c r="G865">
        <f>[5]trip_summary_region!G865</f>
        <v>105.2709521</v>
      </c>
      <c r="H865">
        <f>[5]trip_summary_region!H865</f>
        <v>7.5770471836000004</v>
      </c>
      <c r="I865" t="str">
        <f>[5]trip_summary_region!I865</f>
        <v>Cyclist</v>
      </c>
      <c r="J865" t="str">
        <f>[5]trip_summary_region!J865</f>
        <v>2022/23</v>
      </c>
    </row>
    <row r="866" spans="1:10" x14ac:dyDescent="0.2">
      <c r="A866" t="str">
        <f>[5]trip_summary_region!A866</f>
        <v>13 CANTERBURY</v>
      </c>
      <c r="B866">
        <f>[5]trip_summary_region!B866</f>
        <v>1</v>
      </c>
      <c r="C866">
        <f>[5]trip_summary_region!C866</f>
        <v>2028</v>
      </c>
      <c r="D866">
        <f>[5]trip_summary_region!D866</f>
        <v>335</v>
      </c>
      <c r="E866">
        <f>[5]trip_summary_region!E866</f>
        <v>1282</v>
      </c>
      <c r="F866">
        <f>[5]trip_summary_region!F866</f>
        <v>23.301780278999999</v>
      </c>
      <c r="G866">
        <f>[5]trip_summary_region!G866</f>
        <v>103.93124584</v>
      </c>
      <c r="H866">
        <f>[5]trip_summary_region!H866</f>
        <v>7.3762046872000004</v>
      </c>
      <c r="I866" t="str">
        <f>[5]trip_summary_region!I866</f>
        <v>Cyclist</v>
      </c>
      <c r="J866" t="str">
        <f>[5]trip_summary_region!J866</f>
        <v>2027/28</v>
      </c>
    </row>
    <row r="867" spans="1:10" x14ac:dyDescent="0.2">
      <c r="A867" t="str">
        <f>[5]trip_summary_region!A867</f>
        <v>13 CANTERBURY</v>
      </c>
      <c r="B867">
        <f>[5]trip_summary_region!B867</f>
        <v>1</v>
      </c>
      <c r="C867">
        <f>[5]trip_summary_region!C867</f>
        <v>2033</v>
      </c>
      <c r="D867">
        <f>[5]trip_summary_region!D867</f>
        <v>335</v>
      </c>
      <c r="E867">
        <f>[5]trip_summary_region!E867</f>
        <v>1282</v>
      </c>
      <c r="F867">
        <f>[5]trip_summary_region!F867</f>
        <v>22.721390919000001</v>
      </c>
      <c r="G867">
        <f>[5]trip_summary_region!G867</f>
        <v>104.47151967000001</v>
      </c>
      <c r="H867">
        <f>[5]trip_summary_region!H867</f>
        <v>7.2974324459000002</v>
      </c>
      <c r="I867" t="str">
        <f>[5]trip_summary_region!I867</f>
        <v>Cyclist</v>
      </c>
      <c r="J867" t="str">
        <f>[5]trip_summary_region!J867</f>
        <v>2032/33</v>
      </c>
    </row>
    <row r="868" spans="1:10" x14ac:dyDescent="0.2">
      <c r="A868" t="str">
        <f>[5]trip_summary_region!A868</f>
        <v>13 CANTERBURY</v>
      </c>
      <c r="B868">
        <f>[5]trip_summary_region!B868</f>
        <v>1</v>
      </c>
      <c r="C868">
        <f>[5]trip_summary_region!C868</f>
        <v>2038</v>
      </c>
      <c r="D868">
        <f>[5]trip_summary_region!D868</f>
        <v>335</v>
      </c>
      <c r="E868">
        <f>[5]trip_summary_region!E868</f>
        <v>1282</v>
      </c>
      <c r="F868">
        <f>[5]trip_summary_region!F868</f>
        <v>22.162200831</v>
      </c>
      <c r="G868">
        <f>[5]trip_summary_region!G868</f>
        <v>106.38724944000001</v>
      </c>
      <c r="H868">
        <f>[5]trip_summary_region!H868</f>
        <v>7.2946660628000002</v>
      </c>
      <c r="I868" t="str">
        <f>[5]trip_summary_region!I868</f>
        <v>Cyclist</v>
      </c>
      <c r="J868" t="str">
        <f>[5]trip_summary_region!J868</f>
        <v>2037/38</v>
      </c>
    </row>
    <row r="869" spans="1:10" x14ac:dyDescent="0.2">
      <c r="A869" t="str">
        <f>[5]trip_summary_region!A869</f>
        <v>13 CANTERBURY</v>
      </c>
      <c r="B869">
        <f>[5]trip_summary_region!B869</f>
        <v>1</v>
      </c>
      <c r="C869">
        <f>[5]trip_summary_region!C869</f>
        <v>2043</v>
      </c>
      <c r="D869">
        <f>[5]trip_summary_region!D869</f>
        <v>335</v>
      </c>
      <c r="E869">
        <f>[5]trip_summary_region!E869</f>
        <v>1282</v>
      </c>
      <c r="F869">
        <f>[5]trip_summary_region!F869</f>
        <v>21.741257057999999</v>
      </c>
      <c r="G869">
        <f>[5]trip_summary_region!G869</f>
        <v>108.54372474</v>
      </c>
      <c r="H869">
        <f>[5]trip_summary_region!H869</f>
        <v>7.3229312127000004</v>
      </c>
      <c r="I869" t="str">
        <f>[5]trip_summary_region!I869</f>
        <v>Cyclist</v>
      </c>
      <c r="J869" t="str">
        <f>[5]trip_summary_region!J869</f>
        <v>2042/43</v>
      </c>
    </row>
    <row r="870" spans="1:10" x14ac:dyDescent="0.2">
      <c r="A870" t="str">
        <f>[5]trip_summary_region!A870</f>
        <v>13 CANTERBURY</v>
      </c>
      <c r="B870">
        <f>[5]trip_summary_region!B870</f>
        <v>2</v>
      </c>
      <c r="C870">
        <f>[5]trip_summary_region!C870</f>
        <v>2013</v>
      </c>
      <c r="D870">
        <f>[5]trip_summary_region!D870</f>
        <v>3326</v>
      </c>
      <c r="E870">
        <f>[5]trip_summary_region!E870</f>
        <v>23816</v>
      </c>
      <c r="F870">
        <f>[5]trip_summary_region!F870</f>
        <v>417.41567177000002</v>
      </c>
      <c r="G870">
        <f>[5]trip_summary_region!G870</f>
        <v>3777.041205</v>
      </c>
      <c r="H870">
        <f>[5]trip_summary_region!H870</f>
        <v>111.06814274</v>
      </c>
      <c r="I870" t="str">
        <f>[5]trip_summary_region!I870</f>
        <v>Light Vehicle Driver</v>
      </c>
      <c r="J870" t="str">
        <f>[5]trip_summary_region!J870</f>
        <v>2012/13</v>
      </c>
    </row>
    <row r="871" spans="1:10" x14ac:dyDescent="0.2">
      <c r="A871" t="str">
        <f>[5]trip_summary_region!A871</f>
        <v>13 CANTERBURY</v>
      </c>
      <c r="B871">
        <f>[5]trip_summary_region!B871</f>
        <v>2</v>
      </c>
      <c r="C871">
        <f>[5]trip_summary_region!C871</f>
        <v>2018</v>
      </c>
      <c r="D871">
        <f>[5]trip_summary_region!D871</f>
        <v>3326</v>
      </c>
      <c r="E871">
        <f>[5]trip_summary_region!E871</f>
        <v>23816</v>
      </c>
      <c r="F871">
        <f>[5]trip_summary_region!F871</f>
        <v>424.91188045000001</v>
      </c>
      <c r="G871">
        <f>[5]trip_summary_region!G871</f>
        <v>3905.0524329</v>
      </c>
      <c r="H871">
        <f>[5]trip_summary_region!H871</f>
        <v>114.41472723</v>
      </c>
      <c r="I871" t="str">
        <f>[5]trip_summary_region!I871</f>
        <v>Light Vehicle Driver</v>
      </c>
      <c r="J871" t="str">
        <f>[5]trip_summary_region!J871</f>
        <v>2017/18</v>
      </c>
    </row>
    <row r="872" spans="1:10" x14ac:dyDescent="0.2">
      <c r="A872" t="str">
        <f>[5]trip_summary_region!A872</f>
        <v>13 CANTERBURY</v>
      </c>
      <c r="B872">
        <f>[5]trip_summary_region!B872</f>
        <v>2</v>
      </c>
      <c r="C872">
        <f>[5]trip_summary_region!C872</f>
        <v>2023</v>
      </c>
      <c r="D872">
        <f>[5]trip_summary_region!D872</f>
        <v>3326</v>
      </c>
      <c r="E872">
        <f>[5]trip_summary_region!E872</f>
        <v>23816</v>
      </c>
      <c r="F872">
        <f>[5]trip_summary_region!F872</f>
        <v>455.02604502000003</v>
      </c>
      <c r="G872">
        <f>[5]trip_summary_region!G872</f>
        <v>4221.1438320999996</v>
      </c>
      <c r="H872">
        <f>[5]trip_summary_region!H872</f>
        <v>123.38365906</v>
      </c>
      <c r="I872" t="str">
        <f>[5]trip_summary_region!I872</f>
        <v>Light Vehicle Driver</v>
      </c>
      <c r="J872" t="str">
        <f>[5]trip_summary_region!J872</f>
        <v>2022/23</v>
      </c>
    </row>
    <row r="873" spans="1:10" x14ac:dyDescent="0.2">
      <c r="A873" t="str">
        <f>[5]trip_summary_region!A873</f>
        <v>13 CANTERBURY</v>
      </c>
      <c r="B873">
        <f>[5]trip_summary_region!B873</f>
        <v>2</v>
      </c>
      <c r="C873">
        <f>[5]trip_summary_region!C873</f>
        <v>2028</v>
      </c>
      <c r="D873">
        <f>[5]trip_summary_region!D873</f>
        <v>3326</v>
      </c>
      <c r="E873">
        <f>[5]trip_summary_region!E873</f>
        <v>23816</v>
      </c>
      <c r="F873">
        <f>[5]trip_summary_region!F873</f>
        <v>466.98607525</v>
      </c>
      <c r="G873">
        <f>[5]trip_summary_region!G873</f>
        <v>4353.0056600999997</v>
      </c>
      <c r="H873">
        <f>[5]trip_summary_region!H873</f>
        <v>126.94677208</v>
      </c>
      <c r="I873" t="str">
        <f>[5]trip_summary_region!I873</f>
        <v>Light Vehicle Driver</v>
      </c>
      <c r="J873" t="str">
        <f>[5]trip_summary_region!J873</f>
        <v>2027/28</v>
      </c>
    </row>
    <row r="874" spans="1:10" x14ac:dyDescent="0.2">
      <c r="A874" t="str">
        <f>[5]trip_summary_region!A874</f>
        <v>13 CANTERBURY</v>
      </c>
      <c r="B874">
        <f>[5]trip_summary_region!B874</f>
        <v>2</v>
      </c>
      <c r="C874">
        <f>[5]trip_summary_region!C874</f>
        <v>2033</v>
      </c>
      <c r="D874">
        <f>[5]trip_summary_region!D874</f>
        <v>3326</v>
      </c>
      <c r="E874">
        <f>[5]trip_summary_region!E874</f>
        <v>23816</v>
      </c>
      <c r="F874">
        <f>[5]trip_summary_region!F874</f>
        <v>476.26364869999998</v>
      </c>
      <c r="G874">
        <f>[5]trip_summary_region!G874</f>
        <v>4461.4679281999997</v>
      </c>
      <c r="H874">
        <f>[5]trip_summary_region!H874</f>
        <v>129.88105711</v>
      </c>
      <c r="I874" t="str">
        <f>[5]trip_summary_region!I874</f>
        <v>Light Vehicle Driver</v>
      </c>
      <c r="J874" t="str">
        <f>[5]trip_summary_region!J874</f>
        <v>2032/33</v>
      </c>
    </row>
    <row r="875" spans="1:10" x14ac:dyDescent="0.2">
      <c r="A875" t="str">
        <f>[5]trip_summary_region!A875</f>
        <v>13 CANTERBURY</v>
      </c>
      <c r="B875">
        <f>[5]trip_summary_region!B875</f>
        <v>2</v>
      </c>
      <c r="C875">
        <f>[5]trip_summary_region!C875</f>
        <v>2038</v>
      </c>
      <c r="D875">
        <f>[5]trip_summary_region!D875</f>
        <v>3326</v>
      </c>
      <c r="E875">
        <f>[5]trip_summary_region!E875</f>
        <v>23816</v>
      </c>
      <c r="F875">
        <f>[5]trip_summary_region!F875</f>
        <v>478.04695705</v>
      </c>
      <c r="G875">
        <f>[5]trip_summary_region!G875</f>
        <v>4503.0493705999997</v>
      </c>
      <c r="H875">
        <f>[5]trip_summary_region!H875</f>
        <v>130.88052646</v>
      </c>
      <c r="I875" t="str">
        <f>[5]trip_summary_region!I875</f>
        <v>Light Vehicle Driver</v>
      </c>
      <c r="J875" t="str">
        <f>[5]trip_summary_region!J875</f>
        <v>2037/38</v>
      </c>
    </row>
    <row r="876" spans="1:10" x14ac:dyDescent="0.2">
      <c r="A876" t="str">
        <f>[5]trip_summary_region!A876</f>
        <v>13 CANTERBURY</v>
      </c>
      <c r="B876">
        <f>[5]trip_summary_region!B876</f>
        <v>2</v>
      </c>
      <c r="C876">
        <f>[5]trip_summary_region!C876</f>
        <v>2043</v>
      </c>
      <c r="D876">
        <f>[5]trip_summary_region!D876</f>
        <v>3326</v>
      </c>
      <c r="E876">
        <f>[5]trip_summary_region!E876</f>
        <v>23816</v>
      </c>
      <c r="F876">
        <f>[5]trip_summary_region!F876</f>
        <v>478.14651831999998</v>
      </c>
      <c r="G876">
        <f>[5]trip_summary_region!G876</f>
        <v>4526.2140484000001</v>
      </c>
      <c r="H876">
        <f>[5]trip_summary_region!H876</f>
        <v>131.38892963000001</v>
      </c>
      <c r="I876" t="str">
        <f>[5]trip_summary_region!I876</f>
        <v>Light Vehicle Driver</v>
      </c>
      <c r="J876" t="str">
        <f>[5]trip_summary_region!J876</f>
        <v>2042/43</v>
      </c>
    </row>
    <row r="877" spans="1:10" x14ac:dyDescent="0.2">
      <c r="A877" t="str">
        <f>[5]trip_summary_region!A877</f>
        <v>13 CANTERBURY</v>
      </c>
      <c r="B877">
        <f>[5]trip_summary_region!B877</f>
        <v>3</v>
      </c>
      <c r="C877">
        <f>[5]trip_summary_region!C877</f>
        <v>2013</v>
      </c>
      <c r="D877">
        <f>[5]trip_summary_region!D877</f>
        <v>2416</v>
      </c>
      <c r="E877">
        <f>[5]trip_summary_region!E877</f>
        <v>11025</v>
      </c>
      <c r="F877">
        <f>[5]trip_summary_region!F877</f>
        <v>189.77500577999999</v>
      </c>
      <c r="G877">
        <f>[5]trip_summary_region!G877</f>
        <v>2033.7115475000001</v>
      </c>
      <c r="H877">
        <f>[5]trip_summary_region!H877</f>
        <v>53.544276449999998</v>
      </c>
      <c r="I877" t="str">
        <f>[5]trip_summary_region!I877</f>
        <v>Light Vehicle Passenger</v>
      </c>
      <c r="J877" t="str">
        <f>[5]trip_summary_region!J877</f>
        <v>2012/13</v>
      </c>
    </row>
    <row r="878" spans="1:10" x14ac:dyDescent="0.2">
      <c r="A878" t="str">
        <f>[5]trip_summary_region!A878</f>
        <v>13 CANTERBURY</v>
      </c>
      <c r="B878">
        <f>[5]trip_summary_region!B878</f>
        <v>3</v>
      </c>
      <c r="C878">
        <f>[5]trip_summary_region!C878</f>
        <v>2018</v>
      </c>
      <c r="D878">
        <f>[5]trip_summary_region!D878</f>
        <v>2416</v>
      </c>
      <c r="E878">
        <f>[5]trip_summary_region!E878</f>
        <v>11025</v>
      </c>
      <c r="F878">
        <f>[5]trip_summary_region!F878</f>
        <v>182.69528686000001</v>
      </c>
      <c r="G878">
        <f>[5]trip_summary_region!G878</f>
        <v>1993.6807713000001</v>
      </c>
      <c r="H878">
        <f>[5]trip_summary_region!H878</f>
        <v>52.086145055000003</v>
      </c>
      <c r="I878" t="str">
        <f>[5]trip_summary_region!I878</f>
        <v>Light Vehicle Passenger</v>
      </c>
      <c r="J878" t="str">
        <f>[5]trip_summary_region!J878</f>
        <v>2017/18</v>
      </c>
    </row>
    <row r="879" spans="1:10" x14ac:dyDescent="0.2">
      <c r="A879" t="str">
        <f>[5]trip_summary_region!A879</f>
        <v>13 CANTERBURY</v>
      </c>
      <c r="B879">
        <f>[5]trip_summary_region!B879</f>
        <v>3</v>
      </c>
      <c r="C879">
        <f>[5]trip_summary_region!C879</f>
        <v>2023</v>
      </c>
      <c r="D879">
        <f>[5]trip_summary_region!D879</f>
        <v>2416</v>
      </c>
      <c r="E879">
        <f>[5]trip_summary_region!E879</f>
        <v>11025</v>
      </c>
      <c r="F879">
        <f>[5]trip_summary_region!F879</f>
        <v>189.62871976</v>
      </c>
      <c r="G879">
        <f>[5]trip_summary_region!G879</f>
        <v>2099.7971361</v>
      </c>
      <c r="H879">
        <f>[5]trip_summary_region!H879</f>
        <v>54.454959332999998</v>
      </c>
      <c r="I879" t="str">
        <f>[5]trip_summary_region!I879</f>
        <v>Light Vehicle Passenger</v>
      </c>
      <c r="J879" t="str">
        <f>[5]trip_summary_region!J879</f>
        <v>2022/23</v>
      </c>
    </row>
    <row r="880" spans="1:10" x14ac:dyDescent="0.2">
      <c r="A880" t="str">
        <f>[5]trip_summary_region!A880</f>
        <v>13 CANTERBURY</v>
      </c>
      <c r="B880">
        <f>[5]trip_summary_region!B880</f>
        <v>3</v>
      </c>
      <c r="C880">
        <f>[5]trip_summary_region!C880</f>
        <v>2028</v>
      </c>
      <c r="D880">
        <f>[5]trip_summary_region!D880</f>
        <v>2416</v>
      </c>
      <c r="E880">
        <f>[5]trip_summary_region!E880</f>
        <v>11025</v>
      </c>
      <c r="F880">
        <f>[5]trip_summary_region!F880</f>
        <v>190.12078695</v>
      </c>
      <c r="G880">
        <f>[5]trip_summary_region!G880</f>
        <v>2137.2546604999998</v>
      </c>
      <c r="H880">
        <f>[5]trip_summary_region!H880</f>
        <v>54.90663911</v>
      </c>
      <c r="I880" t="str">
        <f>[5]trip_summary_region!I880</f>
        <v>Light Vehicle Passenger</v>
      </c>
      <c r="J880" t="str">
        <f>[5]trip_summary_region!J880</f>
        <v>2027/28</v>
      </c>
    </row>
    <row r="881" spans="1:10" x14ac:dyDescent="0.2">
      <c r="A881" t="str">
        <f>[5]trip_summary_region!A881</f>
        <v>13 CANTERBURY</v>
      </c>
      <c r="B881">
        <f>[5]trip_summary_region!B881</f>
        <v>3</v>
      </c>
      <c r="C881">
        <f>[5]trip_summary_region!C881</f>
        <v>2033</v>
      </c>
      <c r="D881">
        <f>[5]trip_summary_region!D881</f>
        <v>2416</v>
      </c>
      <c r="E881">
        <f>[5]trip_summary_region!E881</f>
        <v>11025</v>
      </c>
      <c r="F881">
        <f>[5]trip_summary_region!F881</f>
        <v>190.17923761</v>
      </c>
      <c r="G881">
        <f>[5]trip_summary_region!G881</f>
        <v>2166.5518299999999</v>
      </c>
      <c r="H881">
        <f>[5]trip_summary_region!H881</f>
        <v>55.242772422999998</v>
      </c>
      <c r="I881" t="str">
        <f>[5]trip_summary_region!I881</f>
        <v>Light Vehicle Passenger</v>
      </c>
      <c r="J881" t="str">
        <f>[5]trip_summary_region!J881</f>
        <v>2032/33</v>
      </c>
    </row>
    <row r="882" spans="1:10" x14ac:dyDescent="0.2">
      <c r="A882" t="str">
        <f>[5]trip_summary_region!A882</f>
        <v>13 CANTERBURY</v>
      </c>
      <c r="B882">
        <f>[5]trip_summary_region!B882</f>
        <v>3</v>
      </c>
      <c r="C882">
        <f>[5]trip_summary_region!C882</f>
        <v>2038</v>
      </c>
      <c r="D882">
        <f>[5]trip_summary_region!D882</f>
        <v>2416</v>
      </c>
      <c r="E882">
        <f>[5]trip_summary_region!E882</f>
        <v>11025</v>
      </c>
      <c r="F882">
        <f>[5]trip_summary_region!F882</f>
        <v>189.50835878999999</v>
      </c>
      <c r="G882">
        <f>[5]trip_summary_region!G882</f>
        <v>2184.4785963999998</v>
      </c>
      <c r="H882">
        <f>[5]trip_summary_region!H882</f>
        <v>55.397316351999997</v>
      </c>
      <c r="I882" t="str">
        <f>[5]trip_summary_region!I882</f>
        <v>Light Vehicle Passenger</v>
      </c>
      <c r="J882" t="str">
        <f>[5]trip_summary_region!J882</f>
        <v>2037/38</v>
      </c>
    </row>
    <row r="883" spans="1:10" x14ac:dyDescent="0.2">
      <c r="A883" t="str">
        <f>[5]trip_summary_region!A883</f>
        <v>13 CANTERBURY</v>
      </c>
      <c r="B883">
        <f>[5]trip_summary_region!B883</f>
        <v>3</v>
      </c>
      <c r="C883">
        <f>[5]trip_summary_region!C883</f>
        <v>2043</v>
      </c>
      <c r="D883">
        <f>[5]trip_summary_region!D883</f>
        <v>2416</v>
      </c>
      <c r="E883">
        <f>[5]trip_summary_region!E883</f>
        <v>11025</v>
      </c>
      <c r="F883">
        <f>[5]trip_summary_region!F883</f>
        <v>188.64573161000001</v>
      </c>
      <c r="G883">
        <f>[5]trip_summary_region!G883</f>
        <v>2197.0892620999998</v>
      </c>
      <c r="H883">
        <f>[5]trip_summary_region!H883</f>
        <v>55.463885894999997</v>
      </c>
      <c r="I883" t="str">
        <f>[5]trip_summary_region!I883</f>
        <v>Light Vehicle Passenger</v>
      </c>
      <c r="J883" t="str">
        <f>[5]trip_summary_region!J883</f>
        <v>2042/43</v>
      </c>
    </row>
    <row r="884" spans="1:10" x14ac:dyDescent="0.2">
      <c r="A884" t="str">
        <f>[5]trip_summary_region!A884</f>
        <v>13 CANTERBURY</v>
      </c>
      <c r="B884">
        <f>[5]trip_summary_region!B884</f>
        <v>4</v>
      </c>
      <c r="C884">
        <f>[5]trip_summary_region!C884</f>
        <v>2013</v>
      </c>
      <c r="D884">
        <f>[5]trip_summary_region!D884</f>
        <v>68</v>
      </c>
      <c r="E884">
        <f>[5]trip_summary_region!E884</f>
        <v>116</v>
      </c>
      <c r="F884">
        <f>[5]trip_summary_region!F884</f>
        <v>2.2446435044999999</v>
      </c>
      <c r="G884">
        <f>[5]trip_summary_region!G884</f>
        <v>16.530142167000001</v>
      </c>
      <c r="H884">
        <f>[5]trip_summary_region!H884</f>
        <v>0.86554787379999998</v>
      </c>
      <c r="I884" t="s">
        <v>116</v>
      </c>
      <c r="J884" t="str">
        <f>[5]trip_summary_region!J884</f>
        <v>2012/13</v>
      </c>
    </row>
    <row r="885" spans="1:10" x14ac:dyDescent="0.2">
      <c r="A885" t="str">
        <f>[5]trip_summary_region!A885</f>
        <v>13 CANTERBURY</v>
      </c>
      <c r="B885">
        <f>[5]trip_summary_region!B885</f>
        <v>4</v>
      </c>
      <c r="C885">
        <f>[5]trip_summary_region!C885</f>
        <v>2018</v>
      </c>
      <c r="D885">
        <f>[5]trip_summary_region!D885</f>
        <v>68</v>
      </c>
      <c r="E885">
        <f>[5]trip_summary_region!E885</f>
        <v>116</v>
      </c>
      <c r="F885">
        <f>[5]trip_summary_region!F885</f>
        <v>2.3009829149000001</v>
      </c>
      <c r="G885">
        <f>[5]trip_summary_region!G885</f>
        <v>17.686717584</v>
      </c>
      <c r="H885">
        <f>[5]trip_summary_region!H885</f>
        <v>0.89401521880000001</v>
      </c>
      <c r="I885" t="s">
        <v>116</v>
      </c>
      <c r="J885" t="str">
        <f>[5]trip_summary_region!J885</f>
        <v>2017/18</v>
      </c>
    </row>
    <row r="886" spans="1:10" x14ac:dyDescent="0.2">
      <c r="A886" t="str">
        <f>[5]trip_summary_region!A886</f>
        <v>13 CANTERBURY</v>
      </c>
      <c r="B886">
        <f>[5]trip_summary_region!B886</f>
        <v>4</v>
      </c>
      <c r="C886">
        <f>[5]trip_summary_region!C886</f>
        <v>2023</v>
      </c>
      <c r="D886">
        <f>[5]trip_summary_region!D886</f>
        <v>68</v>
      </c>
      <c r="E886">
        <f>[5]trip_summary_region!E886</f>
        <v>116</v>
      </c>
      <c r="F886">
        <f>[5]trip_summary_region!F886</f>
        <v>2.4624834484</v>
      </c>
      <c r="G886">
        <f>[5]trip_summary_region!G886</f>
        <v>19.562265774</v>
      </c>
      <c r="H886">
        <f>[5]trip_summary_region!H886</f>
        <v>0.96134291930000004</v>
      </c>
      <c r="I886" t="s">
        <v>116</v>
      </c>
      <c r="J886" t="str">
        <f>[5]trip_summary_region!J886</f>
        <v>2022/23</v>
      </c>
    </row>
    <row r="887" spans="1:10" x14ac:dyDescent="0.2">
      <c r="A887" t="str">
        <f>[5]trip_summary_region!A887</f>
        <v>13 CANTERBURY</v>
      </c>
      <c r="B887">
        <f>[5]trip_summary_region!B887</f>
        <v>4</v>
      </c>
      <c r="C887">
        <f>[5]trip_summary_region!C887</f>
        <v>2028</v>
      </c>
      <c r="D887">
        <f>[5]trip_summary_region!D887</f>
        <v>68</v>
      </c>
      <c r="E887">
        <f>[5]trip_summary_region!E887</f>
        <v>116</v>
      </c>
      <c r="F887">
        <f>[5]trip_summary_region!F887</f>
        <v>2.4726366943000002</v>
      </c>
      <c r="G887">
        <f>[5]trip_summary_region!G887</f>
        <v>20.028635220999998</v>
      </c>
      <c r="H887">
        <f>[5]trip_summary_region!H887</f>
        <v>0.97067354459999999</v>
      </c>
      <c r="I887" t="s">
        <v>116</v>
      </c>
      <c r="J887" t="str">
        <f>[5]trip_summary_region!J887</f>
        <v>2027/28</v>
      </c>
    </row>
    <row r="888" spans="1:10" x14ac:dyDescent="0.2">
      <c r="A888" t="str">
        <f>[5]trip_summary_region!A888</f>
        <v>13 CANTERBURY</v>
      </c>
      <c r="B888">
        <f>[5]trip_summary_region!B888</f>
        <v>4</v>
      </c>
      <c r="C888">
        <f>[5]trip_summary_region!C888</f>
        <v>2033</v>
      </c>
      <c r="D888">
        <f>[5]trip_summary_region!D888</f>
        <v>68</v>
      </c>
      <c r="E888">
        <f>[5]trip_summary_region!E888</f>
        <v>116</v>
      </c>
      <c r="F888">
        <f>[5]trip_summary_region!F888</f>
        <v>2.4845542909999998</v>
      </c>
      <c r="G888">
        <f>[5]trip_summary_region!G888</f>
        <v>20.549621682000001</v>
      </c>
      <c r="H888">
        <f>[5]trip_summary_region!H888</f>
        <v>0.98412699400000003</v>
      </c>
      <c r="I888" t="s">
        <v>116</v>
      </c>
      <c r="J888" t="str">
        <f>[5]trip_summary_region!J888</f>
        <v>2032/33</v>
      </c>
    </row>
    <row r="889" spans="1:10" x14ac:dyDescent="0.2">
      <c r="A889" t="str">
        <f>[5]trip_summary_region!A889</f>
        <v>13 CANTERBURY</v>
      </c>
      <c r="B889">
        <f>[5]trip_summary_region!B889</f>
        <v>4</v>
      </c>
      <c r="C889">
        <f>[5]trip_summary_region!C889</f>
        <v>2038</v>
      </c>
      <c r="D889">
        <f>[5]trip_summary_region!D889</f>
        <v>68</v>
      </c>
      <c r="E889">
        <f>[5]trip_summary_region!E889</f>
        <v>116</v>
      </c>
      <c r="F889">
        <f>[5]trip_summary_region!F889</f>
        <v>2.4453992224999999</v>
      </c>
      <c r="G889">
        <f>[5]trip_summary_region!G889</f>
        <v>20.720961896999999</v>
      </c>
      <c r="H889">
        <f>[5]trip_summary_region!H889</f>
        <v>0.97279874909999997</v>
      </c>
      <c r="I889" t="s">
        <v>116</v>
      </c>
      <c r="J889" t="str">
        <f>[5]trip_summary_region!J889</f>
        <v>2037/38</v>
      </c>
    </row>
    <row r="890" spans="1:10" x14ac:dyDescent="0.2">
      <c r="A890" t="str">
        <f>[5]trip_summary_region!A890</f>
        <v>13 CANTERBURY</v>
      </c>
      <c r="B890">
        <f>[5]trip_summary_region!B890</f>
        <v>4</v>
      </c>
      <c r="C890">
        <f>[5]trip_summary_region!C890</f>
        <v>2043</v>
      </c>
      <c r="D890">
        <f>[5]trip_summary_region!D890</f>
        <v>68</v>
      </c>
      <c r="E890">
        <f>[5]trip_summary_region!E890</f>
        <v>116</v>
      </c>
      <c r="F890">
        <f>[5]trip_summary_region!F890</f>
        <v>2.3995003456999999</v>
      </c>
      <c r="G890">
        <f>[5]trip_summary_region!G890</f>
        <v>20.820177726000001</v>
      </c>
      <c r="H890">
        <f>[5]trip_summary_region!H890</f>
        <v>0.95652053199999998</v>
      </c>
      <c r="I890" t="s">
        <v>116</v>
      </c>
      <c r="J890" t="str">
        <f>[5]trip_summary_region!J890</f>
        <v>2042/43</v>
      </c>
    </row>
    <row r="891" spans="1:10" x14ac:dyDescent="0.2">
      <c r="A891" t="str">
        <f>[5]trip_summary_region!A891</f>
        <v>13 CANTERBURY</v>
      </c>
      <c r="B891">
        <f>[5]trip_summary_region!B891</f>
        <v>5</v>
      </c>
      <c r="C891">
        <f>[5]trip_summary_region!C891</f>
        <v>2013</v>
      </c>
      <c r="D891">
        <f>[5]trip_summary_region!D891</f>
        <v>29</v>
      </c>
      <c r="E891">
        <f>[5]trip_summary_region!E891</f>
        <v>91</v>
      </c>
      <c r="F891">
        <f>[5]trip_summary_region!F891</f>
        <v>1.4451657518000001</v>
      </c>
      <c r="G891">
        <f>[5]trip_summary_region!G891</f>
        <v>12.048552727000001</v>
      </c>
      <c r="H891">
        <f>[5]trip_summary_region!H891</f>
        <v>0.39288238580000001</v>
      </c>
      <c r="I891" t="str">
        <f>[5]trip_summary_region!I891</f>
        <v>Motorcyclist</v>
      </c>
      <c r="J891" t="str">
        <f>[5]trip_summary_region!J891</f>
        <v>2012/13</v>
      </c>
    </row>
    <row r="892" spans="1:10" x14ac:dyDescent="0.2">
      <c r="A892" t="str">
        <f>[5]trip_summary_region!A892</f>
        <v>13 CANTERBURY</v>
      </c>
      <c r="B892">
        <f>[5]trip_summary_region!B892</f>
        <v>5</v>
      </c>
      <c r="C892">
        <f>[5]trip_summary_region!C892</f>
        <v>2018</v>
      </c>
      <c r="D892">
        <f>[5]trip_summary_region!D892</f>
        <v>29</v>
      </c>
      <c r="E892">
        <f>[5]trip_summary_region!E892</f>
        <v>91</v>
      </c>
      <c r="F892">
        <f>[5]trip_summary_region!F892</f>
        <v>1.465069363</v>
      </c>
      <c r="G892">
        <f>[5]trip_summary_region!G892</f>
        <v>11.788353618</v>
      </c>
      <c r="H892">
        <f>[5]trip_summary_region!H892</f>
        <v>0.39394096499999998</v>
      </c>
      <c r="I892" t="str">
        <f>[5]trip_summary_region!I892</f>
        <v>Motorcyclist</v>
      </c>
      <c r="J892" t="str">
        <f>[5]trip_summary_region!J892</f>
        <v>2017/18</v>
      </c>
    </row>
    <row r="893" spans="1:10" x14ac:dyDescent="0.2">
      <c r="A893" t="str">
        <f>[5]trip_summary_region!A893</f>
        <v>13 CANTERBURY</v>
      </c>
      <c r="B893">
        <f>[5]trip_summary_region!B893</f>
        <v>5</v>
      </c>
      <c r="C893">
        <f>[5]trip_summary_region!C893</f>
        <v>2023</v>
      </c>
      <c r="D893">
        <f>[5]trip_summary_region!D893</f>
        <v>29</v>
      </c>
      <c r="E893">
        <f>[5]trip_summary_region!E893</f>
        <v>91</v>
      </c>
      <c r="F893">
        <f>[5]trip_summary_region!F893</f>
        <v>1.5076881365999999</v>
      </c>
      <c r="G893">
        <f>[5]trip_summary_region!G893</f>
        <v>12.124451517000001</v>
      </c>
      <c r="H893">
        <f>[5]trip_summary_region!H893</f>
        <v>0.41237097169999998</v>
      </c>
      <c r="I893" t="str">
        <f>[5]trip_summary_region!I893</f>
        <v>Motorcyclist</v>
      </c>
      <c r="J893" t="str">
        <f>[5]trip_summary_region!J893</f>
        <v>2022/23</v>
      </c>
    </row>
    <row r="894" spans="1:10" x14ac:dyDescent="0.2">
      <c r="A894" t="str">
        <f>[5]trip_summary_region!A894</f>
        <v>13 CANTERBURY</v>
      </c>
      <c r="B894">
        <f>[5]trip_summary_region!B894</f>
        <v>5</v>
      </c>
      <c r="C894">
        <f>[5]trip_summary_region!C894</f>
        <v>2028</v>
      </c>
      <c r="D894">
        <f>[5]trip_summary_region!D894</f>
        <v>29</v>
      </c>
      <c r="E894">
        <f>[5]trip_summary_region!E894</f>
        <v>91</v>
      </c>
      <c r="F894">
        <f>[5]trip_summary_region!F894</f>
        <v>1.4803109759999999</v>
      </c>
      <c r="G894">
        <f>[5]trip_summary_region!G894</f>
        <v>11.861540332000001</v>
      </c>
      <c r="H894">
        <f>[5]trip_summary_region!H894</f>
        <v>0.41158972539999999</v>
      </c>
      <c r="I894" t="str">
        <f>[5]trip_summary_region!I894</f>
        <v>Motorcyclist</v>
      </c>
      <c r="J894" t="str">
        <f>[5]trip_summary_region!J894</f>
        <v>2027/28</v>
      </c>
    </row>
    <row r="895" spans="1:10" x14ac:dyDescent="0.2">
      <c r="A895" t="str">
        <f>[5]trip_summary_region!A895</f>
        <v>13 CANTERBURY</v>
      </c>
      <c r="B895">
        <f>[5]trip_summary_region!B895</f>
        <v>5</v>
      </c>
      <c r="C895">
        <f>[5]trip_summary_region!C895</f>
        <v>2033</v>
      </c>
      <c r="D895">
        <f>[5]trip_summary_region!D895</f>
        <v>29</v>
      </c>
      <c r="E895">
        <f>[5]trip_summary_region!E895</f>
        <v>91</v>
      </c>
      <c r="F895">
        <f>[5]trip_summary_region!F895</f>
        <v>1.4595520885</v>
      </c>
      <c r="G895">
        <f>[5]trip_summary_region!G895</f>
        <v>11.879171394</v>
      </c>
      <c r="H895">
        <f>[5]trip_summary_region!H895</f>
        <v>0.41637757860000002</v>
      </c>
      <c r="I895" t="str">
        <f>[5]trip_summary_region!I895</f>
        <v>Motorcyclist</v>
      </c>
      <c r="J895" t="str">
        <f>[5]trip_summary_region!J895</f>
        <v>2032/33</v>
      </c>
    </row>
    <row r="896" spans="1:10" x14ac:dyDescent="0.2">
      <c r="A896" t="str">
        <f>[5]trip_summary_region!A896</f>
        <v>13 CANTERBURY</v>
      </c>
      <c r="B896">
        <f>[5]trip_summary_region!B896</f>
        <v>5</v>
      </c>
      <c r="C896">
        <f>[5]trip_summary_region!C896</f>
        <v>2038</v>
      </c>
      <c r="D896">
        <f>[5]trip_summary_region!D896</f>
        <v>29</v>
      </c>
      <c r="E896">
        <f>[5]trip_summary_region!E896</f>
        <v>91</v>
      </c>
      <c r="F896">
        <f>[5]trip_summary_region!F896</f>
        <v>1.4692609398000001</v>
      </c>
      <c r="G896">
        <f>[5]trip_summary_region!G896</f>
        <v>12.117450781000001</v>
      </c>
      <c r="H896">
        <f>[5]trip_summary_region!H896</f>
        <v>0.43006679079999999</v>
      </c>
      <c r="I896" t="str">
        <f>[5]trip_summary_region!I896</f>
        <v>Motorcyclist</v>
      </c>
      <c r="J896" t="str">
        <f>[5]trip_summary_region!J896</f>
        <v>2037/38</v>
      </c>
    </row>
    <row r="897" spans="1:10" x14ac:dyDescent="0.2">
      <c r="A897" t="str">
        <f>[5]trip_summary_region!A897</f>
        <v>13 CANTERBURY</v>
      </c>
      <c r="B897">
        <f>[5]trip_summary_region!B897</f>
        <v>5</v>
      </c>
      <c r="C897">
        <f>[5]trip_summary_region!C897</f>
        <v>2043</v>
      </c>
      <c r="D897">
        <f>[5]trip_summary_region!D897</f>
        <v>29</v>
      </c>
      <c r="E897">
        <f>[5]trip_summary_region!E897</f>
        <v>91</v>
      </c>
      <c r="F897">
        <f>[5]trip_summary_region!F897</f>
        <v>1.4685398071</v>
      </c>
      <c r="G897">
        <f>[5]trip_summary_region!G897</f>
        <v>12.231241571</v>
      </c>
      <c r="H897">
        <f>[5]trip_summary_region!H897</f>
        <v>0.4400229007</v>
      </c>
      <c r="I897" t="str">
        <f>[5]trip_summary_region!I897</f>
        <v>Motorcyclist</v>
      </c>
      <c r="J897" t="str">
        <f>[5]trip_summary_region!J897</f>
        <v>2042/43</v>
      </c>
    </row>
    <row r="898" spans="1:10" x14ac:dyDescent="0.2">
      <c r="A898" t="str">
        <f>[5]trip_summary_region!A898</f>
        <v>13 CANTERBURY</v>
      </c>
      <c r="B898">
        <f>[5]trip_summary_region!B898</f>
        <v>6</v>
      </c>
      <c r="C898">
        <f>[5]trip_summary_region!C898</f>
        <v>2013</v>
      </c>
      <c r="D898">
        <f>[5]trip_summary_region!D898</f>
        <v>1</v>
      </c>
      <c r="E898">
        <f>[5]trip_summary_region!E898</f>
        <v>1</v>
      </c>
      <c r="F898">
        <f>[5]trip_summary_region!F898</f>
        <v>2.1901243099999999E-2</v>
      </c>
      <c r="G898">
        <f>[5]trip_summary_region!G898</f>
        <v>0</v>
      </c>
      <c r="H898">
        <f>[5]trip_summary_region!H898</f>
        <v>7.3004144E-3</v>
      </c>
      <c r="I898" t="str">
        <f>[5]trip_summary_region!I898</f>
        <v>Local Train</v>
      </c>
      <c r="J898" t="str">
        <f>[5]trip_summary_region!J898</f>
        <v>2012/13</v>
      </c>
    </row>
    <row r="899" spans="1:10" x14ac:dyDescent="0.2">
      <c r="A899" t="str">
        <f>[5]trip_summary_region!A899</f>
        <v>13 CANTERBURY</v>
      </c>
      <c r="B899">
        <f>[5]trip_summary_region!B899</f>
        <v>6</v>
      </c>
      <c r="C899">
        <f>[5]trip_summary_region!C899</f>
        <v>2018</v>
      </c>
      <c r="D899">
        <f>[5]trip_summary_region!D899</f>
        <v>1</v>
      </c>
      <c r="E899">
        <f>[5]trip_summary_region!E899</f>
        <v>1</v>
      </c>
      <c r="F899">
        <f>[5]trip_summary_region!F899</f>
        <v>1.99248107E-2</v>
      </c>
      <c r="G899">
        <f>[5]trip_summary_region!G899</f>
        <v>0</v>
      </c>
      <c r="H899">
        <f>[5]trip_summary_region!H899</f>
        <v>6.6416035999999996E-3</v>
      </c>
      <c r="I899" t="str">
        <f>[5]trip_summary_region!I899</f>
        <v>Local Train</v>
      </c>
      <c r="J899" t="str">
        <f>[5]trip_summary_region!J899</f>
        <v>2017/18</v>
      </c>
    </row>
    <row r="900" spans="1:10" x14ac:dyDescent="0.2">
      <c r="A900" t="str">
        <f>[5]trip_summary_region!A900</f>
        <v>13 CANTERBURY</v>
      </c>
      <c r="B900">
        <f>[5]trip_summary_region!B900</f>
        <v>6</v>
      </c>
      <c r="C900">
        <f>[5]trip_summary_region!C900</f>
        <v>2023</v>
      </c>
      <c r="D900">
        <f>[5]trip_summary_region!D900</f>
        <v>1</v>
      </c>
      <c r="E900">
        <f>[5]trip_summary_region!E900</f>
        <v>1</v>
      </c>
      <c r="F900">
        <f>[5]trip_summary_region!F900</f>
        <v>1.6459804799999998E-2</v>
      </c>
      <c r="G900">
        <f>[5]trip_summary_region!G900</f>
        <v>0</v>
      </c>
      <c r="H900">
        <f>[5]trip_summary_region!H900</f>
        <v>5.4866016E-3</v>
      </c>
      <c r="I900" t="str">
        <f>[5]trip_summary_region!I900</f>
        <v>Local Train</v>
      </c>
      <c r="J900" t="str">
        <f>[5]trip_summary_region!J900</f>
        <v>2022/23</v>
      </c>
    </row>
    <row r="901" spans="1:10" x14ac:dyDescent="0.2">
      <c r="A901" t="str">
        <f>[5]trip_summary_region!A901</f>
        <v>13 CANTERBURY</v>
      </c>
      <c r="B901">
        <f>[5]trip_summary_region!B901</f>
        <v>6</v>
      </c>
      <c r="C901">
        <f>[5]trip_summary_region!C901</f>
        <v>2028</v>
      </c>
      <c r="D901">
        <f>[5]trip_summary_region!D901</f>
        <v>1</v>
      </c>
      <c r="E901">
        <f>[5]trip_summary_region!E901</f>
        <v>1</v>
      </c>
      <c r="F901">
        <f>[5]trip_summary_region!F901</f>
        <v>1.4009838300000001E-2</v>
      </c>
      <c r="G901">
        <f>[5]trip_summary_region!G901</f>
        <v>0</v>
      </c>
      <c r="H901">
        <f>[5]trip_summary_region!H901</f>
        <v>4.6699460999999999E-3</v>
      </c>
      <c r="I901" t="str">
        <f>[5]trip_summary_region!I901</f>
        <v>Local Train</v>
      </c>
      <c r="J901" t="str">
        <f>[5]trip_summary_region!J901</f>
        <v>2027/28</v>
      </c>
    </row>
    <row r="902" spans="1:10" x14ac:dyDescent="0.2">
      <c r="A902" t="str">
        <f>[5]trip_summary_region!A902</f>
        <v>13 CANTERBURY</v>
      </c>
      <c r="B902">
        <f>[5]trip_summary_region!B902</f>
        <v>6</v>
      </c>
      <c r="C902">
        <f>[5]trip_summary_region!C902</f>
        <v>2033</v>
      </c>
      <c r="D902">
        <f>[5]trip_summary_region!D902</f>
        <v>1</v>
      </c>
      <c r="E902">
        <f>[5]trip_summary_region!E902</f>
        <v>1</v>
      </c>
      <c r="F902">
        <f>[5]trip_summary_region!F902</f>
        <v>1.22507378E-2</v>
      </c>
      <c r="G902">
        <f>[5]trip_summary_region!G902</f>
        <v>0</v>
      </c>
      <c r="H902">
        <f>[5]trip_summary_region!H902</f>
        <v>4.0835793E-3</v>
      </c>
      <c r="I902" t="str">
        <f>[5]trip_summary_region!I902</f>
        <v>Local Train</v>
      </c>
      <c r="J902" t="str">
        <f>[5]trip_summary_region!J902</f>
        <v>2032/33</v>
      </c>
    </row>
    <row r="903" spans="1:10" x14ac:dyDescent="0.2">
      <c r="A903" t="str">
        <f>[5]trip_summary_region!A903</f>
        <v>13 CANTERBURY</v>
      </c>
      <c r="B903">
        <f>[5]trip_summary_region!B903</f>
        <v>6</v>
      </c>
      <c r="C903">
        <f>[5]trip_summary_region!C903</f>
        <v>2038</v>
      </c>
      <c r="D903">
        <f>[5]trip_summary_region!D903</f>
        <v>1</v>
      </c>
      <c r="E903">
        <f>[5]trip_summary_region!E903</f>
        <v>1</v>
      </c>
      <c r="F903">
        <f>[5]trip_summary_region!F903</f>
        <v>9.6489904999999994E-3</v>
      </c>
      <c r="G903">
        <f>[5]trip_summary_region!G903</f>
        <v>0</v>
      </c>
      <c r="H903">
        <f>[5]trip_summary_region!H903</f>
        <v>3.2163302E-3</v>
      </c>
      <c r="I903" t="str">
        <f>[5]trip_summary_region!I903</f>
        <v>Local Train</v>
      </c>
      <c r="J903" t="str">
        <f>[5]trip_summary_region!J903</f>
        <v>2037/38</v>
      </c>
    </row>
    <row r="904" spans="1:10" x14ac:dyDescent="0.2">
      <c r="A904" t="str">
        <f>[5]trip_summary_region!A904</f>
        <v>13 CANTERBURY</v>
      </c>
      <c r="B904">
        <f>[5]trip_summary_region!B904</f>
        <v>6</v>
      </c>
      <c r="C904">
        <f>[5]trip_summary_region!C904</f>
        <v>2043</v>
      </c>
      <c r="D904">
        <f>[5]trip_summary_region!D904</f>
        <v>1</v>
      </c>
      <c r="E904">
        <f>[5]trip_summary_region!E904</f>
        <v>1</v>
      </c>
      <c r="F904">
        <f>[5]trip_summary_region!F904</f>
        <v>7.4421276E-3</v>
      </c>
      <c r="G904">
        <f>[5]trip_summary_region!G904</f>
        <v>0</v>
      </c>
      <c r="H904">
        <f>[5]trip_summary_region!H904</f>
        <v>2.4807091999999998E-3</v>
      </c>
      <c r="I904" t="str">
        <f>[5]trip_summary_region!I904</f>
        <v>Local Train</v>
      </c>
      <c r="J904" t="str">
        <f>[5]trip_summary_region!J904</f>
        <v>2042/43</v>
      </c>
    </row>
    <row r="905" spans="1:10" x14ac:dyDescent="0.2">
      <c r="A905" t="str">
        <f>[5]trip_summary_region!A905</f>
        <v>13 CANTERBURY</v>
      </c>
      <c r="B905">
        <f>[5]trip_summary_region!B905</f>
        <v>7</v>
      </c>
      <c r="C905">
        <f>[5]trip_summary_region!C905</f>
        <v>2013</v>
      </c>
      <c r="D905">
        <f>[5]trip_summary_region!D905</f>
        <v>384</v>
      </c>
      <c r="E905">
        <f>[5]trip_summary_region!E905</f>
        <v>1120</v>
      </c>
      <c r="F905">
        <f>[5]trip_summary_region!F905</f>
        <v>20.502079716000001</v>
      </c>
      <c r="G905">
        <f>[5]trip_summary_region!G905</f>
        <v>174.53993166999999</v>
      </c>
      <c r="H905">
        <f>[5]trip_summary_region!H905</f>
        <v>7.9805750329</v>
      </c>
      <c r="I905" t="str">
        <f>[5]trip_summary_region!I905</f>
        <v>Local Bus</v>
      </c>
      <c r="J905" t="str">
        <f>[5]trip_summary_region!J905</f>
        <v>2012/13</v>
      </c>
    </row>
    <row r="906" spans="1:10" x14ac:dyDescent="0.2">
      <c r="A906" t="str">
        <f>[5]trip_summary_region!A906</f>
        <v>13 CANTERBURY</v>
      </c>
      <c r="B906">
        <f>[5]trip_summary_region!B906</f>
        <v>7</v>
      </c>
      <c r="C906">
        <f>[5]trip_summary_region!C906</f>
        <v>2018</v>
      </c>
      <c r="D906">
        <f>[5]trip_summary_region!D906</f>
        <v>384</v>
      </c>
      <c r="E906">
        <f>[5]trip_summary_region!E906</f>
        <v>1120</v>
      </c>
      <c r="F906">
        <f>[5]trip_summary_region!F906</f>
        <v>18.950914411999999</v>
      </c>
      <c r="G906">
        <f>[5]trip_summary_region!G906</f>
        <v>161.08250000999999</v>
      </c>
      <c r="H906">
        <f>[5]trip_summary_region!H906</f>
        <v>7.3627264895</v>
      </c>
      <c r="I906" t="str">
        <f>[5]trip_summary_region!I906</f>
        <v>Local Bus</v>
      </c>
      <c r="J906" t="str">
        <f>[5]trip_summary_region!J906</f>
        <v>2017/18</v>
      </c>
    </row>
    <row r="907" spans="1:10" x14ac:dyDescent="0.2">
      <c r="A907" t="str">
        <f>[5]trip_summary_region!A907</f>
        <v>13 CANTERBURY</v>
      </c>
      <c r="B907">
        <f>[5]trip_summary_region!B907</f>
        <v>7</v>
      </c>
      <c r="C907">
        <f>[5]trip_summary_region!C907</f>
        <v>2023</v>
      </c>
      <c r="D907">
        <f>[5]trip_summary_region!D907</f>
        <v>384</v>
      </c>
      <c r="E907">
        <f>[5]trip_summary_region!E907</f>
        <v>1120</v>
      </c>
      <c r="F907">
        <f>[5]trip_summary_region!F907</f>
        <v>18.604709035999999</v>
      </c>
      <c r="G907">
        <f>[5]trip_summary_region!G907</f>
        <v>157.95421587999999</v>
      </c>
      <c r="H907">
        <f>[5]trip_summary_region!H907</f>
        <v>7.2313939413000003</v>
      </c>
      <c r="I907" t="str">
        <f>[5]trip_summary_region!I907</f>
        <v>Local Bus</v>
      </c>
      <c r="J907" t="str">
        <f>[5]trip_summary_region!J907</f>
        <v>2022/23</v>
      </c>
    </row>
    <row r="908" spans="1:10" x14ac:dyDescent="0.2">
      <c r="A908" t="str">
        <f>[5]trip_summary_region!A908</f>
        <v>13 CANTERBURY</v>
      </c>
      <c r="B908">
        <f>[5]trip_summary_region!B908</f>
        <v>7</v>
      </c>
      <c r="C908">
        <f>[5]trip_summary_region!C908</f>
        <v>2028</v>
      </c>
      <c r="D908">
        <f>[5]trip_summary_region!D908</f>
        <v>384</v>
      </c>
      <c r="E908">
        <f>[5]trip_summary_region!E908</f>
        <v>1120</v>
      </c>
      <c r="F908">
        <f>[5]trip_summary_region!F908</f>
        <v>17.364226896000002</v>
      </c>
      <c r="G908">
        <f>[5]trip_summary_region!G908</f>
        <v>149.70069903999999</v>
      </c>
      <c r="H908">
        <f>[5]trip_summary_region!H908</f>
        <v>6.7886232322</v>
      </c>
      <c r="I908" t="str">
        <f>[5]trip_summary_region!I908</f>
        <v>Local Bus</v>
      </c>
      <c r="J908" t="str">
        <f>[5]trip_summary_region!J908</f>
        <v>2027/28</v>
      </c>
    </row>
    <row r="909" spans="1:10" x14ac:dyDescent="0.2">
      <c r="A909" t="str">
        <f>[5]trip_summary_region!A909</f>
        <v>13 CANTERBURY</v>
      </c>
      <c r="B909">
        <f>[5]trip_summary_region!B909</f>
        <v>7</v>
      </c>
      <c r="C909">
        <f>[5]trip_summary_region!C909</f>
        <v>2033</v>
      </c>
      <c r="D909">
        <f>[5]trip_summary_region!D909</f>
        <v>384</v>
      </c>
      <c r="E909">
        <f>[5]trip_summary_region!E909</f>
        <v>1120</v>
      </c>
      <c r="F909">
        <f>[5]trip_summary_region!F909</f>
        <v>16.073011381000001</v>
      </c>
      <c r="G909">
        <f>[5]trip_summary_region!G909</f>
        <v>140.45897252</v>
      </c>
      <c r="H909">
        <f>[5]trip_summary_region!H909</f>
        <v>6.3254628748000004</v>
      </c>
      <c r="I909" t="str">
        <f>[5]trip_summary_region!I909</f>
        <v>Local Bus</v>
      </c>
      <c r="J909" t="str">
        <f>[5]trip_summary_region!J909</f>
        <v>2032/33</v>
      </c>
    </row>
    <row r="910" spans="1:10" x14ac:dyDescent="0.2">
      <c r="A910" t="str">
        <f>[5]trip_summary_region!A910</f>
        <v>13 CANTERBURY</v>
      </c>
      <c r="B910">
        <f>[5]trip_summary_region!B910</f>
        <v>7</v>
      </c>
      <c r="C910">
        <f>[5]trip_summary_region!C910</f>
        <v>2038</v>
      </c>
      <c r="D910">
        <f>[5]trip_summary_region!D910</f>
        <v>384</v>
      </c>
      <c r="E910">
        <f>[5]trip_summary_region!E910</f>
        <v>1120</v>
      </c>
      <c r="F910">
        <f>[5]trip_summary_region!F910</f>
        <v>15.092949816999999</v>
      </c>
      <c r="G910">
        <f>[5]trip_summary_region!G910</f>
        <v>133.06017739000001</v>
      </c>
      <c r="H910">
        <f>[5]trip_summary_region!H910</f>
        <v>5.9750273263000002</v>
      </c>
      <c r="I910" t="str">
        <f>[5]trip_summary_region!I910</f>
        <v>Local Bus</v>
      </c>
      <c r="J910" t="str">
        <f>[5]trip_summary_region!J910</f>
        <v>2037/38</v>
      </c>
    </row>
    <row r="911" spans="1:10" x14ac:dyDescent="0.2">
      <c r="A911" t="str">
        <f>[5]trip_summary_region!A911</f>
        <v>13 CANTERBURY</v>
      </c>
      <c r="B911">
        <f>[5]trip_summary_region!B911</f>
        <v>7</v>
      </c>
      <c r="C911">
        <f>[5]trip_summary_region!C911</f>
        <v>2043</v>
      </c>
      <c r="D911">
        <f>[5]trip_summary_region!D911</f>
        <v>384</v>
      </c>
      <c r="E911">
        <f>[5]trip_summary_region!E911</f>
        <v>1120</v>
      </c>
      <c r="F911">
        <f>[5]trip_summary_region!F911</f>
        <v>14.25533604</v>
      </c>
      <c r="G911">
        <f>[5]trip_summary_region!G911</f>
        <v>126.5397564</v>
      </c>
      <c r="H911">
        <f>[5]trip_summary_region!H911</f>
        <v>5.6727710079999998</v>
      </c>
      <c r="I911" t="str">
        <f>[5]trip_summary_region!I911</f>
        <v>Local Bus</v>
      </c>
      <c r="J911" t="str">
        <f>[5]trip_summary_region!J911</f>
        <v>2042/43</v>
      </c>
    </row>
    <row r="912" spans="1:10" x14ac:dyDescent="0.2">
      <c r="A912" t="str">
        <f>[5]trip_summary_region!A912</f>
        <v>13 CANTERBURY</v>
      </c>
      <c r="B912">
        <f>[5]trip_summary_region!B912</f>
        <v>9</v>
      </c>
      <c r="C912">
        <f>[5]trip_summary_region!C912</f>
        <v>2013</v>
      </c>
      <c r="D912">
        <f>[5]trip_summary_region!D912</f>
        <v>31</v>
      </c>
      <c r="E912">
        <f>[5]trip_summary_region!E912</f>
        <v>81</v>
      </c>
      <c r="F912">
        <f>[5]trip_summary_region!F912</f>
        <v>1.5386198845000001</v>
      </c>
      <c r="G912">
        <f>[5]trip_summary_region!G912</f>
        <v>0</v>
      </c>
      <c r="H912">
        <f>[5]trip_summary_region!H912</f>
        <v>0.91635513570000005</v>
      </c>
      <c r="I912" t="str">
        <f>[5]trip_summary_region!I912</f>
        <v>Other Household Travel</v>
      </c>
      <c r="J912" t="str">
        <f>[5]trip_summary_region!J912</f>
        <v>2012/13</v>
      </c>
    </row>
    <row r="913" spans="1:10" x14ac:dyDescent="0.2">
      <c r="A913" t="str">
        <f>[5]trip_summary_region!A913</f>
        <v>13 CANTERBURY</v>
      </c>
      <c r="B913">
        <f>[5]trip_summary_region!B913</f>
        <v>9</v>
      </c>
      <c r="C913">
        <f>[5]trip_summary_region!C913</f>
        <v>2018</v>
      </c>
      <c r="D913">
        <f>[5]trip_summary_region!D913</f>
        <v>31</v>
      </c>
      <c r="E913">
        <f>[5]trip_summary_region!E913</f>
        <v>81</v>
      </c>
      <c r="F913">
        <f>[5]trip_summary_region!F913</f>
        <v>1.5795513725000001</v>
      </c>
      <c r="G913">
        <f>[5]trip_summary_region!G913</f>
        <v>0</v>
      </c>
      <c r="H913">
        <f>[5]trip_summary_region!H913</f>
        <v>0.91598638369999996</v>
      </c>
      <c r="I913" t="str">
        <f>[5]trip_summary_region!I913</f>
        <v>Other Household Travel</v>
      </c>
      <c r="J913" t="str">
        <f>[5]trip_summary_region!J913</f>
        <v>2017/18</v>
      </c>
    </row>
    <row r="914" spans="1:10" x14ac:dyDescent="0.2">
      <c r="A914" t="str">
        <f>[5]trip_summary_region!A914</f>
        <v>13 CANTERBURY</v>
      </c>
      <c r="B914">
        <f>[5]trip_summary_region!B914</f>
        <v>9</v>
      </c>
      <c r="C914">
        <f>[5]trip_summary_region!C914</f>
        <v>2023</v>
      </c>
      <c r="D914">
        <f>[5]trip_summary_region!D914</f>
        <v>31</v>
      </c>
      <c r="E914">
        <f>[5]trip_summary_region!E914</f>
        <v>81</v>
      </c>
      <c r="F914">
        <f>[5]trip_summary_region!F914</f>
        <v>1.7706479574</v>
      </c>
      <c r="G914">
        <f>[5]trip_summary_region!G914</f>
        <v>0</v>
      </c>
      <c r="H914">
        <f>[5]trip_summary_region!H914</f>
        <v>1.0163061402</v>
      </c>
      <c r="I914" t="str">
        <f>[5]trip_summary_region!I914</f>
        <v>Other Household Travel</v>
      </c>
      <c r="J914" t="str">
        <f>[5]trip_summary_region!J914</f>
        <v>2022/23</v>
      </c>
    </row>
    <row r="915" spans="1:10" x14ac:dyDescent="0.2">
      <c r="A915" t="str">
        <f>[5]trip_summary_region!A915</f>
        <v>13 CANTERBURY</v>
      </c>
      <c r="B915">
        <f>[5]trip_summary_region!B915</f>
        <v>9</v>
      </c>
      <c r="C915">
        <f>[5]trip_summary_region!C915</f>
        <v>2028</v>
      </c>
      <c r="D915">
        <f>[5]trip_summary_region!D915</f>
        <v>31</v>
      </c>
      <c r="E915">
        <f>[5]trip_summary_region!E915</f>
        <v>81</v>
      </c>
      <c r="F915">
        <f>[5]trip_summary_region!F915</f>
        <v>1.8259119762</v>
      </c>
      <c r="G915">
        <f>[5]trip_summary_region!G915</f>
        <v>0</v>
      </c>
      <c r="H915">
        <f>[5]trip_summary_region!H915</f>
        <v>1.0672157019999999</v>
      </c>
      <c r="I915" t="str">
        <f>[5]trip_summary_region!I915</f>
        <v>Other Household Travel</v>
      </c>
      <c r="J915" t="str">
        <f>[5]trip_summary_region!J915</f>
        <v>2027/28</v>
      </c>
    </row>
    <row r="916" spans="1:10" x14ac:dyDescent="0.2">
      <c r="A916" t="str">
        <f>[5]trip_summary_region!A916</f>
        <v>13 CANTERBURY</v>
      </c>
      <c r="B916">
        <f>[5]trip_summary_region!B916</f>
        <v>9</v>
      </c>
      <c r="C916">
        <f>[5]trip_summary_region!C916</f>
        <v>2033</v>
      </c>
      <c r="D916">
        <f>[5]trip_summary_region!D916</f>
        <v>31</v>
      </c>
      <c r="E916">
        <f>[5]trip_summary_region!E916</f>
        <v>81</v>
      </c>
      <c r="F916">
        <f>[5]trip_summary_region!F916</f>
        <v>1.8011753214999999</v>
      </c>
      <c r="G916">
        <f>[5]trip_summary_region!G916</f>
        <v>0</v>
      </c>
      <c r="H916">
        <f>[5]trip_summary_region!H916</f>
        <v>1.0775690252000001</v>
      </c>
      <c r="I916" t="str">
        <f>[5]trip_summary_region!I916</f>
        <v>Other Household Travel</v>
      </c>
      <c r="J916" t="str">
        <f>[5]trip_summary_region!J916</f>
        <v>2032/33</v>
      </c>
    </row>
    <row r="917" spans="1:10" x14ac:dyDescent="0.2">
      <c r="A917" t="str">
        <f>[5]trip_summary_region!A917</f>
        <v>13 CANTERBURY</v>
      </c>
      <c r="B917">
        <f>[5]trip_summary_region!B917</f>
        <v>9</v>
      </c>
      <c r="C917">
        <f>[5]trip_summary_region!C917</f>
        <v>2038</v>
      </c>
      <c r="D917">
        <f>[5]trip_summary_region!D917</f>
        <v>31</v>
      </c>
      <c r="E917">
        <f>[5]trip_summary_region!E917</f>
        <v>81</v>
      </c>
      <c r="F917">
        <f>[5]trip_summary_region!F917</f>
        <v>1.6973016487000001</v>
      </c>
      <c r="G917">
        <f>[5]trip_summary_region!G917</f>
        <v>0</v>
      </c>
      <c r="H917">
        <f>[5]trip_summary_region!H917</f>
        <v>1.0455025004</v>
      </c>
      <c r="I917" t="str">
        <f>[5]trip_summary_region!I917</f>
        <v>Other Household Travel</v>
      </c>
      <c r="J917" t="str">
        <f>[5]trip_summary_region!J917</f>
        <v>2037/38</v>
      </c>
    </row>
    <row r="918" spans="1:10" x14ac:dyDescent="0.2">
      <c r="A918" t="str">
        <f>[5]trip_summary_region!A918</f>
        <v>13 CANTERBURY</v>
      </c>
      <c r="B918">
        <f>[5]trip_summary_region!B918</f>
        <v>9</v>
      </c>
      <c r="C918">
        <f>[5]trip_summary_region!C918</f>
        <v>2043</v>
      </c>
      <c r="D918">
        <f>[5]trip_summary_region!D918</f>
        <v>31</v>
      </c>
      <c r="E918">
        <f>[5]trip_summary_region!E918</f>
        <v>81</v>
      </c>
      <c r="F918">
        <f>[5]trip_summary_region!F918</f>
        <v>1.5291058887</v>
      </c>
      <c r="G918">
        <f>[5]trip_summary_region!G918</f>
        <v>0</v>
      </c>
      <c r="H918">
        <f>[5]trip_summary_region!H918</f>
        <v>0.98662383840000001</v>
      </c>
      <c r="I918" t="str">
        <f>[5]trip_summary_region!I918</f>
        <v>Other Household Travel</v>
      </c>
      <c r="J918" t="str">
        <f>[5]trip_summary_region!J918</f>
        <v>2042/43</v>
      </c>
    </row>
    <row r="919" spans="1:10" x14ac:dyDescent="0.2">
      <c r="A919" t="str">
        <f>[5]trip_summary_region!A919</f>
        <v>13 CANTERBURY</v>
      </c>
      <c r="B919">
        <f>[5]trip_summary_region!B919</f>
        <v>10</v>
      </c>
      <c r="C919">
        <f>[5]trip_summary_region!C919</f>
        <v>2013</v>
      </c>
      <c r="D919">
        <f>[5]trip_summary_region!D919</f>
        <v>99</v>
      </c>
      <c r="E919">
        <f>[5]trip_summary_region!E919</f>
        <v>124</v>
      </c>
      <c r="F919">
        <f>[5]trip_summary_region!F919</f>
        <v>2.4822614922000001</v>
      </c>
      <c r="G919">
        <f>[5]trip_summary_region!G919</f>
        <v>66.176348546</v>
      </c>
      <c r="H919">
        <f>[5]trip_summary_region!H919</f>
        <v>3.9785271960999999</v>
      </c>
      <c r="I919" t="str">
        <f>[5]trip_summary_region!I919</f>
        <v>Air/Non-Local PT</v>
      </c>
      <c r="J919" t="str">
        <f>[5]trip_summary_region!J919</f>
        <v>2012/13</v>
      </c>
    </row>
    <row r="920" spans="1:10" x14ac:dyDescent="0.2">
      <c r="A920" t="str">
        <f>[5]trip_summary_region!A920</f>
        <v>13 CANTERBURY</v>
      </c>
      <c r="B920">
        <f>[5]trip_summary_region!B920</f>
        <v>10</v>
      </c>
      <c r="C920">
        <f>[5]trip_summary_region!C920</f>
        <v>2018</v>
      </c>
      <c r="D920">
        <f>[5]trip_summary_region!D920</f>
        <v>99</v>
      </c>
      <c r="E920">
        <f>[5]trip_summary_region!E920</f>
        <v>124</v>
      </c>
      <c r="F920">
        <f>[5]trip_summary_region!F920</f>
        <v>2.6366427210999999</v>
      </c>
      <c r="G920">
        <f>[5]trip_summary_region!G920</f>
        <v>66.896112105</v>
      </c>
      <c r="H920">
        <f>[5]trip_summary_region!H920</f>
        <v>4.3669050655000001</v>
      </c>
      <c r="I920" t="str">
        <f>[5]trip_summary_region!I920</f>
        <v>Air/Non-Local PT</v>
      </c>
      <c r="J920" t="str">
        <f>[5]trip_summary_region!J920</f>
        <v>2017/18</v>
      </c>
    </row>
    <row r="921" spans="1:10" x14ac:dyDescent="0.2">
      <c r="A921" t="str">
        <f>[5]trip_summary_region!A921</f>
        <v>13 CANTERBURY</v>
      </c>
      <c r="B921">
        <f>[5]trip_summary_region!B921</f>
        <v>10</v>
      </c>
      <c r="C921">
        <f>[5]trip_summary_region!C921</f>
        <v>2023</v>
      </c>
      <c r="D921">
        <f>[5]trip_summary_region!D921</f>
        <v>99</v>
      </c>
      <c r="E921">
        <f>[5]trip_summary_region!E921</f>
        <v>124</v>
      </c>
      <c r="F921">
        <f>[5]trip_summary_region!F921</f>
        <v>2.921358997</v>
      </c>
      <c r="G921">
        <f>[5]trip_summary_region!G921</f>
        <v>69.411804011000001</v>
      </c>
      <c r="H921">
        <f>[5]trip_summary_region!H921</f>
        <v>4.9090832212000004</v>
      </c>
      <c r="I921" t="str">
        <f>[5]trip_summary_region!I921</f>
        <v>Air/Non-Local PT</v>
      </c>
      <c r="J921" t="str">
        <f>[5]trip_summary_region!J921</f>
        <v>2022/23</v>
      </c>
    </row>
    <row r="922" spans="1:10" x14ac:dyDescent="0.2">
      <c r="A922" t="str">
        <f>[5]trip_summary_region!A922</f>
        <v>13 CANTERBURY</v>
      </c>
      <c r="B922">
        <f>[5]trip_summary_region!B922</f>
        <v>10</v>
      </c>
      <c r="C922">
        <f>[5]trip_summary_region!C922</f>
        <v>2028</v>
      </c>
      <c r="D922">
        <f>[5]trip_summary_region!D922</f>
        <v>99</v>
      </c>
      <c r="E922">
        <f>[5]trip_summary_region!E922</f>
        <v>124</v>
      </c>
      <c r="F922">
        <f>[5]trip_summary_region!F922</f>
        <v>3.0983895424000001</v>
      </c>
      <c r="G922">
        <f>[5]trip_summary_region!G922</f>
        <v>73.804358116000003</v>
      </c>
      <c r="H922">
        <f>[5]trip_summary_region!H922</f>
        <v>5.2909642734000002</v>
      </c>
      <c r="I922" t="str">
        <f>[5]trip_summary_region!I922</f>
        <v>Air/Non-Local PT</v>
      </c>
      <c r="J922" t="str">
        <f>[5]trip_summary_region!J922</f>
        <v>2027/28</v>
      </c>
    </row>
    <row r="923" spans="1:10" x14ac:dyDescent="0.2">
      <c r="A923" t="str">
        <f>[5]trip_summary_region!A923</f>
        <v>13 CANTERBURY</v>
      </c>
      <c r="B923">
        <f>[5]trip_summary_region!B923</f>
        <v>10</v>
      </c>
      <c r="C923">
        <f>[5]trip_summary_region!C923</f>
        <v>2033</v>
      </c>
      <c r="D923">
        <f>[5]trip_summary_region!D923</f>
        <v>99</v>
      </c>
      <c r="E923">
        <f>[5]trip_summary_region!E923</f>
        <v>124</v>
      </c>
      <c r="F923">
        <f>[5]trip_summary_region!F923</f>
        <v>3.2614293404999999</v>
      </c>
      <c r="G923">
        <f>[5]trip_summary_region!G923</f>
        <v>80.899806182999995</v>
      </c>
      <c r="H923">
        <f>[5]trip_summary_region!H923</f>
        <v>5.6719294713000004</v>
      </c>
      <c r="I923" t="str">
        <f>[5]trip_summary_region!I923</f>
        <v>Air/Non-Local PT</v>
      </c>
      <c r="J923" t="str">
        <f>[5]trip_summary_region!J923</f>
        <v>2032/33</v>
      </c>
    </row>
    <row r="924" spans="1:10" x14ac:dyDescent="0.2">
      <c r="A924" t="str">
        <f>[5]trip_summary_region!A924</f>
        <v>13 CANTERBURY</v>
      </c>
      <c r="B924">
        <f>[5]trip_summary_region!B924</f>
        <v>10</v>
      </c>
      <c r="C924">
        <f>[5]trip_summary_region!C924</f>
        <v>2038</v>
      </c>
      <c r="D924">
        <f>[5]trip_summary_region!D924</f>
        <v>99</v>
      </c>
      <c r="E924">
        <f>[5]trip_summary_region!E924</f>
        <v>124</v>
      </c>
      <c r="F924">
        <f>[5]trip_summary_region!F924</f>
        <v>3.3569232265000002</v>
      </c>
      <c r="G924">
        <f>[5]trip_summary_region!G924</f>
        <v>84.583689781999993</v>
      </c>
      <c r="H924">
        <f>[5]trip_summary_region!H924</f>
        <v>5.8303875609000002</v>
      </c>
      <c r="I924" t="str">
        <f>[5]trip_summary_region!I924</f>
        <v>Air/Non-Local PT</v>
      </c>
      <c r="J924" t="str">
        <f>[5]trip_summary_region!J924</f>
        <v>2037/38</v>
      </c>
    </row>
    <row r="925" spans="1:10" x14ac:dyDescent="0.2">
      <c r="A925" t="str">
        <f>[5]trip_summary_region!A925</f>
        <v>13 CANTERBURY</v>
      </c>
      <c r="B925">
        <f>[5]trip_summary_region!B925</f>
        <v>10</v>
      </c>
      <c r="C925">
        <f>[5]trip_summary_region!C925</f>
        <v>2043</v>
      </c>
      <c r="D925">
        <f>[5]trip_summary_region!D925</f>
        <v>99</v>
      </c>
      <c r="E925">
        <f>[5]trip_summary_region!E925</f>
        <v>124</v>
      </c>
      <c r="F925">
        <f>[5]trip_summary_region!F925</f>
        <v>3.4405027591000001</v>
      </c>
      <c r="G925">
        <f>[5]trip_summary_region!G925</f>
        <v>87.638048335999997</v>
      </c>
      <c r="H925">
        <f>[5]trip_summary_region!H925</f>
        <v>5.9554710280999998</v>
      </c>
      <c r="I925" t="str">
        <f>[5]trip_summary_region!I925</f>
        <v>Air/Non-Local PT</v>
      </c>
      <c r="J925" t="str">
        <f>[5]trip_summary_region!J925</f>
        <v>2042/43</v>
      </c>
    </row>
    <row r="926" spans="1:10" x14ac:dyDescent="0.2">
      <c r="A926" t="str">
        <f>[5]trip_summary_region!A926</f>
        <v>13 CANTERBURY</v>
      </c>
      <c r="B926">
        <f>[5]trip_summary_region!B926</f>
        <v>11</v>
      </c>
      <c r="C926">
        <f>[5]trip_summary_region!C926</f>
        <v>2013</v>
      </c>
      <c r="D926">
        <f>[5]trip_summary_region!D926</f>
        <v>113</v>
      </c>
      <c r="E926">
        <f>[5]trip_summary_region!E926</f>
        <v>551</v>
      </c>
      <c r="F926">
        <f>[5]trip_summary_region!F926</f>
        <v>9.2459779483000002</v>
      </c>
      <c r="G926">
        <f>[5]trip_summary_region!G926</f>
        <v>114.47945472000001</v>
      </c>
      <c r="H926">
        <f>[5]trip_summary_region!H926</f>
        <v>3.3743770355999998</v>
      </c>
      <c r="I926" t="str">
        <f>[5]trip_summary_region!I926</f>
        <v>Non-Household Travel</v>
      </c>
      <c r="J926" t="str">
        <f>[5]trip_summary_region!J926</f>
        <v>2012/13</v>
      </c>
    </row>
    <row r="927" spans="1:10" x14ac:dyDescent="0.2">
      <c r="A927" t="str">
        <f>[5]trip_summary_region!A927</f>
        <v>13 CANTERBURY</v>
      </c>
      <c r="B927">
        <f>[5]trip_summary_region!B927</f>
        <v>11</v>
      </c>
      <c r="C927">
        <f>[5]trip_summary_region!C927</f>
        <v>2018</v>
      </c>
      <c r="D927">
        <f>[5]trip_summary_region!D927</f>
        <v>113</v>
      </c>
      <c r="E927">
        <f>[5]trip_summary_region!E927</f>
        <v>551</v>
      </c>
      <c r="F927">
        <f>[5]trip_summary_region!F927</f>
        <v>9.3696527052</v>
      </c>
      <c r="G927">
        <f>[5]trip_summary_region!G927</f>
        <v>118.59818945000001</v>
      </c>
      <c r="H927">
        <f>[5]trip_summary_region!H927</f>
        <v>3.5151121293999998</v>
      </c>
      <c r="I927" t="str">
        <f>[5]trip_summary_region!I927</f>
        <v>Non-Household Travel</v>
      </c>
      <c r="J927" t="str">
        <f>[5]trip_summary_region!J927</f>
        <v>2017/18</v>
      </c>
    </row>
    <row r="928" spans="1:10" x14ac:dyDescent="0.2">
      <c r="A928" t="str">
        <f>[5]trip_summary_region!A928</f>
        <v>13 CANTERBURY</v>
      </c>
      <c r="B928">
        <f>[5]trip_summary_region!B928</f>
        <v>11</v>
      </c>
      <c r="C928">
        <f>[5]trip_summary_region!C928</f>
        <v>2023</v>
      </c>
      <c r="D928">
        <f>[5]trip_summary_region!D928</f>
        <v>113</v>
      </c>
      <c r="E928">
        <f>[5]trip_summary_region!E928</f>
        <v>551</v>
      </c>
      <c r="F928">
        <f>[5]trip_summary_region!F928</f>
        <v>9.9195921618000007</v>
      </c>
      <c r="G928">
        <f>[5]trip_summary_region!G928</f>
        <v>128.00311092999999</v>
      </c>
      <c r="H928">
        <f>[5]trip_summary_region!H928</f>
        <v>3.8158654546999999</v>
      </c>
      <c r="I928" t="str">
        <f>[5]trip_summary_region!I928</f>
        <v>Non-Household Travel</v>
      </c>
      <c r="J928" t="str">
        <f>[5]trip_summary_region!J928</f>
        <v>2022/23</v>
      </c>
    </row>
    <row r="929" spans="1:10" x14ac:dyDescent="0.2">
      <c r="A929" t="str">
        <f>[5]trip_summary_region!A929</f>
        <v>13 CANTERBURY</v>
      </c>
      <c r="B929">
        <f>[5]trip_summary_region!B929</f>
        <v>11</v>
      </c>
      <c r="C929">
        <f>[5]trip_summary_region!C929</f>
        <v>2028</v>
      </c>
      <c r="D929">
        <f>[5]trip_summary_region!D929</f>
        <v>113</v>
      </c>
      <c r="E929">
        <f>[5]trip_summary_region!E929</f>
        <v>551</v>
      </c>
      <c r="F929">
        <f>[5]trip_summary_region!F929</f>
        <v>10.167972597</v>
      </c>
      <c r="G929">
        <f>[5]trip_summary_region!G929</f>
        <v>134.22637900999999</v>
      </c>
      <c r="H929">
        <f>[5]trip_summary_region!H929</f>
        <v>4.0085094402000001</v>
      </c>
      <c r="I929" t="str">
        <f>[5]trip_summary_region!I929</f>
        <v>Non-Household Travel</v>
      </c>
      <c r="J929" t="str">
        <f>[5]trip_summary_region!J929</f>
        <v>2027/28</v>
      </c>
    </row>
    <row r="930" spans="1:10" x14ac:dyDescent="0.2">
      <c r="A930" t="str">
        <f>[5]trip_summary_region!A930</f>
        <v>13 CANTERBURY</v>
      </c>
      <c r="B930">
        <f>[5]trip_summary_region!B930</f>
        <v>11</v>
      </c>
      <c r="C930">
        <f>[5]trip_summary_region!C930</f>
        <v>2033</v>
      </c>
      <c r="D930">
        <f>[5]trip_summary_region!D930</f>
        <v>113</v>
      </c>
      <c r="E930">
        <f>[5]trip_summary_region!E930</f>
        <v>551</v>
      </c>
      <c r="F930">
        <f>[5]trip_summary_region!F930</f>
        <v>10.531856654</v>
      </c>
      <c r="G930">
        <f>[5]trip_summary_region!G930</f>
        <v>140.23360414999999</v>
      </c>
      <c r="H930">
        <f>[5]trip_summary_region!H930</f>
        <v>4.2154899793</v>
      </c>
      <c r="I930" t="str">
        <f>[5]trip_summary_region!I930</f>
        <v>Non-Household Travel</v>
      </c>
      <c r="J930" t="str">
        <f>[5]trip_summary_region!J930</f>
        <v>2032/33</v>
      </c>
    </row>
    <row r="931" spans="1:10" x14ac:dyDescent="0.2">
      <c r="A931" t="str">
        <f>[5]trip_summary_region!A931</f>
        <v>13 CANTERBURY</v>
      </c>
      <c r="B931">
        <f>[5]trip_summary_region!B931</f>
        <v>11</v>
      </c>
      <c r="C931">
        <f>[5]trip_summary_region!C931</f>
        <v>2038</v>
      </c>
      <c r="D931">
        <f>[5]trip_summary_region!D931</f>
        <v>113</v>
      </c>
      <c r="E931">
        <f>[5]trip_summary_region!E931</f>
        <v>551</v>
      </c>
      <c r="F931">
        <f>[5]trip_summary_region!F931</f>
        <v>10.937415054000001</v>
      </c>
      <c r="G931">
        <f>[5]trip_summary_region!G931</f>
        <v>143.83106004000001</v>
      </c>
      <c r="H931">
        <f>[5]trip_summary_region!H931</f>
        <v>4.3405341289999999</v>
      </c>
      <c r="I931" t="str">
        <f>[5]trip_summary_region!I931</f>
        <v>Non-Household Travel</v>
      </c>
      <c r="J931" t="str">
        <f>[5]trip_summary_region!J931</f>
        <v>2037/38</v>
      </c>
    </row>
    <row r="932" spans="1:10" x14ac:dyDescent="0.2">
      <c r="A932" t="str">
        <f>[5]trip_summary_region!A932</f>
        <v>13 CANTERBURY</v>
      </c>
      <c r="B932">
        <f>[5]trip_summary_region!B932</f>
        <v>11</v>
      </c>
      <c r="C932">
        <f>[5]trip_summary_region!C932</f>
        <v>2043</v>
      </c>
      <c r="D932">
        <f>[5]trip_summary_region!D932</f>
        <v>113</v>
      </c>
      <c r="E932">
        <f>[5]trip_summary_region!E932</f>
        <v>551</v>
      </c>
      <c r="F932">
        <f>[5]trip_summary_region!F932</f>
        <v>11.359577198</v>
      </c>
      <c r="G932">
        <f>[5]trip_summary_region!G932</f>
        <v>147.29362555</v>
      </c>
      <c r="H932">
        <f>[5]trip_summary_region!H932</f>
        <v>4.4599050046000004</v>
      </c>
      <c r="I932" t="str">
        <f>[5]trip_summary_region!I932</f>
        <v>Non-Household Travel</v>
      </c>
      <c r="J932" t="str">
        <f>[5]trip_summary_region!J932</f>
        <v>2042/43</v>
      </c>
    </row>
    <row r="933" spans="1:10" x14ac:dyDescent="0.2">
      <c r="A933" t="str">
        <f>[5]trip_summary_region!A933</f>
        <v>14 OTAGO</v>
      </c>
      <c r="B933">
        <f>[5]trip_summary_region!B933</f>
        <v>0</v>
      </c>
      <c r="C933">
        <f>[5]trip_summary_region!C933</f>
        <v>2013</v>
      </c>
      <c r="D933">
        <f>[5]trip_summary_region!D933</f>
        <v>545</v>
      </c>
      <c r="E933">
        <f>[5]trip_summary_region!E933</f>
        <v>2150</v>
      </c>
      <c r="F933">
        <f>[5]trip_summary_region!F933</f>
        <v>58.261736425999999</v>
      </c>
      <c r="G933">
        <f>[5]trip_summary_region!G933</f>
        <v>45.829100335</v>
      </c>
      <c r="H933">
        <f>[5]trip_summary_region!H933</f>
        <v>11.651603939999999</v>
      </c>
      <c r="I933" t="str">
        <f>[5]trip_summary_region!I933</f>
        <v>Pedestrian</v>
      </c>
      <c r="J933" t="str">
        <f>[5]trip_summary_region!J933</f>
        <v>2012/13</v>
      </c>
    </row>
    <row r="934" spans="1:10" x14ac:dyDescent="0.2">
      <c r="A934" t="str">
        <f>[5]trip_summary_region!A934</f>
        <v>14 OTAGO</v>
      </c>
      <c r="B934">
        <f>[5]trip_summary_region!B934</f>
        <v>0</v>
      </c>
      <c r="C934">
        <f>[5]trip_summary_region!C934</f>
        <v>2018</v>
      </c>
      <c r="D934">
        <f>[5]trip_summary_region!D934</f>
        <v>545</v>
      </c>
      <c r="E934">
        <f>[5]trip_summary_region!E934</f>
        <v>2150</v>
      </c>
      <c r="F934">
        <f>[5]trip_summary_region!F934</f>
        <v>54.287146602</v>
      </c>
      <c r="G934">
        <f>[5]trip_summary_region!G934</f>
        <v>42.279196642999999</v>
      </c>
      <c r="H934">
        <f>[5]trip_summary_region!H934</f>
        <v>10.937242764000001</v>
      </c>
      <c r="I934" t="str">
        <f>[5]trip_summary_region!I934</f>
        <v>Pedestrian</v>
      </c>
      <c r="J934" t="str">
        <f>[5]trip_summary_region!J934</f>
        <v>2017/18</v>
      </c>
    </row>
    <row r="935" spans="1:10" x14ac:dyDescent="0.2">
      <c r="A935" t="str">
        <f>[5]trip_summary_region!A935</f>
        <v>14 OTAGO</v>
      </c>
      <c r="B935">
        <f>[5]trip_summary_region!B935</f>
        <v>0</v>
      </c>
      <c r="C935">
        <f>[5]trip_summary_region!C935</f>
        <v>2023</v>
      </c>
      <c r="D935">
        <f>[5]trip_summary_region!D935</f>
        <v>545</v>
      </c>
      <c r="E935">
        <f>[5]trip_summary_region!E935</f>
        <v>2150</v>
      </c>
      <c r="F935">
        <f>[5]trip_summary_region!F935</f>
        <v>54.728982379000001</v>
      </c>
      <c r="G935">
        <f>[5]trip_summary_region!G935</f>
        <v>42.279293553000002</v>
      </c>
      <c r="H935">
        <f>[5]trip_summary_region!H935</f>
        <v>11.112111855</v>
      </c>
      <c r="I935" t="str">
        <f>[5]trip_summary_region!I935</f>
        <v>Pedestrian</v>
      </c>
      <c r="J935" t="str">
        <f>[5]trip_summary_region!J935</f>
        <v>2022/23</v>
      </c>
    </row>
    <row r="936" spans="1:10" x14ac:dyDescent="0.2">
      <c r="A936" t="str">
        <f>[5]trip_summary_region!A936</f>
        <v>14 OTAGO</v>
      </c>
      <c r="B936">
        <f>[5]trip_summary_region!B936</f>
        <v>0</v>
      </c>
      <c r="C936">
        <f>[5]trip_summary_region!C936</f>
        <v>2028</v>
      </c>
      <c r="D936">
        <f>[5]trip_summary_region!D936</f>
        <v>545</v>
      </c>
      <c r="E936">
        <f>[5]trip_summary_region!E936</f>
        <v>2150</v>
      </c>
      <c r="F936">
        <f>[5]trip_summary_region!F936</f>
        <v>52.528809662999997</v>
      </c>
      <c r="G936">
        <f>[5]trip_summary_region!G936</f>
        <v>40.345203703000003</v>
      </c>
      <c r="H936">
        <f>[5]trip_summary_region!H936</f>
        <v>10.789124656</v>
      </c>
      <c r="I936" t="str">
        <f>[5]trip_summary_region!I936</f>
        <v>Pedestrian</v>
      </c>
      <c r="J936" t="str">
        <f>[5]trip_summary_region!J936</f>
        <v>2027/28</v>
      </c>
    </row>
    <row r="937" spans="1:10" x14ac:dyDescent="0.2">
      <c r="A937" t="str">
        <f>[5]trip_summary_region!A937</f>
        <v>14 OTAGO</v>
      </c>
      <c r="B937">
        <f>[5]trip_summary_region!B937</f>
        <v>0</v>
      </c>
      <c r="C937">
        <f>[5]trip_summary_region!C937</f>
        <v>2033</v>
      </c>
      <c r="D937">
        <f>[5]trip_summary_region!D937</f>
        <v>545</v>
      </c>
      <c r="E937">
        <f>[5]trip_summary_region!E937</f>
        <v>2150</v>
      </c>
      <c r="F937">
        <f>[5]trip_summary_region!F937</f>
        <v>50.579572689999999</v>
      </c>
      <c r="G937">
        <f>[5]trip_summary_region!G937</f>
        <v>38.686542922999998</v>
      </c>
      <c r="H937">
        <f>[5]trip_summary_region!H937</f>
        <v>10.486888782999999</v>
      </c>
      <c r="I937" t="str">
        <f>[5]trip_summary_region!I937</f>
        <v>Pedestrian</v>
      </c>
      <c r="J937" t="str">
        <f>[5]trip_summary_region!J937</f>
        <v>2032/33</v>
      </c>
    </row>
    <row r="938" spans="1:10" x14ac:dyDescent="0.2">
      <c r="A938" t="str">
        <f>[5]trip_summary_region!A938</f>
        <v>14 OTAGO</v>
      </c>
      <c r="B938">
        <f>[5]trip_summary_region!B938</f>
        <v>0</v>
      </c>
      <c r="C938">
        <f>[5]trip_summary_region!C938</f>
        <v>2038</v>
      </c>
      <c r="D938">
        <f>[5]trip_summary_region!D938</f>
        <v>545</v>
      </c>
      <c r="E938">
        <f>[5]trip_summary_region!E938</f>
        <v>2150</v>
      </c>
      <c r="F938">
        <f>[5]trip_summary_region!F938</f>
        <v>48.370310379999999</v>
      </c>
      <c r="G938">
        <f>[5]trip_summary_region!G938</f>
        <v>37.143858848999997</v>
      </c>
      <c r="H938">
        <f>[5]trip_summary_region!H938</f>
        <v>10.173651181</v>
      </c>
      <c r="I938" t="str">
        <f>[5]trip_summary_region!I938</f>
        <v>Pedestrian</v>
      </c>
      <c r="J938" t="str">
        <f>[5]trip_summary_region!J938</f>
        <v>2037/38</v>
      </c>
    </row>
    <row r="939" spans="1:10" x14ac:dyDescent="0.2">
      <c r="A939" t="str">
        <f>[5]trip_summary_region!A939</f>
        <v>14 OTAGO</v>
      </c>
      <c r="B939">
        <f>[5]trip_summary_region!B939</f>
        <v>0</v>
      </c>
      <c r="C939">
        <f>[5]trip_summary_region!C939</f>
        <v>2043</v>
      </c>
      <c r="D939">
        <f>[5]trip_summary_region!D939</f>
        <v>545</v>
      </c>
      <c r="E939">
        <f>[5]trip_summary_region!E939</f>
        <v>2150</v>
      </c>
      <c r="F939">
        <f>[5]trip_summary_region!F939</f>
        <v>46.452441802000003</v>
      </c>
      <c r="G939">
        <f>[5]trip_summary_region!G939</f>
        <v>35.864552308</v>
      </c>
      <c r="H939">
        <f>[5]trip_summary_region!H939</f>
        <v>9.9136827927999995</v>
      </c>
      <c r="I939" t="str">
        <f>[5]trip_summary_region!I939</f>
        <v>Pedestrian</v>
      </c>
      <c r="J939" t="str">
        <f>[5]trip_summary_region!J939</f>
        <v>2042/43</v>
      </c>
    </row>
    <row r="940" spans="1:10" x14ac:dyDescent="0.2">
      <c r="A940" t="str">
        <f>[5]trip_summary_region!A940</f>
        <v>14 OTAGO</v>
      </c>
      <c r="B940">
        <f>[5]trip_summary_region!B940</f>
        <v>1</v>
      </c>
      <c r="C940">
        <f>[5]trip_summary_region!C940</f>
        <v>2013</v>
      </c>
      <c r="D940">
        <f>[5]trip_summary_region!D940</f>
        <v>52</v>
      </c>
      <c r="E940">
        <f>[5]trip_summary_region!E940</f>
        <v>151</v>
      </c>
      <c r="F940">
        <f>[5]trip_summary_region!F940</f>
        <v>4.5847179276999999</v>
      </c>
      <c r="G940">
        <f>[5]trip_summary_region!G940</f>
        <v>16.325352069000001</v>
      </c>
      <c r="H940">
        <f>[5]trip_summary_region!H940</f>
        <v>1.6089304994</v>
      </c>
      <c r="I940" t="str">
        <f>[5]trip_summary_region!I940</f>
        <v>Cyclist</v>
      </c>
      <c r="J940" t="str">
        <f>[5]trip_summary_region!J940</f>
        <v>2012/13</v>
      </c>
    </row>
    <row r="941" spans="1:10" x14ac:dyDescent="0.2">
      <c r="A941" t="str">
        <f>[5]trip_summary_region!A941</f>
        <v>14 OTAGO</v>
      </c>
      <c r="B941">
        <f>[5]trip_summary_region!B941</f>
        <v>1</v>
      </c>
      <c r="C941">
        <f>[5]trip_summary_region!C941</f>
        <v>2018</v>
      </c>
      <c r="D941">
        <f>[5]trip_summary_region!D941</f>
        <v>52</v>
      </c>
      <c r="E941">
        <f>[5]trip_summary_region!E941</f>
        <v>151</v>
      </c>
      <c r="F941">
        <f>[5]trip_summary_region!F941</f>
        <v>4.3579715829000003</v>
      </c>
      <c r="G941">
        <f>[5]trip_summary_region!G941</f>
        <v>16.636352073000001</v>
      </c>
      <c r="H941">
        <f>[5]trip_summary_region!H941</f>
        <v>1.6077200387999999</v>
      </c>
      <c r="I941" t="str">
        <f>[5]trip_summary_region!I941</f>
        <v>Cyclist</v>
      </c>
      <c r="J941" t="str">
        <f>[5]trip_summary_region!J941</f>
        <v>2017/18</v>
      </c>
    </row>
    <row r="942" spans="1:10" x14ac:dyDescent="0.2">
      <c r="A942" t="str">
        <f>[5]trip_summary_region!A942</f>
        <v>14 OTAGO</v>
      </c>
      <c r="B942">
        <f>[5]trip_summary_region!B942</f>
        <v>1</v>
      </c>
      <c r="C942">
        <f>[5]trip_summary_region!C942</f>
        <v>2023</v>
      </c>
      <c r="D942">
        <f>[5]trip_summary_region!D942</f>
        <v>52</v>
      </c>
      <c r="E942">
        <f>[5]trip_summary_region!E942</f>
        <v>151</v>
      </c>
      <c r="F942">
        <f>[5]trip_summary_region!F942</f>
        <v>4.4352158516999998</v>
      </c>
      <c r="G942">
        <f>[5]trip_summary_region!G942</f>
        <v>18.061923226000001</v>
      </c>
      <c r="H942">
        <f>[5]trip_summary_region!H942</f>
        <v>1.7181957366</v>
      </c>
      <c r="I942" t="str">
        <f>[5]trip_summary_region!I942</f>
        <v>Cyclist</v>
      </c>
      <c r="J942" t="str">
        <f>[5]trip_summary_region!J942</f>
        <v>2022/23</v>
      </c>
    </row>
    <row r="943" spans="1:10" x14ac:dyDescent="0.2">
      <c r="A943" t="str">
        <f>[5]trip_summary_region!A943</f>
        <v>14 OTAGO</v>
      </c>
      <c r="B943">
        <f>[5]trip_summary_region!B943</f>
        <v>1</v>
      </c>
      <c r="C943">
        <f>[5]trip_summary_region!C943</f>
        <v>2028</v>
      </c>
      <c r="D943">
        <f>[5]trip_summary_region!D943</f>
        <v>52</v>
      </c>
      <c r="E943">
        <f>[5]trip_summary_region!E943</f>
        <v>151</v>
      </c>
      <c r="F943">
        <f>[5]trip_summary_region!F943</f>
        <v>4.1764183595000004</v>
      </c>
      <c r="G943">
        <f>[5]trip_summary_region!G943</f>
        <v>17.909257646</v>
      </c>
      <c r="H943">
        <f>[5]trip_summary_region!H943</f>
        <v>1.6719917342999999</v>
      </c>
      <c r="I943" t="str">
        <f>[5]trip_summary_region!I943</f>
        <v>Cyclist</v>
      </c>
      <c r="J943" t="str">
        <f>[5]trip_summary_region!J943</f>
        <v>2027/28</v>
      </c>
    </row>
    <row r="944" spans="1:10" x14ac:dyDescent="0.2">
      <c r="A944" t="str">
        <f>[5]trip_summary_region!A944</f>
        <v>14 OTAGO</v>
      </c>
      <c r="B944">
        <f>[5]trip_summary_region!B944</f>
        <v>1</v>
      </c>
      <c r="C944">
        <f>[5]trip_summary_region!C944</f>
        <v>2033</v>
      </c>
      <c r="D944">
        <f>[5]trip_summary_region!D944</f>
        <v>52</v>
      </c>
      <c r="E944">
        <f>[5]trip_summary_region!E944</f>
        <v>151</v>
      </c>
      <c r="F944">
        <f>[5]trip_summary_region!F944</f>
        <v>3.9884301282000001</v>
      </c>
      <c r="G944">
        <f>[5]trip_summary_region!G944</f>
        <v>17.616765740999998</v>
      </c>
      <c r="H944">
        <f>[5]trip_summary_region!H944</f>
        <v>1.6311057726</v>
      </c>
      <c r="I944" t="str">
        <f>[5]trip_summary_region!I944</f>
        <v>Cyclist</v>
      </c>
      <c r="J944" t="str">
        <f>[5]trip_summary_region!J944</f>
        <v>2032/33</v>
      </c>
    </row>
    <row r="945" spans="1:10" x14ac:dyDescent="0.2">
      <c r="A945" t="str">
        <f>[5]trip_summary_region!A945</f>
        <v>14 OTAGO</v>
      </c>
      <c r="B945">
        <f>[5]trip_summary_region!B945</f>
        <v>1</v>
      </c>
      <c r="C945">
        <f>[5]trip_summary_region!C945</f>
        <v>2038</v>
      </c>
      <c r="D945">
        <f>[5]trip_summary_region!D945</f>
        <v>52</v>
      </c>
      <c r="E945">
        <f>[5]trip_summary_region!E945</f>
        <v>151</v>
      </c>
      <c r="F945">
        <f>[5]trip_summary_region!F945</f>
        <v>3.8280133262999998</v>
      </c>
      <c r="G945">
        <f>[5]trip_summary_region!G945</f>
        <v>17.268311416</v>
      </c>
      <c r="H945">
        <f>[5]trip_summary_region!H945</f>
        <v>1.6038302960999999</v>
      </c>
      <c r="I945" t="str">
        <f>[5]trip_summary_region!I945</f>
        <v>Cyclist</v>
      </c>
      <c r="J945" t="str">
        <f>[5]trip_summary_region!J945</f>
        <v>2037/38</v>
      </c>
    </row>
    <row r="946" spans="1:10" x14ac:dyDescent="0.2">
      <c r="A946" t="str">
        <f>[5]trip_summary_region!A946</f>
        <v>14 OTAGO</v>
      </c>
      <c r="B946">
        <f>[5]trip_summary_region!B946</f>
        <v>1</v>
      </c>
      <c r="C946">
        <f>[5]trip_summary_region!C946</f>
        <v>2043</v>
      </c>
      <c r="D946">
        <f>[5]trip_summary_region!D946</f>
        <v>52</v>
      </c>
      <c r="E946">
        <f>[5]trip_summary_region!E946</f>
        <v>151</v>
      </c>
      <c r="F946">
        <f>[5]trip_summary_region!F946</f>
        <v>3.6575988158000001</v>
      </c>
      <c r="G946">
        <f>[5]trip_summary_region!G946</f>
        <v>16.811140774999998</v>
      </c>
      <c r="H946">
        <f>[5]trip_summary_region!H946</f>
        <v>1.5706331404</v>
      </c>
      <c r="I946" t="str">
        <f>[5]trip_summary_region!I946</f>
        <v>Cyclist</v>
      </c>
      <c r="J946" t="str">
        <f>[5]trip_summary_region!J946</f>
        <v>2042/43</v>
      </c>
    </row>
    <row r="947" spans="1:10" x14ac:dyDescent="0.2">
      <c r="A947" t="str">
        <f>[5]trip_summary_region!A947</f>
        <v>14 OTAGO</v>
      </c>
      <c r="B947">
        <f>[5]trip_summary_region!B947</f>
        <v>2</v>
      </c>
      <c r="C947">
        <f>[5]trip_summary_region!C947</f>
        <v>2013</v>
      </c>
      <c r="D947">
        <f>[5]trip_summary_region!D947</f>
        <v>734</v>
      </c>
      <c r="E947">
        <f>[5]trip_summary_region!E947</f>
        <v>5488</v>
      </c>
      <c r="F947">
        <f>[5]trip_summary_region!F947</f>
        <v>150.49144967999999</v>
      </c>
      <c r="G947">
        <f>[5]trip_summary_region!G947</f>
        <v>1192.1699989000001</v>
      </c>
      <c r="H947">
        <f>[5]trip_summary_region!H947</f>
        <v>32.522387277</v>
      </c>
      <c r="I947" t="str">
        <f>[5]trip_summary_region!I947</f>
        <v>Light Vehicle Driver</v>
      </c>
      <c r="J947" t="str">
        <f>[5]trip_summary_region!J947</f>
        <v>2012/13</v>
      </c>
    </row>
    <row r="948" spans="1:10" x14ac:dyDescent="0.2">
      <c r="A948" t="str">
        <f>[5]trip_summary_region!A948</f>
        <v>14 OTAGO</v>
      </c>
      <c r="B948">
        <f>[5]trip_summary_region!B948</f>
        <v>2</v>
      </c>
      <c r="C948">
        <f>[5]trip_summary_region!C948</f>
        <v>2018</v>
      </c>
      <c r="D948">
        <f>[5]trip_summary_region!D948</f>
        <v>734</v>
      </c>
      <c r="E948">
        <f>[5]trip_summary_region!E948</f>
        <v>5488</v>
      </c>
      <c r="F948">
        <f>[5]trip_summary_region!F948</f>
        <v>143.18840872000001</v>
      </c>
      <c r="G948">
        <f>[5]trip_summary_region!G948</f>
        <v>1173.5840929000001</v>
      </c>
      <c r="H948">
        <f>[5]trip_summary_region!H948</f>
        <v>31.574441053000001</v>
      </c>
      <c r="I948" t="str">
        <f>[5]trip_summary_region!I948</f>
        <v>Light Vehicle Driver</v>
      </c>
      <c r="J948" t="str">
        <f>[5]trip_summary_region!J948</f>
        <v>2017/18</v>
      </c>
    </row>
    <row r="949" spans="1:10" x14ac:dyDescent="0.2">
      <c r="A949" t="str">
        <f>[5]trip_summary_region!A949</f>
        <v>14 OTAGO</v>
      </c>
      <c r="B949">
        <f>[5]trip_summary_region!B949</f>
        <v>2</v>
      </c>
      <c r="C949">
        <f>[5]trip_summary_region!C949</f>
        <v>2023</v>
      </c>
      <c r="D949">
        <f>[5]trip_summary_region!D949</f>
        <v>734</v>
      </c>
      <c r="E949">
        <f>[5]trip_summary_region!E949</f>
        <v>5488</v>
      </c>
      <c r="F949">
        <f>[5]trip_summary_region!F949</f>
        <v>147.76012986000001</v>
      </c>
      <c r="G949">
        <f>[5]trip_summary_region!G949</f>
        <v>1254.6524787999999</v>
      </c>
      <c r="H949">
        <f>[5]trip_summary_region!H949</f>
        <v>33.220509413000002</v>
      </c>
      <c r="I949" t="str">
        <f>[5]trip_summary_region!I949</f>
        <v>Light Vehicle Driver</v>
      </c>
      <c r="J949" t="str">
        <f>[5]trip_summary_region!J949</f>
        <v>2022/23</v>
      </c>
    </row>
    <row r="950" spans="1:10" x14ac:dyDescent="0.2">
      <c r="A950" t="str">
        <f>[5]trip_summary_region!A950</f>
        <v>14 OTAGO</v>
      </c>
      <c r="B950">
        <f>[5]trip_summary_region!B950</f>
        <v>2</v>
      </c>
      <c r="C950">
        <f>[5]trip_summary_region!C950</f>
        <v>2028</v>
      </c>
      <c r="D950">
        <f>[5]trip_summary_region!D950</f>
        <v>734</v>
      </c>
      <c r="E950">
        <f>[5]trip_summary_region!E950</f>
        <v>5488</v>
      </c>
      <c r="F950">
        <f>[5]trip_summary_region!F950</f>
        <v>147.83028272000001</v>
      </c>
      <c r="G950">
        <f>[5]trip_summary_region!G950</f>
        <v>1287.5188254</v>
      </c>
      <c r="H950">
        <f>[5]trip_summary_region!H950</f>
        <v>33.706942269999999</v>
      </c>
      <c r="I950" t="str">
        <f>[5]trip_summary_region!I950</f>
        <v>Light Vehicle Driver</v>
      </c>
      <c r="J950" t="str">
        <f>[5]trip_summary_region!J950</f>
        <v>2027/28</v>
      </c>
    </row>
    <row r="951" spans="1:10" x14ac:dyDescent="0.2">
      <c r="A951" t="str">
        <f>[5]trip_summary_region!A951</f>
        <v>14 OTAGO</v>
      </c>
      <c r="B951">
        <f>[5]trip_summary_region!B951</f>
        <v>2</v>
      </c>
      <c r="C951">
        <f>[5]trip_summary_region!C951</f>
        <v>2033</v>
      </c>
      <c r="D951">
        <f>[5]trip_summary_region!D951</f>
        <v>734</v>
      </c>
      <c r="E951">
        <f>[5]trip_summary_region!E951</f>
        <v>5488</v>
      </c>
      <c r="F951">
        <f>[5]trip_summary_region!F951</f>
        <v>146.98525810000001</v>
      </c>
      <c r="G951">
        <f>[5]trip_summary_region!G951</f>
        <v>1316.0629550000001</v>
      </c>
      <c r="H951">
        <f>[5]trip_summary_region!H951</f>
        <v>34.017639709999997</v>
      </c>
      <c r="I951" t="str">
        <f>[5]trip_summary_region!I951</f>
        <v>Light Vehicle Driver</v>
      </c>
      <c r="J951" t="str">
        <f>[5]trip_summary_region!J951</f>
        <v>2032/33</v>
      </c>
    </row>
    <row r="952" spans="1:10" x14ac:dyDescent="0.2">
      <c r="A952" t="str">
        <f>[5]trip_summary_region!A952</f>
        <v>14 OTAGO</v>
      </c>
      <c r="B952">
        <f>[5]trip_summary_region!B952</f>
        <v>2</v>
      </c>
      <c r="C952">
        <f>[5]trip_summary_region!C952</f>
        <v>2038</v>
      </c>
      <c r="D952">
        <f>[5]trip_summary_region!D952</f>
        <v>734</v>
      </c>
      <c r="E952">
        <f>[5]trip_summary_region!E952</f>
        <v>5488</v>
      </c>
      <c r="F952">
        <f>[5]trip_summary_region!F952</f>
        <v>143.30428135</v>
      </c>
      <c r="G952">
        <f>[5]trip_summary_region!G952</f>
        <v>1335.7204564000001</v>
      </c>
      <c r="H952">
        <f>[5]trip_summary_region!H952</f>
        <v>33.888697049999998</v>
      </c>
      <c r="I952" t="str">
        <f>[5]trip_summary_region!I952</f>
        <v>Light Vehicle Driver</v>
      </c>
      <c r="J952" t="str">
        <f>[5]trip_summary_region!J952</f>
        <v>2037/38</v>
      </c>
    </row>
    <row r="953" spans="1:10" x14ac:dyDescent="0.2">
      <c r="A953" t="str">
        <f>[5]trip_summary_region!A953</f>
        <v>14 OTAGO</v>
      </c>
      <c r="B953">
        <f>[5]trip_summary_region!B953</f>
        <v>2</v>
      </c>
      <c r="C953">
        <f>[5]trip_summary_region!C953</f>
        <v>2043</v>
      </c>
      <c r="D953">
        <f>[5]trip_summary_region!D953</f>
        <v>734</v>
      </c>
      <c r="E953">
        <f>[5]trip_summary_region!E953</f>
        <v>5488</v>
      </c>
      <c r="F953">
        <f>[5]trip_summary_region!F953</f>
        <v>139.43080549999999</v>
      </c>
      <c r="G953">
        <f>[5]trip_summary_region!G953</f>
        <v>1353.7958186000001</v>
      </c>
      <c r="H953">
        <f>[5]trip_summary_region!H953</f>
        <v>33.696872998000003</v>
      </c>
      <c r="I953" t="str">
        <f>[5]trip_summary_region!I953</f>
        <v>Light Vehicle Driver</v>
      </c>
      <c r="J953" t="str">
        <f>[5]trip_summary_region!J953</f>
        <v>2042/43</v>
      </c>
    </row>
    <row r="954" spans="1:10" x14ac:dyDescent="0.2">
      <c r="A954" t="str">
        <f>[5]trip_summary_region!A954</f>
        <v>14 OTAGO</v>
      </c>
      <c r="B954">
        <f>[5]trip_summary_region!B954</f>
        <v>3</v>
      </c>
      <c r="C954">
        <f>[5]trip_summary_region!C954</f>
        <v>2013</v>
      </c>
      <c r="D954">
        <f>[5]trip_summary_region!D954</f>
        <v>543</v>
      </c>
      <c r="E954">
        <f>[5]trip_summary_region!E954</f>
        <v>2595</v>
      </c>
      <c r="F954">
        <f>[5]trip_summary_region!F954</f>
        <v>71.232164202000007</v>
      </c>
      <c r="G954">
        <f>[5]trip_summary_region!G954</f>
        <v>849.31688999999994</v>
      </c>
      <c r="H954">
        <f>[5]trip_summary_region!H954</f>
        <v>19.901766343999999</v>
      </c>
      <c r="I954" t="str">
        <f>[5]trip_summary_region!I954</f>
        <v>Light Vehicle Passenger</v>
      </c>
      <c r="J954" t="str">
        <f>[5]trip_summary_region!J954</f>
        <v>2012/13</v>
      </c>
    </row>
    <row r="955" spans="1:10" x14ac:dyDescent="0.2">
      <c r="A955" t="str">
        <f>[5]trip_summary_region!A955</f>
        <v>14 OTAGO</v>
      </c>
      <c r="B955">
        <f>[5]trip_summary_region!B955</f>
        <v>3</v>
      </c>
      <c r="C955">
        <f>[5]trip_summary_region!C955</f>
        <v>2018</v>
      </c>
      <c r="D955">
        <f>[5]trip_summary_region!D955</f>
        <v>543</v>
      </c>
      <c r="E955">
        <f>[5]trip_summary_region!E955</f>
        <v>2595</v>
      </c>
      <c r="F955">
        <f>[5]trip_summary_region!F955</f>
        <v>65.037863856000001</v>
      </c>
      <c r="G955">
        <f>[5]trip_summary_region!G955</f>
        <v>802.45047210999996</v>
      </c>
      <c r="H955">
        <f>[5]trip_summary_region!H955</f>
        <v>18.584077365999999</v>
      </c>
      <c r="I955" t="str">
        <f>[5]trip_summary_region!I955</f>
        <v>Light Vehicle Passenger</v>
      </c>
      <c r="J955" t="str">
        <f>[5]trip_summary_region!J955</f>
        <v>2017/18</v>
      </c>
    </row>
    <row r="956" spans="1:10" x14ac:dyDescent="0.2">
      <c r="A956" t="str">
        <f>[5]trip_summary_region!A956</f>
        <v>14 OTAGO</v>
      </c>
      <c r="B956">
        <f>[5]trip_summary_region!B956</f>
        <v>3</v>
      </c>
      <c r="C956">
        <f>[5]trip_summary_region!C956</f>
        <v>2023</v>
      </c>
      <c r="D956">
        <f>[5]trip_summary_region!D956</f>
        <v>543</v>
      </c>
      <c r="E956">
        <f>[5]trip_summary_region!E956</f>
        <v>2595</v>
      </c>
      <c r="F956">
        <f>[5]trip_summary_region!F956</f>
        <v>65.592450701999994</v>
      </c>
      <c r="G956">
        <f>[5]trip_summary_region!G956</f>
        <v>832.79782103000002</v>
      </c>
      <c r="H956">
        <f>[5]trip_summary_region!H956</f>
        <v>19.066405707000001</v>
      </c>
      <c r="I956" t="str">
        <f>[5]trip_summary_region!I956</f>
        <v>Light Vehicle Passenger</v>
      </c>
      <c r="J956" t="str">
        <f>[5]trip_summary_region!J956</f>
        <v>2022/23</v>
      </c>
    </row>
    <row r="957" spans="1:10" x14ac:dyDescent="0.2">
      <c r="A957" t="str">
        <f>[5]trip_summary_region!A957</f>
        <v>14 OTAGO</v>
      </c>
      <c r="B957">
        <f>[5]trip_summary_region!B957</f>
        <v>3</v>
      </c>
      <c r="C957">
        <f>[5]trip_summary_region!C957</f>
        <v>2028</v>
      </c>
      <c r="D957">
        <f>[5]trip_summary_region!D957</f>
        <v>543</v>
      </c>
      <c r="E957">
        <f>[5]trip_summary_region!E957</f>
        <v>2595</v>
      </c>
      <c r="F957">
        <f>[5]trip_summary_region!F957</f>
        <v>63.239191171999998</v>
      </c>
      <c r="G957">
        <f>[5]trip_summary_region!G957</f>
        <v>824.61281871999995</v>
      </c>
      <c r="H957">
        <f>[5]trip_summary_region!H957</f>
        <v>18.662773189999999</v>
      </c>
      <c r="I957" t="str">
        <f>[5]trip_summary_region!I957</f>
        <v>Light Vehicle Passenger</v>
      </c>
      <c r="J957" t="str">
        <f>[5]trip_summary_region!J957</f>
        <v>2027/28</v>
      </c>
    </row>
    <row r="958" spans="1:10" x14ac:dyDescent="0.2">
      <c r="A958" t="str">
        <f>[5]trip_summary_region!A958</f>
        <v>14 OTAGO</v>
      </c>
      <c r="B958">
        <f>[5]trip_summary_region!B958</f>
        <v>3</v>
      </c>
      <c r="C958">
        <f>[5]trip_summary_region!C958</f>
        <v>2033</v>
      </c>
      <c r="D958">
        <f>[5]trip_summary_region!D958</f>
        <v>543</v>
      </c>
      <c r="E958">
        <f>[5]trip_summary_region!E958</f>
        <v>2595</v>
      </c>
      <c r="F958">
        <f>[5]trip_summary_region!F958</f>
        <v>61.196358312999998</v>
      </c>
      <c r="G958">
        <f>[5]trip_summary_region!G958</f>
        <v>811.53279221000003</v>
      </c>
      <c r="H958">
        <f>[5]trip_summary_region!H958</f>
        <v>18.213916106999999</v>
      </c>
      <c r="I958" t="str">
        <f>[5]trip_summary_region!I958</f>
        <v>Light Vehicle Passenger</v>
      </c>
      <c r="J958" t="str">
        <f>[5]trip_summary_region!J958</f>
        <v>2032/33</v>
      </c>
    </row>
    <row r="959" spans="1:10" x14ac:dyDescent="0.2">
      <c r="A959" t="str">
        <f>[5]trip_summary_region!A959</f>
        <v>14 OTAGO</v>
      </c>
      <c r="B959">
        <f>[5]trip_summary_region!B959</f>
        <v>3</v>
      </c>
      <c r="C959">
        <f>[5]trip_summary_region!C959</f>
        <v>2038</v>
      </c>
      <c r="D959">
        <f>[5]trip_summary_region!D959</f>
        <v>543</v>
      </c>
      <c r="E959">
        <f>[5]trip_summary_region!E959</f>
        <v>2595</v>
      </c>
      <c r="F959">
        <f>[5]trip_summary_region!F959</f>
        <v>58.683979483000002</v>
      </c>
      <c r="G959">
        <f>[5]trip_summary_region!G959</f>
        <v>800.01019231999999</v>
      </c>
      <c r="H959">
        <f>[5]trip_summary_region!H959</f>
        <v>17.815293070999999</v>
      </c>
      <c r="I959" t="str">
        <f>[5]trip_summary_region!I959</f>
        <v>Light Vehicle Passenger</v>
      </c>
      <c r="J959" t="str">
        <f>[5]trip_summary_region!J959</f>
        <v>2037/38</v>
      </c>
    </row>
    <row r="960" spans="1:10" x14ac:dyDescent="0.2">
      <c r="A960" t="str">
        <f>[5]trip_summary_region!A960</f>
        <v>14 OTAGO</v>
      </c>
      <c r="B960">
        <f>[5]trip_summary_region!B960</f>
        <v>3</v>
      </c>
      <c r="C960">
        <f>[5]trip_summary_region!C960</f>
        <v>2043</v>
      </c>
      <c r="D960">
        <f>[5]trip_summary_region!D960</f>
        <v>543</v>
      </c>
      <c r="E960">
        <f>[5]trip_summary_region!E960</f>
        <v>2595</v>
      </c>
      <c r="F960">
        <f>[5]trip_summary_region!F960</f>
        <v>56.229205485999998</v>
      </c>
      <c r="G960">
        <f>[5]trip_summary_region!G960</f>
        <v>787.86059286</v>
      </c>
      <c r="H960">
        <f>[5]trip_summary_region!H960</f>
        <v>17.409505217</v>
      </c>
      <c r="I960" t="str">
        <f>[5]trip_summary_region!I960</f>
        <v>Light Vehicle Passenger</v>
      </c>
      <c r="J960" t="str">
        <f>[5]trip_summary_region!J960</f>
        <v>2042/43</v>
      </c>
    </row>
    <row r="961" spans="1:10" x14ac:dyDescent="0.2">
      <c r="A961" t="str">
        <f>[5]trip_summary_region!A961</f>
        <v>14 OTAGO</v>
      </c>
      <c r="B961">
        <f>[5]trip_summary_region!B961</f>
        <v>4</v>
      </c>
      <c r="C961">
        <f>[5]trip_summary_region!C961</f>
        <v>2013</v>
      </c>
      <c r="D961">
        <f>[5]trip_summary_region!D961</f>
        <v>21</v>
      </c>
      <c r="E961">
        <f>[5]trip_summary_region!E961</f>
        <v>36</v>
      </c>
      <c r="F961">
        <f>[5]trip_summary_region!F961</f>
        <v>0.85820748670000002</v>
      </c>
      <c r="G961">
        <f>[5]trip_summary_region!G961</f>
        <v>7.2892681777000004</v>
      </c>
      <c r="H961">
        <f>[5]trip_summary_region!H961</f>
        <v>0.23496676969999999</v>
      </c>
      <c r="I961" t="s">
        <v>116</v>
      </c>
      <c r="J961" t="str">
        <f>[5]trip_summary_region!J961</f>
        <v>2012/13</v>
      </c>
    </row>
    <row r="962" spans="1:10" x14ac:dyDescent="0.2">
      <c r="A962" t="str">
        <f>[5]trip_summary_region!A962</f>
        <v>14 OTAGO</v>
      </c>
      <c r="B962">
        <f>[5]trip_summary_region!B962</f>
        <v>4</v>
      </c>
      <c r="C962">
        <f>[5]trip_summary_region!C962</f>
        <v>2018</v>
      </c>
      <c r="D962">
        <f>[5]trip_summary_region!D962</f>
        <v>21</v>
      </c>
      <c r="E962">
        <f>[5]trip_summary_region!E962</f>
        <v>36</v>
      </c>
      <c r="F962">
        <f>[5]trip_summary_region!F962</f>
        <v>0.77659262890000003</v>
      </c>
      <c r="G962">
        <f>[5]trip_summary_region!G962</f>
        <v>6.6800776725000004</v>
      </c>
      <c r="H962">
        <f>[5]trip_summary_region!H962</f>
        <v>0.2172654836</v>
      </c>
      <c r="I962" t="s">
        <v>116</v>
      </c>
      <c r="J962" t="str">
        <f>[5]trip_summary_region!J962</f>
        <v>2017/18</v>
      </c>
    </row>
    <row r="963" spans="1:10" x14ac:dyDescent="0.2">
      <c r="A963" t="str">
        <f>[5]trip_summary_region!A963</f>
        <v>14 OTAGO</v>
      </c>
      <c r="B963">
        <f>[5]trip_summary_region!B963</f>
        <v>4</v>
      </c>
      <c r="C963">
        <f>[5]trip_summary_region!C963</f>
        <v>2023</v>
      </c>
      <c r="D963">
        <f>[5]trip_summary_region!D963</f>
        <v>21</v>
      </c>
      <c r="E963">
        <f>[5]trip_summary_region!E963</f>
        <v>36</v>
      </c>
      <c r="F963">
        <f>[5]trip_summary_region!F963</f>
        <v>0.75199531259999997</v>
      </c>
      <c r="G963">
        <f>[5]trip_summary_region!G963</f>
        <v>6.8703789972999996</v>
      </c>
      <c r="H963">
        <f>[5]trip_summary_region!H963</f>
        <v>0.2236081946</v>
      </c>
      <c r="I963" t="s">
        <v>116</v>
      </c>
      <c r="J963" t="str">
        <f>[5]trip_summary_region!J963</f>
        <v>2022/23</v>
      </c>
    </row>
    <row r="964" spans="1:10" x14ac:dyDescent="0.2">
      <c r="A964" t="str">
        <f>[5]trip_summary_region!A964</f>
        <v>14 OTAGO</v>
      </c>
      <c r="B964">
        <f>[5]trip_summary_region!B964</f>
        <v>4</v>
      </c>
      <c r="C964">
        <f>[5]trip_summary_region!C964</f>
        <v>2028</v>
      </c>
      <c r="D964">
        <f>[5]trip_summary_region!D964</f>
        <v>21</v>
      </c>
      <c r="E964">
        <f>[5]trip_summary_region!E964</f>
        <v>36</v>
      </c>
      <c r="F964">
        <f>[5]trip_summary_region!F964</f>
        <v>0.69849640930000001</v>
      </c>
      <c r="G964">
        <f>[5]trip_summary_region!G964</f>
        <v>6.4443649616999998</v>
      </c>
      <c r="H964">
        <f>[5]trip_summary_region!H964</f>
        <v>0.21117821780000001</v>
      </c>
      <c r="I964" t="s">
        <v>116</v>
      </c>
      <c r="J964" t="str">
        <f>[5]trip_summary_region!J964</f>
        <v>2027/28</v>
      </c>
    </row>
    <row r="965" spans="1:10" x14ac:dyDescent="0.2">
      <c r="A965" t="str">
        <f>[5]trip_summary_region!A965</f>
        <v>14 OTAGO</v>
      </c>
      <c r="B965">
        <f>[5]trip_summary_region!B965</f>
        <v>4</v>
      </c>
      <c r="C965">
        <f>[5]trip_summary_region!C965</f>
        <v>2033</v>
      </c>
      <c r="D965">
        <f>[5]trip_summary_region!D965</f>
        <v>21</v>
      </c>
      <c r="E965">
        <f>[5]trip_summary_region!E965</f>
        <v>36</v>
      </c>
      <c r="F965">
        <f>[5]trip_summary_region!F965</f>
        <v>0.65359314769999999</v>
      </c>
      <c r="G965">
        <f>[5]trip_summary_region!G965</f>
        <v>6.0025823186</v>
      </c>
      <c r="H965">
        <f>[5]trip_summary_region!H965</f>
        <v>0.19775408880000001</v>
      </c>
      <c r="I965" t="s">
        <v>116</v>
      </c>
      <c r="J965" t="str">
        <f>[5]trip_summary_region!J965</f>
        <v>2032/33</v>
      </c>
    </row>
    <row r="966" spans="1:10" x14ac:dyDescent="0.2">
      <c r="A966" t="str">
        <f>[5]trip_summary_region!A966</f>
        <v>14 OTAGO</v>
      </c>
      <c r="B966">
        <f>[5]trip_summary_region!B966</f>
        <v>4</v>
      </c>
      <c r="C966">
        <f>[5]trip_summary_region!C966</f>
        <v>2038</v>
      </c>
      <c r="D966">
        <f>[5]trip_summary_region!D966</f>
        <v>21</v>
      </c>
      <c r="E966">
        <f>[5]trip_summary_region!E966</f>
        <v>36</v>
      </c>
      <c r="F966">
        <f>[5]trip_summary_region!F966</f>
        <v>0.57970852279999996</v>
      </c>
      <c r="G966">
        <f>[5]trip_summary_region!G966</f>
        <v>5.2623027121000003</v>
      </c>
      <c r="H966">
        <f>[5]trip_summary_region!H966</f>
        <v>0.17428121799999999</v>
      </c>
      <c r="I966" t="s">
        <v>116</v>
      </c>
      <c r="J966" t="str">
        <f>[5]trip_summary_region!J966</f>
        <v>2037/38</v>
      </c>
    </row>
    <row r="967" spans="1:10" x14ac:dyDescent="0.2">
      <c r="A967" t="str">
        <f>[5]trip_summary_region!A967</f>
        <v>14 OTAGO</v>
      </c>
      <c r="B967">
        <f>[5]trip_summary_region!B967</f>
        <v>4</v>
      </c>
      <c r="C967">
        <f>[5]trip_summary_region!C967</f>
        <v>2043</v>
      </c>
      <c r="D967">
        <f>[5]trip_summary_region!D967</f>
        <v>21</v>
      </c>
      <c r="E967">
        <f>[5]trip_summary_region!E967</f>
        <v>36</v>
      </c>
      <c r="F967">
        <f>[5]trip_summary_region!F967</f>
        <v>0.50574271849999997</v>
      </c>
      <c r="G967">
        <f>[5]trip_summary_region!G967</f>
        <v>4.4791140186999998</v>
      </c>
      <c r="H967">
        <f>[5]trip_summary_region!H967</f>
        <v>0.14912383000000001</v>
      </c>
      <c r="I967" t="s">
        <v>116</v>
      </c>
      <c r="J967" t="str">
        <f>[5]trip_summary_region!J967</f>
        <v>2042/43</v>
      </c>
    </row>
    <row r="968" spans="1:10" x14ac:dyDescent="0.2">
      <c r="A968" t="str">
        <f>[5]trip_summary_region!A968</f>
        <v>14 OTAGO</v>
      </c>
      <c r="B968">
        <f>[5]trip_summary_region!B968</f>
        <v>5</v>
      </c>
      <c r="C968">
        <f>[5]trip_summary_region!C968</f>
        <v>2013</v>
      </c>
      <c r="D968">
        <f>[5]trip_summary_region!D968</f>
        <v>12</v>
      </c>
      <c r="E968">
        <f>[5]trip_summary_region!E968</f>
        <v>57</v>
      </c>
      <c r="F968">
        <f>[5]trip_summary_region!F968</f>
        <v>2.0937246197000001</v>
      </c>
      <c r="G968">
        <f>[5]trip_summary_region!G968</f>
        <v>18.503357486999999</v>
      </c>
      <c r="H968">
        <f>[5]trip_summary_region!H968</f>
        <v>0.42545310469999997</v>
      </c>
      <c r="I968" t="str">
        <f>[5]trip_summary_region!I968</f>
        <v>Motorcyclist</v>
      </c>
      <c r="J968" t="str">
        <f>[5]trip_summary_region!J968</f>
        <v>2012/13</v>
      </c>
    </row>
    <row r="969" spans="1:10" x14ac:dyDescent="0.2">
      <c r="A969" t="str">
        <f>[5]trip_summary_region!A969</f>
        <v>14 OTAGO</v>
      </c>
      <c r="B969">
        <f>[5]trip_summary_region!B969</f>
        <v>5</v>
      </c>
      <c r="C969">
        <f>[5]trip_summary_region!C969</f>
        <v>2018</v>
      </c>
      <c r="D969">
        <f>[5]trip_summary_region!D969</f>
        <v>12</v>
      </c>
      <c r="E969">
        <f>[5]trip_summary_region!E969</f>
        <v>57</v>
      </c>
      <c r="F969">
        <f>[5]trip_summary_region!F969</f>
        <v>1.9403006162000001</v>
      </c>
      <c r="G969">
        <f>[5]trip_summary_region!G969</f>
        <v>18.927533515</v>
      </c>
      <c r="H969">
        <f>[5]trip_summary_region!H969</f>
        <v>0.42004915929999997</v>
      </c>
      <c r="I969" t="str">
        <f>[5]trip_summary_region!I969</f>
        <v>Motorcyclist</v>
      </c>
      <c r="J969" t="str">
        <f>[5]trip_summary_region!J969</f>
        <v>2017/18</v>
      </c>
    </row>
    <row r="970" spans="1:10" x14ac:dyDescent="0.2">
      <c r="A970" t="str">
        <f>[5]trip_summary_region!A970</f>
        <v>14 OTAGO</v>
      </c>
      <c r="B970">
        <f>[5]trip_summary_region!B970</f>
        <v>5</v>
      </c>
      <c r="C970">
        <f>[5]trip_summary_region!C970</f>
        <v>2023</v>
      </c>
      <c r="D970">
        <f>[5]trip_summary_region!D970</f>
        <v>12</v>
      </c>
      <c r="E970">
        <f>[5]trip_summary_region!E970</f>
        <v>57</v>
      </c>
      <c r="F970">
        <f>[5]trip_summary_region!F970</f>
        <v>1.9016865743</v>
      </c>
      <c r="G970">
        <f>[5]trip_summary_region!G970</f>
        <v>20.555668219000001</v>
      </c>
      <c r="H970">
        <f>[5]trip_summary_region!H970</f>
        <v>0.43950189579999999</v>
      </c>
      <c r="I970" t="str">
        <f>[5]trip_summary_region!I970</f>
        <v>Motorcyclist</v>
      </c>
      <c r="J970" t="str">
        <f>[5]trip_summary_region!J970</f>
        <v>2022/23</v>
      </c>
    </row>
    <row r="971" spans="1:10" x14ac:dyDescent="0.2">
      <c r="A971" t="str">
        <f>[5]trip_summary_region!A971</f>
        <v>14 OTAGO</v>
      </c>
      <c r="B971">
        <f>[5]trip_summary_region!B971</f>
        <v>5</v>
      </c>
      <c r="C971">
        <f>[5]trip_summary_region!C971</f>
        <v>2028</v>
      </c>
      <c r="D971">
        <f>[5]trip_summary_region!D971</f>
        <v>12</v>
      </c>
      <c r="E971">
        <f>[5]trip_summary_region!E971</f>
        <v>57</v>
      </c>
      <c r="F971">
        <f>[5]trip_summary_region!F971</f>
        <v>1.7451137674999999</v>
      </c>
      <c r="G971">
        <f>[5]trip_summary_region!G971</f>
        <v>21.055172260999999</v>
      </c>
      <c r="H971">
        <f>[5]trip_summary_region!H971</f>
        <v>0.43578319879999999</v>
      </c>
      <c r="I971" t="str">
        <f>[5]trip_summary_region!I971</f>
        <v>Motorcyclist</v>
      </c>
      <c r="J971" t="str">
        <f>[5]trip_summary_region!J971</f>
        <v>2027/28</v>
      </c>
    </row>
    <row r="972" spans="1:10" x14ac:dyDescent="0.2">
      <c r="A972" t="str">
        <f>[5]trip_summary_region!A972</f>
        <v>14 OTAGO</v>
      </c>
      <c r="B972">
        <f>[5]trip_summary_region!B972</f>
        <v>5</v>
      </c>
      <c r="C972">
        <f>[5]trip_summary_region!C972</f>
        <v>2033</v>
      </c>
      <c r="D972">
        <f>[5]trip_summary_region!D972</f>
        <v>12</v>
      </c>
      <c r="E972">
        <f>[5]trip_summary_region!E972</f>
        <v>57</v>
      </c>
      <c r="F972">
        <f>[5]trip_summary_region!F972</f>
        <v>1.5557509677000001</v>
      </c>
      <c r="G972">
        <f>[5]trip_summary_region!G972</f>
        <v>20.81068441</v>
      </c>
      <c r="H972">
        <f>[5]trip_summary_region!H972</f>
        <v>0.42053984589999999</v>
      </c>
      <c r="I972" t="str">
        <f>[5]trip_summary_region!I972</f>
        <v>Motorcyclist</v>
      </c>
      <c r="J972" t="str">
        <f>[5]trip_summary_region!J972</f>
        <v>2032/33</v>
      </c>
    </row>
    <row r="973" spans="1:10" x14ac:dyDescent="0.2">
      <c r="A973" t="str">
        <f>[5]trip_summary_region!A973</f>
        <v>14 OTAGO</v>
      </c>
      <c r="B973">
        <f>[5]trip_summary_region!B973</f>
        <v>5</v>
      </c>
      <c r="C973">
        <f>[5]trip_summary_region!C973</f>
        <v>2038</v>
      </c>
      <c r="D973">
        <f>[5]trip_summary_region!D973</f>
        <v>12</v>
      </c>
      <c r="E973">
        <f>[5]trip_summary_region!E973</f>
        <v>57</v>
      </c>
      <c r="F973">
        <f>[5]trip_summary_region!F973</f>
        <v>1.3527275229</v>
      </c>
      <c r="G973">
        <f>[5]trip_summary_region!G973</f>
        <v>19.810193035000001</v>
      </c>
      <c r="H973">
        <f>[5]trip_summary_region!H973</f>
        <v>0.39371196339999998</v>
      </c>
      <c r="I973" t="str">
        <f>[5]trip_summary_region!I973</f>
        <v>Motorcyclist</v>
      </c>
      <c r="J973" t="str">
        <f>[5]trip_summary_region!J973</f>
        <v>2037/38</v>
      </c>
    </row>
    <row r="974" spans="1:10" x14ac:dyDescent="0.2">
      <c r="A974" t="str">
        <f>[5]trip_summary_region!A974</f>
        <v>14 OTAGO</v>
      </c>
      <c r="B974">
        <f>[5]trip_summary_region!B974</f>
        <v>5</v>
      </c>
      <c r="C974">
        <f>[5]trip_summary_region!C974</f>
        <v>2043</v>
      </c>
      <c r="D974">
        <f>[5]trip_summary_region!D974</f>
        <v>12</v>
      </c>
      <c r="E974">
        <f>[5]trip_summary_region!E974</f>
        <v>57</v>
      </c>
      <c r="F974">
        <f>[5]trip_summary_region!F974</f>
        <v>1.1668111465</v>
      </c>
      <c r="G974">
        <f>[5]trip_summary_region!G974</f>
        <v>18.664028598000002</v>
      </c>
      <c r="H974">
        <f>[5]trip_summary_region!H974</f>
        <v>0.36515099150000002</v>
      </c>
      <c r="I974" t="str">
        <f>[5]trip_summary_region!I974</f>
        <v>Motorcyclist</v>
      </c>
      <c r="J974" t="str">
        <f>[5]trip_summary_region!J974</f>
        <v>2042/43</v>
      </c>
    </row>
    <row r="975" spans="1:10" x14ac:dyDescent="0.2">
      <c r="A975" t="str">
        <f>[5]trip_summary_region!A975</f>
        <v>14 OTAGO</v>
      </c>
      <c r="B975">
        <f>[5]trip_summary_region!B975</f>
        <v>7</v>
      </c>
      <c r="C975">
        <f>[5]trip_summary_region!C975</f>
        <v>2013</v>
      </c>
      <c r="D975">
        <f>[5]trip_summary_region!D975</f>
        <v>70</v>
      </c>
      <c r="E975">
        <f>[5]trip_summary_region!E975</f>
        <v>148</v>
      </c>
      <c r="F975">
        <f>[5]trip_summary_region!F975</f>
        <v>4.2627057848999996</v>
      </c>
      <c r="G975">
        <f>[5]trip_summary_region!G975</f>
        <v>27.157477096000001</v>
      </c>
      <c r="H975">
        <f>[5]trip_summary_region!H975</f>
        <v>1.347401772</v>
      </c>
      <c r="I975" t="str">
        <f>[5]trip_summary_region!I975</f>
        <v>Local Bus</v>
      </c>
      <c r="J975" t="str">
        <f>[5]trip_summary_region!J975</f>
        <v>2012/13</v>
      </c>
    </row>
    <row r="976" spans="1:10" x14ac:dyDescent="0.2">
      <c r="A976" t="str">
        <f>[5]trip_summary_region!A976</f>
        <v>14 OTAGO</v>
      </c>
      <c r="B976">
        <f>[5]trip_summary_region!B976</f>
        <v>7</v>
      </c>
      <c r="C976">
        <f>[5]trip_summary_region!C976</f>
        <v>2018</v>
      </c>
      <c r="D976">
        <f>[5]trip_summary_region!D976</f>
        <v>70</v>
      </c>
      <c r="E976">
        <f>[5]trip_summary_region!E976</f>
        <v>148</v>
      </c>
      <c r="F976">
        <f>[5]trip_summary_region!F976</f>
        <v>3.7319360836</v>
      </c>
      <c r="G976">
        <f>[5]trip_summary_region!G976</f>
        <v>24.968782674</v>
      </c>
      <c r="H976">
        <f>[5]trip_summary_region!H976</f>
        <v>1.1953449416999999</v>
      </c>
      <c r="I976" t="str">
        <f>[5]trip_summary_region!I976</f>
        <v>Local Bus</v>
      </c>
      <c r="J976" t="str">
        <f>[5]trip_summary_region!J976</f>
        <v>2017/18</v>
      </c>
    </row>
    <row r="977" spans="1:10" x14ac:dyDescent="0.2">
      <c r="A977" t="str">
        <f>[5]trip_summary_region!A977</f>
        <v>14 OTAGO</v>
      </c>
      <c r="B977">
        <f>[5]trip_summary_region!B977</f>
        <v>7</v>
      </c>
      <c r="C977">
        <f>[5]trip_summary_region!C977</f>
        <v>2023</v>
      </c>
      <c r="D977">
        <f>[5]trip_summary_region!D977</f>
        <v>70</v>
      </c>
      <c r="E977">
        <f>[5]trip_summary_region!E977</f>
        <v>148</v>
      </c>
      <c r="F977">
        <f>[5]trip_summary_region!F977</f>
        <v>3.5728952671999998</v>
      </c>
      <c r="G977">
        <f>[5]trip_summary_region!G977</f>
        <v>24.954080253000001</v>
      </c>
      <c r="H977">
        <f>[5]trip_summary_region!H977</f>
        <v>1.1643813971000001</v>
      </c>
      <c r="I977" t="str">
        <f>[5]trip_summary_region!I977</f>
        <v>Local Bus</v>
      </c>
      <c r="J977" t="str">
        <f>[5]trip_summary_region!J977</f>
        <v>2022/23</v>
      </c>
    </row>
    <row r="978" spans="1:10" x14ac:dyDescent="0.2">
      <c r="A978" t="str">
        <f>[5]trip_summary_region!A978</f>
        <v>14 OTAGO</v>
      </c>
      <c r="B978">
        <f>[5]trip_summary_region!B978</f>
        <v>7</v>
      </c>
      <c r="C978">
        <f>[5]trip_summary_region!C978</f>
        <v>2028</v>
      </c>
      <c r="D978">
        <f>[5]trip_summary_region!D978</f>
        <v>70</v>
      </c>
      <c r="E978">
        <f>[5]trip_summary_region!E978</f>
        <v>148</v>
      </c>
      <c r="F978">
        <f>[5]trip_summary_region!F978</f>
        <v>3.3080024543</v>
      </c>
      <c r="G978">
        <f>[5]trip_summary_region!G978</f>
        <v>23.655818579000002</v>
      </c>
      <c r="H978">
        <f>[5]trip_summary_region!H978</f>
        <v>1.0843476504</v>
      </c>
      <c r="I978" t="str">
        <f>[5]trip_summary_region!I978</f>
        <v>Local Bus</v>
      </c>
      <c r="J978" t="str">
        <f>[5]trip_summary_region!J978</f>
        <v>2027/28</v>
      </c>
    </row>
    <row r="979" spans="1:10" x14ac:dyDescent="0.2">
      <c r="A979" t="str">
        <f>[5]trip_summary_region!A979</f>
        <v>14 OTAGO</v>
      </c>
      <c r="B979">
        <f>[5]trip_summary_region!B979</f>
        <v>7</v>
      </c>
      <c r="C979">
        <f>[5]trip_summary_region!C979</f>
        <v>2033</v>
      </c>
      <c r="D979">
        <f>[5]trip_summary_region!D979</f>
        <v>70</v>
      </c>
      <c r="E979">
        <f>[5]trip_summary_region!E979</f>
        <v>148</v>
      </c>
      <c r="F979">
        <f>[5]trip_summary_region!F979</f>
        <v>3.1039717783</v>
      </c>
      <c r="G979">
        <f>[5]trip_summary_region!G979</f>
        <v>22.366925536</v>
      </c>
      <c r="H979">
        <f>[5]trip_summary_region!H979</f>
        <v>1.0197491756999999</v>
      </c>
      <c r="I979" t="str">
        <f>[5]trip_summary_region!I979</f>
        <v>Local Bus</v>
      </c>
      <c r="J979" t="str">
        <f>[5]trip_summary_region!J979</f>
        <v>2032/33</v>
      </c>
    </row>
    <row r="980" spans="1:10" x14ac:dyDescent="0.2">
      <c r="A980" t="str">
        <f>[5]trip_summary_region!A980</f>
        <v>14 OTAGO</v>
      </c>
      <c r="B980">
        <f>[5]trip_summary_region!B980</f>
        <v>7</v>
      </c>
      <c r="C980">
        <f>[5]trip_summary_region!C980</f>
        <v>2038</v>
      </c>
      <c r="D980">
        <f>[5]trip_summary_region!D980</f>
        <v>70</v>
      </c>
      <c r="E980">
        <f>[5]trip_summary_region!E980</f>
        <v>148</v>
      </c>
      <c r="F980">
        <f>[5]trip_summary_region!F980</f>
        <v>2.8628597602000001</v>
      </c>
      <c r="G980">
        <f>[5]trip_summary_region!G980</f>
        <v>20.589366211000002</v>
      </c>
      <c r="H980">
        <f>[5]trip_summary_region!H980</f>
        <v>0.94374146830000005</v>
      </c>
      <c r="I980" t="str">
        <f>[5]trip_summary_region!I980</f>
        <v>Local Bus</v>
      </c>
      <c r="J980" t="str">
        <f>[5]trip_summary_region!J980</f>
        <v>2037/38</v>
      </c>
    </row>
    <row r="981" spans="1:10" x14ac:dyDescent="0.2">
      <c r="A981" t="str">
        <f>[5]trip_summary_region!A981</f>
        <v>14 OTAGO</v>
      </c>
      <c r="B981">
        <f>[5]trip_summary_region!B981</f>
        <v>7</v>
      </c>
      <c r="C981">
        <f>[5]trip_summary_region!C981</f>
        <v>2043</v>
      </c>
      <c r="D981">
        <f>[5]trip_summary_region!D981</f>
        <v>70</v>
      </c>
      <c r="E981">
        <f>[5]trip_summary_region!E981</f>
        <v>148</v>
      </c>
      <c r="F981">
        <f>[5]trip_summary_region!F981</f>
        <v>2.6635616125000001</v>
      </c>
      <c r="G981">
        <f>[5]trip_summary_region!G981</f>
        <v>19.088198269999999</v>
      </c>
      <c r="H981">
        <f>[5]trip_summary_region!H981</f>
        <v>0.88118207770000001</v>
      </c>
      <c r="I981" t="str">
        <f>[5]trip_summary_region!I981</f>
        <v>Local Bus</v>
      </c>
      <c r="J981" t="str">
        <f>[5]trip_summary_region!J981</f>
        <v>2042/43</v>
      </c>
    </row>
    <row r="982" spans="1:10" x14ac:dyDescent="0.2">
      <c r="A982" t="str">
        <f>[5]trip_summary_region!A982</f>
        <v>14 OTAGO</v>
      </c>
      <c r="B982">
        <f>[5]trip_summary_region!B982</f>
        <v>9</v>
      </c>
      <c r="C982">
        <f>[5]trip_summary_region!C982</f>
        <v>2013</v>
      </c>
      <c r="D982">
        <f>[5]trip_summary_region!D982</f>
        <v>11</v>
      </c>
      <c r="E982">
        <f>[5]trip_summary_region!E982</f>
        <v>38</v>
      </c>
      <c r="F982">
        <f>[5]trip_summary_region!F982</f>
        <v>0.77539158779999995</v>
      </c>
      <c r="G982">
        <f>[5]trip_summary_region!G982</f>
        <v>0</v>
      </c>
      <c r="H982">
        <f>[5]trip_summary_region!H982</f>
        <v>0.25154479130000001</v>
      </c>
      <c r="I982" t="str">
        <f>[5]trip_summary_region!I982</f>
        <v>Other Household Travel</v>
      </c>
      <c r="J982" t="str">
        <f>[5]trip_summary_region!J982</f>
        <v>2012/13</v>
      </c>
    </row>
    <row r="983" spans="1:10" x14ac:dyDescent="0.2">
      <c r="A983" t="str">
        <f>[5]trip_summary_region!A983</f>
        <v>14 OTAGO</v>
      </c>
      <c r="B983">
        <f>[5]trip_summary_region!B983</f>
        <v>9</v>
      </c>
      <c r="C983">
        <f>[5]trip_summary_region!C983</f>
        <v>2018</v>
      </c>
      <c r="D983">
        <f>[5]trip_summary_region!D983</f>
        <v>11</v>
      </c>
      <c r="E983">
        <f>[5]trip_summary_region!E983</f>
        <v>38</v>
      </c>
      <c r="F983">
        <f>[5]trip_summary_region!F983</f>
        <v>0.74411484989999999</v>
      </c>
      <c r="G983">
        <f>[5]trip_summary_region!G983</f>
        <v>0</v>
      </c>
      <c r="H983">
        <f>[5]trip_summary_region!H983</f>
        <v>0.25487760949999999</v>
      </c>
      <c r="I983" t="str">
        <f>[5]trip_summary_region!I983</f>
        <v>Other Household Travel</v>
      </c>
      <c r="J983" t="str">
        <f>[5]trip_summary_region!J983</f>
        <v>2017/18</v>
      </c>
    </row>
    <row r="984" spans="1:10" x14ac:dyDescent="0.2">
      <c r="A984" t="str">
        <f>[5]trip_summary_region!A984</f>
        <v>14 OTAGO</v>
      </c>
      <c r="B984">
        <f>[5]trip_summary_region!B984</f>
        <v>9</v>
      </c>
      <c r="C984">
        <f>[5]trip_summary_region!C984</f>
        <v>2023</v>
      </c>
      <c r="D984">
        <f>[5]trip_summary_region!D984</f>
        <v>11</v>
      </c>
      <c r="E984">
        <f>[5]trip_summary_region!E984</f>
        <v>38</v>
      </c>
      <c r="F984">
        <f>[5]trip_summary_region!F984</f>
        <v>0.75876270879999996</v>
      </c>
      <c r="G984">
        <f>[5]trip_summary_region!G984</f>
        <v>0</v>
      </c>
      <c r="H984">
        <f>[5]trip_summary_region!H984</f>
        <v>0.27692901450000001</v>
      </c>
      <c r="I984" t="str">
        <f>[5]trip_summary_region!I984</f>
        <v>Other Household Travel</v>
      </c>
      <c r="J984" t="str">
        <f>[5]trip_summary_region!J984</f>
        <v>2022/23</v>
      </c>
    </row>
    <row r="985" spans="1:10" x14ac:dyDescent="0.2">
      <c r="A985" t="str">
        <f>[5]trip_summary_region!A985</f>
        <v>14 OTAGO</v>
      </c>
      <c r="B985">
        <f>[5]trip_summary_region!B985</f>
        <v>9</v>
      </c>
      <c r="C985">
        <f>[5]trip_summary_region!C985</f>
        <v>2028</v>
      </c>
      <c r="D985">
        <f>[5]trip_summary_region!D985</f>
        <v>11</v>
      </c>
      <c r="E985">
        <f>[5]trip_summary_region!E985</f>
        <v>38</v>
      </c>
      <c r="F985">
        <f>[5]trip_summary_region!F985</f>
        <v>0.70367031800000002</v>
      </c>
      <c r="G985">
        <f>[5]trip_summary_region!G985</f>
        <v>0</v>
      </c>
      <c r="H985">
        <f>[5]trip_summary_region!H985</f>
        <v>0.2754679827</v>
      </c>
      <c r="I985" t="str">
        <f>[5]trip_summary_region!I985</f>
        <v>Other Household Travel</v>
      </c>
      <c r="J985" t="str">
        <f>[5]trip_summary_region!J985</f>
        <v>2027/28</v>
      </c>
    </row>
    <row r="986" spans="1:10" x14ac:dyDescent="0.2">
      <c r="A986" t="str">
        <f>[5]trip_summary_region!A986</f>
        <v>14 OTAGO</v>
      </c>
      <c r="B986">
        <f>[5]trip_summary_region!B986</f>
        <v>9</v>
      </c>
      <c r="C986">
        <f>[5]trip_summary_region!C986</f>
        <v>2033</v>
      </c>
      <c r="D986">
        <f>[5]trip_summary_region!D986</f>
        <v>11</v>
      </c>
      <c r="E986">
        <f>[5]trip_summary_region!E986</f>
        <v>38</v>
      </c>
      <c r="F986">
        <f>[5]trip_summary_region!F986</f>
        <v>0.64313863940000005</v>
      </c>
      <c r="G986">
        <f>[5]trip_summary_region!G986</f>
        <v>0</v>
      </c>
      <c r="H986">
        <f>[5]trip_summary_region!H986</f>
        <v>0.27126972160000001</v>
      </c>
      <c r="I986" t="str">
        <f>[5]trip_summary_region!I986</f>
        <v>Other Household Travel</v>
      </c>
      <c r="J986" t="str">
        <f>[5]trip_summary_region!J986</f>
        <v>2032/33</v>
      </c>
    </row>
    <row r="987" spans="1:10" x14ac:dyDescent="0.2">
      <c r="A987" t="str">
        <f>[5]trip_summary_region!A987</f>
        <v>14 OTAGO</v>
      </c>
      <c r="B987">
        <f>[5]trip_summary_region!B987</f>
        <v>9</v>
      </c>
      <c r="C987">
        <f>[5]trip_summary_region!C987</f>
        <v>2038</v>
      </c>
      <c r="D987">
        <f>[5]trip_summary_region!D987</f>
        <v>11</v>
      </c>
      <c r="E987">
        <f>[5]trip_summary_region!E987</f>
        <v>38</v>
      </c>
      <c r="F987">
        <f>[5]trip_summary_region!F987</f>
        <v>0.59688975460000004</v>
      </c>
      <c r="G987">
        <f>[5]trip_summary_region!G987</f>
        <v>0</v>
      </c>
      <c r="H987">
        <f>[5]trip_summary_region!H987</f>
        <v>0.27286532990000001</v>
      </c>
      <c r="I987" t="str">
        <f>[5]trip_summary_region!I987</f>
        <v>Other Household Travel</v>
      </c>
      <c r="J987" t="str">
        <f>[5]trip_summary_region!J987</f>
        <v>2037/38</v>
      </c>
    </row>
    <row r="988" spans="1:10" x14ac:dyDescent="0.2">
      <c r="A988" t="str">
        <f>[5]trip_summary_region!A988</f>
        <v>14 OTAGO</v>
      </c>
      <c r="B988">
        <f>[5]trip_summary_region!B988</f>
        <v>9</v>
      </c>
      <c r="C988">
        <f>[5]trip_summary_region!C988</f>
        <v>2043</v>
      </c>
      <c r="D988">
        <f>[5]trip_summary_region!D988</f>
        <v>11</v>
      </c>
      <c r="E988">
        <f>[5]trip_summary_region!E988</f>
        <v>38</v>
      </c>
      <c r="F988">
        <f>[5]trip_summary_region!F988</f>
        <v>0.56622938609999995</v>
      </c>
      <c r="G988">
        <f>[5]trip_summary_region!G988</f>
        <v>0</v>
      </c>
      <c r="H988">
        <f>[5]trip_summary_region!H988</f>
        <v>0.27746174509999999</v>
      </c>
      <c r="I988" t="str">
        <f>[5]trip_summary_region!I988</f>
        <v>Other Household Travel</v>
      </c>
      <c r="J988" t="str">
        <f>[5]trip_summary_region!J988</f>
        <v>2042/43</v>
      </c>
    </row>
    <row r="989" spans="1:10" x14ac:dyDescent="0.2">
      <c r="A989" t="str">
        <f>[5]trip_summary_region!A989</f>
        <v>14 OTAGO</v>
      </c>
      <c r="B989">
        <f>[5]trip_summary_region!B989</f>
        <v>10</v>
      </c>
      <c r="C989">
        <f>[5]trip_summary_region!C989</f>
        <v>2013</v>
      </c>
      <c r="D989">
        <f>[5]trip_summary_region!D989</f>
        <v>12</v>
      </c>
      <c r="E989">
        <f>[5]trip_summary_region!E989</f>
        <v>16</v>
      </c>
      <c r="F989">
        <f>[5]trip_summary_region!F989</f>
        <v>0.45393948140000001</v>
      </c>
      <c r="G989">
        <f>[5]trip_summary_region!G989</f>
        <v>32.668222239000002</v>
      </c>
      <c r="H989">
        <f>[5]trip_summary_region!H989</f>
        <v>1.0816055304000001</v>
      </c>
      <c r="I989" t="str">
        <f>[5]trip_summary_region!I989</f>
        <v>Air/Non-Local PT</v>
      </c>
      <c r="J989" t="str">
        <f>[5]trip_summary_region!J989</f>
        <v>2012/13</v>
      </c>
    </row>
    <row r="990" spans="1:10" x14ac:dyDescent="0.2">
      <c r="A990" t="str">
        <f>[5]trip_summary_region!A990</f>
        <v>14 OTAGO</v>
      </c>
      <c r="B990">
        <f>[5]trip_summary_region!B990</f>
        <v>10</v>
      </c>
      <c r="C990">
        <f>[5]trip_summary_region!C990</f>
        <v>2018</v>
      </c>
      <c r="D990">
        <f>[5]trip_summary_region!D990</f>
        <v>12</v>
      </c>
      <c r="E990">
        <f>[5]trip_summary_region!E990</f>
        <v>16</v>
      </c>
      <c r="F990">
        <f>[5]trip_summary_region!F990</f>
        <v>0.5068383179</v>
      </c>
      <c r="G990">
        <f>[5]trip_summary_region!G990</f>
        <v>36.679901432999998</v>
      </c>
      <c r="H990">
        <f>[5]trip_summary_region!H990</f>
        <v>1.1925644358</v>
      </c>
      <c r="I990" t="str">
        <f>[5]trip_summary_region!I990</f>
        <v>Air/Non-Local PT</v>
      </c>
      <c r="J990" t="str">
        <f>[5]trip_summary_region!J990</f>
        <v>2017/18</v>
      </c>
    </row>
    <row r="991" spans="1:10" x14ac:dyDescent="0.2">
      <c r="A991" t="str">
        <f>[5]trip_summary_region!A991</f>
        <v>14 OTAGO</v>
      </c>
      <c r="B991">
        <f>[5]trip_summary_region!B991</f>
        <v>10</v>
      </c>
      <c r="C991">
        <f>[5]trip_summary_region!C991</f>
        <v>2023</v>
      </c>
      <c r="D991">
        <f>[5]trip_summary_region!D991</f>
        <v>12</v>
      </c>
      <c r="E991">
        <f>[5]trip_summary_region!E991</f>
        <v>16</v>
      </c>
      <c r="F991">
        <f>[5]trip_summary_region!F991</f>
        <v>0.61995293709999999</v>
      </c>
      <c r="G991">
        <f>[5]trip_summary_region!G991</f>
        <v>44.14202246</v>
      </c>
      <c r="H991">
        <f>[5]trip_summary_region!H991</f>
        <v>1.4326702722</v>
      </c>
      <c r="I991" t="str">
        <f>[5]trip_summary_region!I991</f>
        <v>Air/Non-Local PT</v>
      </c>
      <c r="J991" t="str">
        <f>[5]trip_summary_region!J991</f>
        <v>2022/23</v>
      </c>
    </row>
    <row r="992" spans="1:10" x14ac:dyDescent="0.2">
      <c r="A992" t="str">
        <f>[5]trip_summary_region!A992</f>
        <v>14 OTAGO</v>
      </c>
      <c r="B992">
        <f>[5]trip_summary_region!B992</f>
        <v>10</v>
      </c>
      <c r="C992">
        <f>[5]trip_summary_region!C992</f>
        <v>2028</v>
      </c>
      <c r="D992">
        <f>[5]trip_summary_region!D992</f>
        <v>12</v>
      </c>
      <c r="E992">
        <f>[5]trip_summary_region!E992</f>
        <v>16</v>
      </c>
      <c r="F992">
        <f>[5]trip_summary_region!F992</f>
        <v>0.68255454670000004</v>
      </c>
      <c r="G992">
        <f>[5]trip_summary_region!G992</f>
        <v>48.043882936999999</v>
      </c>
      <c r="H992">
        <f>[5]trip_summary_region!H992</f>
        <v>1.5540176384</v>
      </c>
      <c r="I992" t="str">
        <f>[5]trip_summary_region!I992</f>
        <v>Air/Non-Local PT</v>
      </c>
      <c r="J992" t="str">
        <f>[5]trip_summary_region!J992</f>
        <v>2027/28</v>
      </c>
    </row>
    <row r="993" spans="1:10" x14ac:dyDescent="0.2">
      <c r="A993" t="str">
        <f>[5]trip_summary_region!A993</f>
        <v>14 OTAGO</v>
      </c>
      <c r="B993">
        <f>[5]trip_summary_region!B993</f>
        <v>10</v>
      </c>
      <c r="C993">
        <f>[5]trip_summary_region!C993</f>
        <v>2033</v>
      </c>
      <c r="D993">
        <f>[5]trip_summary_region!D993</f>
        <v>12</v>
      </c>
      <c r="E993">
        <f>[5]trip_summary_region!E993</f>
        <v>16</v>
      </c>
      <c r="F993">
        <f>[5]trip_summary_region!F993</f>
        <v>0.73611331980000005</v>
      </c>
      <c r="G993">
        <f>[5]trip_summary_region!G993</f>
        <v>51.443313381999999</v>
      </c>
      <c r="H993">
        <f>[5]trip_summary_region!H993</f>
        <v>1.6650593025</v>
      </c>
      <c r="I993" t="str">
        <f>[5]trip_summary_region!I993</f>
        <v>Air/Non-Local PT</v>
      </c>
      <c r="J993" t="str">
        <f>[5]trip_summary_region!J993</f>
        <v>2032/33</v>
      </c>
    </row>
    <row r="994" spans="1:10" x14ac:dyDescent="0.2">
      <c r="A994" t="str">
        <f>[5]trip_summary_region!A994</f>
        <v>14 OTAGO</v>
      </c>
      <c r="B994">
        <f>[5]trip_summary_region!B994</f>
        <v>10</v>
      </c>
      <c r="C994">
        <f>[5]trip_summary_region!C994</f>
        <v>2038</v>
      </c>
      <c r="D994">
        <f>[5]trip_summary_region!D994</f>
        <v>12</v>
      </c>
      <c r="E994">
        <f>[5]trip_summary_region!E994</f>
        <v>16</v>
      </c>
      <c r="F994">
        <f>[5]trip_summary_region!F994</f>
        <v>0.77107800879999999</v>
      </c>
      <c r="G994">
        <f>[5]trip_summary_region!G994</f>
        <v>53.079880594999999</v>
      </c>
      <c r="H994">
        <f>[5]trip_summary_region!H994</f>
        <v>1.7161221186</v>
      </c>
      <c r="I994" t="str">
        <f>[5]trip_summary_region!I994</f>
        <v>Air/Non-Local PT</v>
      </c>
      <c r="J994" t="str">
        <f>[5]trip_summary_region!J994</f>
        <v>2037/38</v>
      </c>
    </row>
    <row r="995" spans="1:10" x14ac:dyDescent="0.2">
      <c r="A995" t="str">
        <f>[5]trip_summary_region!A995</f>
        <v>14 OTAGO</v>
      </c>
      <c r="B995">
        <f>[5]trip_summary_region!B995</f>
        <v>10</v>
      </c>
      <c r="C995">
        <f>[5]trip_summary_region!C995</f>
        <v>2043</v>
      </c>
      <c r="D995">
        <f>[5]trip_summary_region!D995</f>
        <v>12</v>
      </c>
      <c r="E995">
        <f>[5]trip_summary_region!E995</f>
        <v>16</v>
      </c>
      <c r="F995">
        <f>[5]trip_summary_region!F995</f>
        <v>0.80023892190000001</v>
      </c>
      <c r="G995">
        <f>[5]trip_summary_region!G995</f>
        <v>54.281354657000001</v>
      </c>
      <c r="H995">
        <f>[5]trip_summary_region!H995</f>
        <v>1.7543960049</v>
      </c>
      <c r="I995" t="str">
        <f>[5]trip_summary_region!I995</f>
        <v>Air/Non-Local PT</v>
      </c>
      <c r="J995" t="str">
        <f>[5]trip_summary_region!J995</f>
        <v>2042/43</v>
      </c>
    </row>
    <row r="996" spans="1:10" x14ac:dyDescent="0.2">
      <c r="A996" t="str">
        <f>[5]trip_summary_region!A996</f>
        <v>14 OTAGO</v>
      </c>
      <c r="B996">
        <f>[5]trip_summary_region!B996</f>
        <v>11</v>
      </c>
      <c r="C996">
        <f>[5]trip_summary_region!C996</f>
        <v>2013</v>
      </c>
      <c r="D996">
        <f>[5]trip_summary_region!D996</f>
        <v>8</v>
      </c>
      <c r="E996">
        <f>[5]trip_summary_region!E996</f>
        <v>23</v>
      </c>
      <c r="F996">
        <f>[5]trip_summary_region!F996</f>
        <v>0.69501361849999999</v>
      </c>
      <c r="G996">
        <f>[5]trip_summary_region!G996</f>
        <v>6.1172965614999999</v>
      </c>
      <c r="H996">
        <f>[5]trip_summary_region!H996</f>
        <v>0.18529166999999999</v>
      </c>
      <c r="I996" t="str">
        <f>[5]trip_summary_region!I996</f>
        <v>Non-Household Travel</v>
      </c>
      <c r="J996" t="str">
        <f>[5]trip_summary_region!J996</f>
        <v>2012/13</v>
      </c>
    </row>
    <row r="997" spans="1:10" x14ac:dyDescent="0.2">
      <c r="A997" t="str">
        <f>[5]trip_summary_region!A997</f>
        <v>14 OTAGO</v>
      </c>
      <c r="B997">
        <f>[5]trip_summary_region!B997</f>
        <v>11</v>
      </c>
      <c r="C997">
        <f>[5]trip_summary_region!C997</f>
        <v>2018</v>
      </c>
      <c r="D997">
        <f>[5]trip_summary_region!D997</f>
        <v>8</v>
      </c>
      <c r="E997">
        <f>[5]trip_summary_region!E997</f>
        <v>23</v>
      </c>
      <c r="F997">
        <f>[5]trip_summary_region!F997</f>
        <v>0.75556399919999995</v>
      </c>
      <c r="G997">
        <f>[5]trip_summary_region!G997</f>
        <v>7.1627835187000004</v>
      </c>
      <c r="H997">
        <f>[5]trip_summary_region!H997</f>
        <v>0.21425188049999999</v>
      </c>
      <c r="I997" t="str">
        <f>[5]trip_summary_region!I997</f>
        <v>Non-Household Travel</v>
      </c>
      <c r="J997" t="str">
        <f>[5]trip_summary_region!J997</f>
        <v>2017/18</v>
      </c>
    </row>
    <row r="998" spans="1:10" x14ac:dyDescent="0.2">
      <c r="A998" t="str">
        <f>[5]trip_summary_region!A998</f>
        <v>14 OTAGO</v>
      </c>
      <c r="B998">
        <f>[5]trip_summary_region!B998</f>
        <v>11</v>
      </c>
      <c r="C998">
        <f>[5]trip_summary_region!C998</f>
        <v>2023</v>
      </c>
      <c r="D998">
        <f>[5]trip_summary_region!D998</f>
        <v>8</v>
      </c>
      <c r="E998">
        <f>[5]trip_summary_region!E998</f>
        <v>23</v>
      </c>
      <c r="F998">
        <f>[5]trip_summary_region!F998</f>
        <v>0.91386481070000003</v>
      </c>
      <c r="G998">
        <f>[5]trip_summary_region!G998</f>
        <v>9.1738247202000007</v>
      </c>
      <c r="H998">
        <f>[5]trip_summary_region!H998</f>
        <v>0.27205334289999999</v>
      </c>
      <c r="I998" t="str">
        <f>[5]trip_summary_region!I998</f>
        <v>Non-Household Travel</v>
      </c>
      <c r="J998" t="str">
        <f>[5]trip_summary_region!J998</f>
        <v>2022/23</v>
      </c>
    </row>
    <row r="999" spans="1:10" x14ac:dyDescent="0.2">
      <c r="A999" t="str">
        <f>[5]trip_summary_region!A999</f>
        <v>14 OTAGO</v>
      </c>
      <c r="B999">
        <f>[5]trip_summary_region!B999</f>
        <v>11</v>
      </c>
      <c r="C999">
        <f>[5]trip_summary_region!C999</f>
        <v>2028</v>
      </c>
      <c r="D999">
        <f>[5]trip_summary_region!D999</f>
        <v>8</v>
      </c>
      <c r="E999">
        <f>[5]trip_summary_region!E999</f>
        <v>23</v>
      </c>
      <c r="F999">
        <f>[5]trip_summary_region!F999</f>
        <v>1.1105821985</v>
      </c>
      <c r="G999">
        <f>[5]trip_summary_region!G999</f>
        <v>10.855682245000001</v>
      </c>
      <c r="H999">
        <f>[5]trip_summary_region!H999</f>
        <v>0.3308083812</v>
      </c>
      <c r="I999" t="str">
        <f>[5]trip_summary_region!I999</f>
        <v>Non-Household Travel</v>
      </c>
      <c r="J999" t="str">
        <f>[5]trip_summary_region!J999</f>
        <v>2027/28</v>
      </c>
    </row>
    <row r="1000" spans="1:10" x14ac:dyDescent="0.2">
      <c r="A1000" t="str">
        <f>[5]trip_summary_region!A1000</f>
        <v>14 OTAGO</v>
      </c>
      <c r="B1000">
        <f>[5]trip_summary_region!B1000</f>
        <v>11</v>
      </c>
      <c r="C1000">
        <f>[5]trip_summary_region!C1000</f>
        <v>2033</v>
      </c>
      <c r="D1000">
        <f>[5]trip_summary_region!D1000</f>
        <v>8</v>
      </c>
      <c r="E1000">
        <f>[5]trip_summary_region!E1000</f>
        <v>23</v>
      </c>
      <c r="F1000">
        <f>[5]trip_summary_region!F1000</f>
        <v>1.2950984144</v>
      </c>
      <c r="G1000">
        <f>[5]trip_summary_region!G1000</f>
        <v>12.057101986999999</v>
      </c>
      <c r="H1000">
        <f>[5]trip_summary_region!H1000</f>
        <v>0.38167088290000001</v>
      </c>
      <c r="I1000" t="str">
        <f>[5]trip_summary_region!I1000</f>
        <v>Non-Household Travel</v>
      </c>
      <c r="J1000" t="str">
        <f>[5]trip_summary_region!J1000</f>
        <v>2032/33</v>
      </c>
    </row>
    <row r="1001" spans="1:10" x14ac:dyDescent="0.2">
      <c r="A1001" t="str">
        <f>[5]trip_summary_region!A1001</f>
        <v>14 OTAGO</v>
      </c>
      <c r="B1001">
        <f>[5]trip_summary_region!B1001</f>
        <v>11</v>
      </c>
      <c r="C1001">
        <f>[5]trip_summary_region!C1001</f>
        <v>2038</v>
      </c>
      <c r="D1001">
        <f>[5]trip_summary_region!D1001</f>
        <v>8</v>
      </c>
      <c r="E1001">
        <f>[5]trip_summary_region!E1001</f>
        <v>23</v>
      </c>
      <c r="F1001">
        <f>[5]trip_summary_region!F1001</f>
        <v>1.4207710612</v>
      </c>
      <c r="G1001">
        <f>[5]trip_summary_region!G1001</f>
        <v>12.793049027</v>
      </c>
      <c r="H1001">
        <f>[5]trip_summary_region!H1001</f>
        <v>0.41609681710000002</v>
      </c>
      <c r="I1001" t="str">
        <f>[5]trip_summary_region!I1001</f>
        <v>Non-Household Travel</v>
      </c>
      <c r="J1001" t="str">
        <f>[5]trip_summary_region!J1001</f>
        <v>2037/38</v>
      </c>
    </row>
    <row r="1002" spans="1:10" x14ac:dyDescent="0.2">
      <c r="A1002" t="str">
        <f>[5]trip_summary_region!A1002</f>
        <v>14 OTAGO</v>
      </c>
      <c r="B1002">
        <f>[5]trip_summary_region!B1002</f>
        <v>11</v>
      </c>
      <c r="C1002">
        <f>[5]trip_summary_region!C1002</f>
        <v>2043</v>
      </c>
      <c r="D1002">
        <f>[5]trip_summary_region!D1002</f>
        <v>8</v>
      </c>
      <c r="E1002">
        <f>[5]trip_summary_region!E1002</f>
        <v>23</v>
      </c>
      <c r="F1002">
        <f>[5]trip_summary_region!F1002</f>
        <v>1.5602031163000001</v>
      </c>
      <c r="G1002">
        <f>[5]trip_summary_region!G1002</f>
        <v>13.494495737999999</v>
      </c>
      <c r="H1002">
        <f>[5]trip_summary_region!H1002</f>
        <v>0.45217250920000002</v>
      </c>
      <c r="I1002" t="str">
        <f>[5]trip_summary_region!I1002</f>
        <v>Non-Household Travel</v>
      </c>
      <c r="J1002" t="str">
        <f>[5]trip_summary_region!J1002</f>
        <v>2042/43</v>
      </c>
    </row>
    <row r="1003" spans="1:10" x14ac:dyDescent="0.2">
      <c r="A1003" t="str">
        <f>[5]trip_summary_region!A1003</f>
        <v>15 SOUTHLAND</v>
      </c>
      <c r="B1003">
        <f>[5]trip_summary_region!B1003</f>
        <v>0</v>
      </c>
      <c r="C1003">
        <f>[5]trip_summary_region!C1003</f>
        <v>2013</v>
      </c>
      <c r="D1003">
        <f>[5]trip_summary_region!D1003</f>
        <v>180</v>
      </c>
      <c r="E1003">
        <f>[5]trip_summary_region!E1003</f>
        <v>617</v>
      </c>
      <c r="F1003">
        <f>[5]trip_summary_region!F1003</f>
        <v>12.52065131</v>
      </c>
      <c r="G1003">
        <f>[5]trip_summary_region!G1003</f>
        <v>8.8466785109000003</v>
      </c>
      <c r="H1003">
        <f>[5]trip_summary_region!H1003</f>
        <v>2.2528617661000001</v>
      </c>
      <c r="I1003" t="str">
        <f>[5]trip_summary_region!I1003</f>
        <v>Pedestrian</v>
      </c>
      <c r="J1003" t="str">
        <f>[5]trip_summary_region!J1003</f>
        <v>2012/13</v>
      </c>
    </row>
    <row r="1004" spans="1:10" x14ac:dyDescent="0.2">
      <c r="A1004" t="str">
        <f>[5]trip_summary_region!A1004</f>
        <v>15 SOUTHLAND</v>
      </c>
      <c r="B1004">
        <f>[5]trip_summary_region!B1004</f>
        <v>0</v>
      </c>
      <c r="C1004">
        <f>[5]trip_summary_region!C1004</f>
        <v>2018</v>
      </c>
      <c r="D1004">
        <f>[5]trip_summary_region!D1004</f>
        <v>180</v>
      </c>
      <c r="E1004">
        <f>[5]trip_summary_region!E1004</f>
        <v>617</v>
      </c>
      <c r="F1004">
        <f>[5]trip_summary_region!F1004</f>
        <v>11.857773808999999</v>
      </c>
      <c r="G1004">
        <f>[5]trip_summary_region!G1004</f>
        <v>8.4491983253999994</v>
      </c>
      <c r="H1004">
        <f>[5]trip_summary_region!H1004</f>
        <v>2.1441394787000001</v>
      </c>
      <c r="I1004" t="str">
        <f>[5]trip_summary_region!I1004</f>
        <v>Pedestrian</v>
      </c>
      <c r="J1004" t="str">
        <f>[5]trip_summary_region!J1004</f>
        <v>2017/18</v>
      </c>
    </row>
    <row r="1005" spans="1:10" x14ac:dyDescent="0.2">
      <c r="A1005" t="str">
        <f>[5]trip_summary_region!A1005</f>
        <v>15 SOUTHLAND</v>
      </c>
      <c r="B1005">
        <f>[5]trip_summary_region!B1005</f>
        <v>0</v>
      </c>
      <c r="C1005">
        <f>[5]trip_summary_region!C1005</f>
        <v>2023</v>
      </c>
      <c r="D1005">
        <f>[5]trip_summary_region!D1005</f>
        <v>180</v>
      </c>
      <c r="E1005">
        <f>[5]trip_summary_region!E1005</f>
        <v>617</v>
      </c>
      <c r="F1005">
        <f>[5]trip_summary_region!F1005</f>
        <v>12.193084632</v>
      </c>
      <c r="G1005">
        <f>[5]trip_summary_region!G1005</f>
        <v>8.7026734271000006</v>
      </c>
      <c r="H1005">
        <f>[5]trip_summary_region!H1005</f>
        <v>2.2012301140999999</v>
      </c>
      <c r="I1005" t="str">
        <f>[5]trip_summary_region!I1005</f>
        <v>Pedestrian</v>
      </c>
      <c r="J1005" t="str">
        <f>[5]trip_summary_region!J1005</f>
        <v>2022/23</v>
      </c>
    </row>
    <row r="1006" spans="1:10" x14ac:dyDescent="0.2">
      <c r="A1006" t="str">
        <f>[5]trip_summary_region!A1006</f>
        <v>15 SOUTHLAND</v>
      </c>
      <c r="B1006">
        <f>[5]trip_summary_region!B1006</f>
        <v>0</v>
      </c>
      <c r="C1006">
        <f>[5]trip_summary_region!C1006</f>
        <v>2028</v>
      </c>
      <c r="D1006">
        <f>[5]trip_summary_region!D1006</f>
        <v>180</v>
      </c>
      <c r="E1006">
        <f>[5]trip_summary_region!E1006</f>
        <v>617</v>
      </c>
      <c r="F1006">
        <f>[5]trip_summary_region!F1006</f>
        <v>11.977231363</v>
      </c>
      <c r="G1006">
        <f>[5]trip_summary_region!G1006</f>
        <v>8.5572212483999994</v>
      </c>
      <c r="H1006">
        <f>[5]trip_summary_region!H1006</f>
        <v>2.1261411383</v>
      </c>
      <c r="I1006" t="str">
        <f>[5]trip_summary_region!I1006</f>
        <v>Pedestrian</v>
      </c>
      <c r="J1006" t="str">
        <f>[5]trip_summary_region!J1006</f>
        <v>2027/28</v>
      </c>
    </row>
    <row r="1007" spans="1:10" x14ac:dyDescent="0.2">
      <c r="A1007" t="str">
        <f>[5]trip_summary_region!A1007</f>
        <v>15 SOUTHLAND</v>
      </c>
      <c r="B1007">
        <f>[5]trip_summary_region!B1007</f>
        <v>0</v>
      </c>
      <c r="C1007">
        <f>[5]trip_summary_region!C1007</f>
        <v>2033</v>
      </c>
      <c r="D1007">
        <f>[5]trip_summary_region!D1007</f>
        <v>180</v>
      </c>
      <c r="E1007">
        <f>[5]trip_summary_region!E1007</f>
        <v>617</v>
      </c>
      <c r="F1007">
        <f>[5]trip_summary_region!F1007</f>
        <v>11.594054611000001</v>
      </c>
      <c r="G1007">
        <f>[5]trip_summary_region!G1007</f>
        <v>8.2540177264000008</v>
      </c>
      <c r="H1007">
        <f>[5]trip_summary_region!H1007</f>
        <v>2.0292054351000002</v>
      </c>
      <c r="I1007" t="str">
        <f>[5]trip_summary_region!I1007</f>
        <v>Pedestrian</v>
      </c>
      <c r="J1007" t="str">
        <f>[5]trip_summary_region!J1007</f>
        <v>2032/33</v>
      </c>
    </row>
    <row r="1008" spans="1:10" x14ac:dyDescent="0.2">
      <c r="A1008" t="str">
        <f>[5]trip_summary_region!A1008</f>
        <v>15 SOUTHLAND</v>
      </c>
      <c r="B1008">
        <f>[5]trip_summary_region!B1008</f>
        <v>0</v>
      </c>
      <c r="C1008">
        <f>[5]trip_summary_region!C1008</f>
        <v>2038</v>
      </c>
      <c r="D1008">
        <f>[5]trip_summary_region!D1008</f>
        <v>180</v>
      </c>
      <c r="E1008">
        <f>[5]trip_summary_region!E1008</f>
        <v>617</v>
      </c>
      <c r="F1008">
        <f>[5]trip_summary_region!F1008</f>
        <v>11.001923429</v>
      </c>
      <c r="G1008">
        <f>[5]trip_summary_region!G1008</f>
        <v>7.8912537273999996</v>
      </c>
      <c r="H1008">
        <f>[5]trip_summary_region!H1008</f>
        <v>1.9062726062999999</v>
      </c>
      <c r="I1008" t="str">
        <f>[5]trip_summary_region!I1008</f>
        <v>Pedestrian</v>
      </c>
      <c r="J1008" t="str">
        <f>[5]trip_summary_region!J1008</f>
        <v>2037/38</v>
      </c>
    </row>
    <row r="1009" spans="1:10" x14ac:dyDescent="0.2">
      <c r="A1009" t="str">
        <f>[5]trip_summary_region!A1009</f>
        <v>15 SOUTHLAND</v>
      </c>
      <c r="B1009">
        <f>[5]trip_summary_region!B1009</f>
        <v>0</v>
      </c>
      <c r="C1009">
        <f>[5]trip_summary_region!C1009</f>
        <v>2043</v>
      </c>
      <c r="D1009">
        <f>[5]trip_summary_region!D1009</f>
        <v>180</v>
      </c>
      <c r="E1009">
        <f>[5]trip_summary_region!E1009</f>
        <v>617</v>
      </c>
      <c r="F1009">
        <f>[5]trip_summary_region!F1009</f>
        <v>10.361776565</v>
      </c>
      <c r="G1009">
        <f>[5]trip_summary_region!G1009</f>
        <v>7.4664823552000001</v>
      </c>
      <c r="H1009">
        <f>[5]trip_summary_region!H1009</f>
        <v>1.7722376385</v>
      </c>
      <c r="I1009" t="str">
        <f>[5]trip_summary_region!I1009</f>
        <v>Pedestrian</v>
      </c>
      <c r="J1009" t="str">
        <f>[5]trip_summary_region!J1009</f>
        <v>2042/43</v>
      </c>
    </row>
    <row r="1010" spans="1:10" x14ac:dyDescent="0.2">
      <c r="A1010" t="str">
        <f>[5]trip_summary_region!A1010</f>
        <v>15 SOUTHLAND</v>
      </c>
      <c r="B1010">
        <f>[5]trip_summary_region!B1010</f>
        <v>1</v>
      </c>
      <c r="C1010">
        <f>[5]trip_summary_region!C1010</f>
        <v>2013</v>
      </c>
      <c r="D1010">
        <f>[5]trip_summary_region!D1010</f>
        <v>19</v>
      </c>
      <c r="E1010">
        <f>[5]trip_summary_region!E1010</f>
        <v>72</v>
      </c>
      <c r="F1010">
        <f>[5]trip_summary_region!F1010</f>
        <v>1.0312878256</v>
      </c>
      <c r="G1010">
        <f>[5]trip_summary_region!G1010</f>
        <v>7.5402861329000004</v>
      </c>
      <c r="H1010">
        <f>[5]trip_summary_region!H1010</f>
        <v>0.50294231479999996</v>
      </c>
      <c r="I1010" t="str">
        <f>[5]trip_summary_region!I1010</f>
        <v>Cyclist</v>
      </c>
      <c r="J1010" t="str">
        <f>[5]trip_summary_region!J1010</f>
        <v>2012/13</v>
      </c>
    </row>
    <row r="1011" spans="1:10" x14ac:dyDescent="0.2">
      <c r="A1011" t="str">
        <f>[5]trip_summary_region!A1011</f>
        <v>15 SOUTHLAND</v>
      </c>
      <c r="B1011">
        <f>[5]trip_summary_region!B1011</f>
        <v>1</v>
      </c>
      <c r="C1011">
        <f>[5]trip_summary_region!C1011</f>
        <v>2018</v>
      </c>
      <c r="D1011">
        <f>[5]trip_summary_region!D1011</f>
        <v>19</v>
      </c>
      <c r="E1011">
        <f>[5]trip_summary_region!E1011</f>
        <v>72</v>
      </c>
      <c r="F1011">
        <f>[5]trip_summary_region!F1011</f>
        <v>1.0073890549</v>
      </c>
      <c r="G1011">
        <f>[5]trip_summary_region!G1011</f>
        <v>7.6461719641999997</v>
      </c>
      <c r="H1011">
        <f>[5]trip_summary_region!H1011</f>
        <v>0.50515623700000001</v>
      </c>
      <c r="I1011" t="str">
        <f>[5]trip_summary_region!I1011</f>
        <v>Cyclist</v>
      </c>
      <c r="J1011" t="str">
        <f>[5]trip_summary_region!J1011</f>
        <v>2017/18</v>
      </c>
    </row>
    <row r="1012" spans="1:10" x14ac:dyDescent="0.2">
      <c r="A1012" t="str">
        <f>[5]trip_summary_region!A1012</f>
        <v>15 SOUTHLAND</v>
      </c>
      <c r="B1012">
        <f>[5]trip_summary_region!B1012</f>
        <v>1</v>
      </c>
      <c r="C1012">
        <f>[5]trip_summary_region!C1012</f>
        <v>2023</v>
      </c>
      <c r="D1012">
        <f>[5]trip_summary_region!D1012</f>
        <v>19</v>
      </c>
      <c r="E1012">
        <f>[5]trip_summary_region!E1012</f>
        <v>72</v>
      </c>
      <c r="F1012">
        <f>[5]trip_summary_region!F1012</f>
        <v>1.059799597</v>
      </c>
      <c r="G1012">
        <f>[5]trip_summary_region!G1012</f>
        <v>8.1529892268000008</v>
      </c>
      <c r="H1012">
        <f>[5]trip_summary_region!H1012</f>
        <v>0.53881469780000002</v>
      </c>
      <c r="I1012" t="str">
        <f>[5]trip_summary_region!I1012</f>
        <v>Cyclist</v>
      </c>
      <c r="J1012" t="str">
        <f>[5]trip_summary_region!J1012</f>
        <v>2022/23</v>
      </c>
    </row>
    <row r="1013" spans="1:10" x14ac:dyDescent="0.2">
      <c r="A1013" t="str">
        <f>[5]trip_summary_region!A1013</f>
        <v>15 SOUTHLAND</v>
      </c>
      <c r="B1013">
        <f>[5]trip_summary_region!B1013</f>
        <v>1</v>
      </c>
      <c r="C1013">
        <f>[5]trip_summary_region!C1013</f>
        <v>2028</v>
      </c>
      <c r="D1013">
        <f>[5]trip_summary_region!D1013</f>
        <v>19</v>
      </c>
      <c r="E1013">
        <f>[5]trip_summary_region!E1013</f>
        <v>72</v>
      </c>
      <c r="F1013">
        <f>[5]trip_summary_region!F1013</f>
        <v>1.0616554113000001</v>
      </c>
      <c r="G1013">
        <f>[5]trip_summary_region!G1013</f>
        <v>7.2834445582000003</v>
      </c>
      <c r="H1013">
        <f>[5]trip_summary_region!H1013</f>
        <v>0.50091971599999996</v>
      </c>
      <c r="I1013" t="str">
        <f>[5]trip_summary_region!I1013</f>
        <v>Cyclist</v>
      </c>
      <c r="J1013" t="str">
        <f>[5]trip_summary_region!J1013</f>
        <v>2027/28</v>
      </c>
    </row>
    <row r="1014" spans="1:10" x14ac:dyDescent="0.2">
      <c r="A1014" t="str">
        <f>[5]trip_summary_region!A1014</f>
        <v>15 SOUTHLAND</v>
      </c>
      <c r="B1014">
        <f>[5]trip_summary_region!B1014</f>
        <v>1</v>
      </c>
      <c r="C1014">
        <f>[5]trip_summary_region!C1014</f>
        <v>2033</v>
      </c>
      <c r="D1014">
        <f>[5]trip_summary_region!D1014</f>
        <v>19</v>
      </c>
      <c r="E1014">
        <f>[5]trip_summary_region!E1014</f>
        <v>72</v>
      </c>
      <c r="F1014">
        <f>[5]trip_summary_region!F1014</f>
        <v>1.0604580653</v>
      </c>
      <c r="G1014">
        <f>[5]trip_summary_region!G1014</f>
        <v>6.6417868208000002</v>
      </c>
      <c r="H1014">
        <f>[5]trip_summary_region!H1014</f>
        <v>0.46887755920000002</v>
      </c>
      <c r="I1014" t="str">
        <f>[5]trip_summary_region!I1014</f>
        <v>Cyclist</v>
      </c>
      <c r="J1014" t="str">
        <f>[5]trip_summary_region!J1014</f>
        <v>2032/33</v>
      </c>
    </row>
    <row r="1015" spans="1:10" x14ac:dyDescent="0.2">
      <c r="A1015" t="str">
        <f>[5]trip_summary_region!A1015</f>
        <v>15 SOUTHLAND</v>
      </c>
      <c r="B1015">
        <f>[5]trip_summary_region!B1015</f>
        <v>1</v>
      </c>
      <c r="C1015">
        <f>[5]trip_summary_region!C1015</f>
        <v>2038</v>
      </c>
      <c r="D1015">
        <f>[5]trip_summary_region!D1015</f>
        <v>19</v>
      </c>
      <c r="E1015">
        <f>[5]trip_summary_region!E1015</f>
        <v>72</v>
      </c>
      <c r="F1015">
        <f>[5]trip_summary_region!F1015</f>
        <v>1.0033851702000001</v>
      </c>
      <c r="G1015">
        <f>[5]trip_summary_region!G1015</f>
        <v>6.0825345807</v>
      </c>
      <c r="H1015">
        <f>[5]trip_summary_region!H1015</f>
        <v>0.43267329360000001</v>
      </c>
      <c r="I1015" t="str">
        <f>[5]trip_summary_region!I1015</f>
        <v>Cyclist</v>
      </c>
      <c r="J1015" t="str">
        <f>[5]trip_summary_region!J1015</f>
        <v>2037/38</v>
      </c>
    </row>
    <row r="1016" spans="1:10" x14ac:dyDescent="0.2">
      <c r="A1016" t="str">
        <f>[5]trip_summary_region!A1016</f>
        <v>15 SOUTHLAND</v>
      </c>
      <c r="B1016">
        <f>[5]trip_summary_region!B1016</f>
        <v>1</v>
      </c>
      <c r="C1016">
        <f>[5]trip_summary_region!C1016</f>
        <v>2043</v>
      </c>
      <c r="D1016">
        <f>[5]trip_summary_region!D1016</f>
        <v>19</v>
      </c>
      <c r="E1016">
        <f>[5]trip_summary_region!E1016</f>
        <v>72</v>
      </c>
      <c r="F1016">
        <f>[5]trip_summary_region!F1016</f>
        <v>0.94226306670000004</v>
      </c>
      <c r="G1016">
        <f>[5]trip_summary_region!G1016</f>
        <v>5.5625070072999998</v>
      </c>
      <c r="H1016">
        <f>[5]trip_summary_region!H1016</f>
        <v>0.3980852621</v>
      </c>
      <c r="I1016" t="str">
        <f>[5]trip_summary_region!I1016</f>
        <v>Cyclist</v>
      </c>
      <c r="J1016" t="str">
        <f>[5]trip_summary_region!J1016</f>
        <v>2042/43</v>
      </c>
    </row>
    <row r="1017" spans="1:10" x14ac:dyDescent="0.2">
      <c r="A1017" t="str">
        <f>[5]trip_summary_region!A1017</f>
        <v>15 SOUTHLAND</v>
      </c>
      <c r="B1017">
        <f>[5]trip_summary_region!B1017</f>
        <v>2</v>
      </c>
      <c r="C1017">
        <f>[5]trip_summary_region!C1017</f>
        <v>2013</v>
      </c>
      <c r="D1017">
        <f>[5]trip_summary_region!D1017</f>
        <v>442</v>
      </c>
      <c r="E1017">
        <f>[5]trip_summary_region!E1017</f>
        <v>3080</v>
      </c>
      <c r="F1017">
        <f>[5]trip_summary_region!F1017</f>
        <v>66.981547285000005</v>
      </c>
      <c r="G1017">
        <f>[5]trip_summary_region!G1017</f>
        <v>657.74873722999996</v>
      </c>
      <c r="H1017">
        <f>[5]trip_summary_region!H1017</f>
        <v>14.603785903</v>
      </c>
      <c r="I1017" t="str">
        <f>[5]trip_summary_region!I1017</f>
        <v>Light Vehicle Driver</v>
      </c>
      <c r="J1017" t="str">
        <f>[5]trip_summary_region!J1017</f>
        <v>2012/13</v>
      </c>
    </row>
    <row r="1018" spans="1:10" x14ac:dyDescent="0.2">
      <c r="A1018" t="str">
        <f>[5]trip_summary_region!A1018</f>
        <v>15 SOUTHLAND</v>
      </c>
      <c r="B1018">
        <f>[5]trip_summary_region!B1018</f>
        <v>2</v>
      </c>
      <c r="C1018">
        <f>[5]trip_summary_region!C1018</f>
        <v>2018</v>
      </c>
      <c r="D1018">
        <f>[5]trip_summary_region!D1018</f>
        <v>442</v>
      </c>
      <c r="E1018">
        <f>[5]trip_summary_region!E1018</f>
        <v>3080</v>
      </c>
      <c r="F1018">
        <f>[5]trip_summary_region!F1018</f>
        <v>65.392852241</v>
      </c>
      <c r="G1018">
        <f>[5]trip_summary_region!G1018</f>
        <v>666.29178116000003</v>
      </c>
      <c r="H1018">
        <f>[5]trip_summary_region!H1018</f>
        <v>14.606166591999999</v>
      </c>
      <c r="I1018" t="str">
        <f>[5]trip_summary_region!I1018</f>
        <v>Light Vehicle Driver</v>
      </c>
      <c r="J1018" t="str">
        <f>[5]trip_summary_region!J1018</f>
        <v>2017/18</v>
      </c>
    </row>
    <row r="1019" spans="1:10" x14ac:dyDescent="0.2">
      <c r="A1019" t="str">
        <f>[5]trip_summary_region!A1019</f>
        <v>15 SOUTHLAND</v>
      </c>
      <c r="B1019">
        <f>[5]trip_summary_region!B1019</f>
        <v>2</v>
      </c>
      <c r="C1019">
        <f>[5]trip_summary_region!C1019</f>
        <v>2023</v>
      </c>
      <c r="D1019">
        <f>[5]trip_summary_region!D1019</f>
        <v>442</v>
      </c>
      <c r="E1019">
        <f>[5]trip_summary_region!E1019</f>
        <v>3080</v>
      </c>
      <c r="F1019">
        <f>[5]trip_summary_region!F1019</f>
        <v>68.102487831000005</v>
      </c>
      <c r="G1019">
        <f>[5]trip_summary_region!G1019</f>
        <v>722.62977076000004</v>
      </c>
      <c r="H1019">
        <f>[5]trip_summary_region!H1019</f>
        <v>15.616930379999999</v>
      </c>
      <c r="I1019" t="str">
        <f>[5]trip_summary_region!I1019</f>
        <v>Light Vehicle Driver</v>
      </c>
      <c r="J1019" t="str">
        <f>[5]trip_summary_region!J1019</f>
        <v>2022/23</v>
      </c>
    </row>
    <row r="1020" spans="1:10" x14ac:dyDescent="0.2">
      <c r="A1020" t="str">
        <f>[5]trip_summary_region!A1020</f>
        <v>15 SOUTHLAND</v>
      </c>
      <c r="B1020">
        <f>[5]trip_summary_region!B1020</f>
        <v>2</v>
      </c>
      <c r="C1020">
        <f>[5]trip_summary_region!C1020</f>
        <v>2028</v>
      </c>
      <c r="D1020">
        <f>[5]trip_summary_region!D1020</f>
        <v>442</v>
      </c>
      <c r="E1020">
        <f>[5]trip_summary_region!E1020</f>
        <v>3080</v>
      </c>
      <c r="F1020">
        <f>[5]trip_summary_region!F1020</f>
        <v>67.216676777000004</v>
      </c>
      <c r="G1020">
        <f>[5]trip_summary_region!G1020</f>
        <v>727.88076692000004</v>
      </c>
      <c r="H1020">
        <f>[5]trip_summary_region!H1020</f>
        <v>15.574776464999999</v>
      </c>
      <c r="I1020" t="str">
        <f>[5]trip_summary_region!I1020</f>
        <v>Light Vehicle Driver</v>
      </c>
      <c r="J1020" t="str">
        <f>[5]trip_summary_region!J1020</f>
        <v>2027/28</v>
      </c>
    </row>
    <row r="1021" spans="1:10" x14ac:dyDescent="0.2">
      <c r="A1021" t="str">
        <f>[5]trip_summary_region!A1021</f>
        <v>15 SOUTHLAND</v>
      </c>
      <c r="B1021">
        <f>[5]trip_summary_region!B1021</f>
        <v>2</v>
      </c>
      <c r="C1021">
        <f>[5]trip_summary_region!C1021</f>
        <v>2033</v>
      </c>
      <c r="D1021">
        <f>[5]trip_summary_region!D1021</f>
        <v>442</v>
      </c>
      <c r="E1021">
        <f>[5]trip_summary_region!E1021</f>
        <v>3080</v>
      </c>
      <c r="F1021">
        <f>[5]trip_summary_region!F1021</f>
        <v>66.527659761999999</v>
      </c>
      <c r="G1021">
        <f>[5]trip_summary_region!G1021</f>
        <v>728.78228586</v>
      </c>
      <c r="H1021">
        <f>[5]trip_summary_region!H1021</f>
        <v>15.487512425</v>
      </c>
      <c r="I1021" t="str">
        <f>[5]trip_summary_region!I1021</f>
        <v>Light Vehicle Driver</v>
      </c>
      <c r="J1021" t="str">
        <f>[5]trip_summary_region!J1021</f>
        <v>2032/33</v>
      </c>
    </row>
    <row r="1022" spans="1:10" x14ac:dyDescent="0.2">
      <c r="A1022" t="str">
        <f>[5]trip_summary_region!A1022</f>
        <v>15 SOUTHLAND</v>
      </c>
      <c r="B1022">
        <f>[5]trip_summary_region!B1022</f>
        <v>2</v>
      </c>
      <c r="C1022">
        <f>[5]trip_summary_region!C1022</f>
        <v>2038</v>
      </c>
      <c r="D1022">
        <f>[5]trip_summary_region!D1022</f>
        <v>442</v>
      </c>
      <c r="E1022">
        <f>[5]trip_summary_region!E1022</f>
        <v>3080</v>
      </c>
      <c r="F1022">
        <f>[5]trip_summary_region!F1022</f>
        <v>65.170134719000004</v>
      </c>
      <c r="G1022">
        <f>[5]trip_summary_region!G1022</f>
        <v>719.11388284999998</v>
      </c>
      <c r="H1022">
        <f>[5]trip_summary_region!H1022</f>
        <v>15.212546103999999</v>
      </c>
      <c r="I1022" t="str">
        <f>[5]trip_summary_region!I1022</f>
        <v>Light Vehicle Driver</v>
      </c>
      <c r="J1022" t="str">
        <f>[5]trip_summary_region!J1022</f>
        <v>2037/38</v>
      </c>
    </row>
    <row r="1023" spans="1:10" x14ac:dyDescent="0.2">
      <c r="A1023" t="str">
        <f>[5]trip_summary_region!A1023</f>
        <v>15 SOUTHLAND</v>
      </c>
      <c r="B1023">
        <f>[5]trip_summary_region!B1023</f>
        <v>2</v>
      </c>
      <c r="C1023">
        <f>[5]trip_summary_region!C1023</f>
        <v>2043</v>
      </c>
      <c r="D1023">
        <f>[5]trip_summary_region!D1023</f>
        <v>442</v>
      </c>
      <c r="E1023">
        <f>[5]trip_summary_region!E1023</f>
        <v>3080</v>
      </c>
      <c r="F1023">
        <f>[5]trip_summary_region!F1023</f>
        <v>63.642317329000001</v>
      </c>
      <c r="G1023">
        <f>[5]trip_summary_region!G1023</f>
        <v>706.49431984</v>
      </c>
      <c r="H1023">
        <f>[5]trip_summary_region!H1023</f>
        <v>14.871700097</v>
      </c>
      <c r="I1023" t="str">
        <f>[5]trip_summary_region!I1023</f>
        <v>Light Vehicle Driver</v>
      </c>
      <c r="J1023" t="str">
        <f>[5]trip_summary_region!J1023</f>
        <v>2042/43</v>
      </c>
    </row>
    <row r="1024" spans="1:10" x14ac:dyDescent="0.2">
      <c r="A1024" t="str">
        <f>[5]trip_summary_region!A1024</f>
        <v>15 SOUTHLAND</v>
      </c>
      <c r="B1024">
        <f>[5]trip_summary_region!B1024</f>
        <v>3</v>
      </c>
      <c r="C1024">
        <f>[5]trip_summary_region!C1024</f>
        <v>2013</v>
      </c>
      <c r="D1024">
        <f>[5]trip_summary_region!D1024</f>
        <v>289</v>
      </c>
      <c r="E1024">
        <f>[5]trip_summary_region!E1024</f>
        <v>1411</v>
      </c>
      <c r="F1024">
        <f>[5]trip_summary_region!F1024</f>
        <v>28.419434702</v>
      </c>
      <c r="G1024">
        <f>[5]trip_summary_region!G1024</f>
        <v>380.70733008000002</v>
      </c>
      <c r="H1024">
        <f>[5]trip_summary_region!H1024</f>
        <v>7.5859087797999996</v>
      </c>
      <c r="I1024" t="str">
        <f>[5]trip_summary_region!I1024</f>
        <v>Light Vehicle Passenger</v>
      </c>
      <c r="J1024" t="str">
        <f>[5]trip_summary_region!J1024</f>
        <v>2012/13</v>
      </c>
    </row>
    <row r="1025" spans="1:10" x14ac:dyDescent="0.2">
      <c r="A1025" t="str">
        <f>[5]trip_summary_region!A1025</f>
        <v>15 SOUTHLAND</v>
      </c>
      <c r="B1025">
        <f>[5]trip_summary_region!B1025</f>
        <v>3</v>
      </c>
      <c r="C1025">
        <f>[5]trip_summary_region!C1025</f>
        <v>2018</v>
      </c>
      <c r="D1025">
        <f>[5]trip_summary_region!D1025</f>
        <v>289</v>
      </c>
      <c r="E1025">
        <f>[5]trip_summary_region!E1025</f>
        <v>1411</v>
      </c>
      <c r="F1025">
        <f>[5]trip_summary_region!F1025</f>
        <v>25.446795404</v>
      </c>
      <c r="G1025">
        <f>[5]trip_summary_region!G1025</f>
        <v>367.84409948000001</v>
      </c>
      <c r="H1025">
        <f>[5]trip_summary_region!H1025</f>
        <v>7.1522637926000003</v>
      </c>
      <c r="I1025" t="str">
        <f>[5]trip_summary_region!I1025</f>
        <v>Light Vehicle Passenger</v>
      </c>
      <c r="J1025" t="str">
        <f>[5]trip_summary_region!J1025</f>
        <v>2017/18</v>
      </c>
    </row>
    <row r="1026" spans="1:10" x14ac:dyDescent="0.2">
      <c r="A1026" t="str">
        <f>[5]trip_summary_region!A1026</f>
        <v>15 SOUTHLAND</v>
      </c>
      <c r="B1026">
        <f>[5]trip_summary_region!B1026</f>
        <v>3</v>
      </c>
      <c r="C1026">
        <f>[5]trip_summary_region!C1026</f>
        <v>2023</v>
      </c>
      <c r="D1026">
        <f>[5]trip_summary_region!D1026</f>
        <v>289</v>
      </c>
      <c r="E1026">
        <f>[5]trip_summary_region!E1026</f>
        <v>1411</v>
      </c>
      <c r="F1026">
        <f>[5]trip_summary_region!F1026</f>
        <v>25.191038403</v>
      </c>
      <c r="G1026">
        <f>[5]trip_summary_region!G1026</f>
        <v>392.05091121999999</v>
      </c>
      <c r="H1026">
        <f>[5]trip_summary_region!H1026</f>
        <v>7.4522843251999999</v>
      </c>
      <c r="I1026" t="str">
        <f>[5]trip_summary_region!I1026</f>
        <v>Light Vehicle Passenger</v>
      </c>
      <c r="J1026" t="str">
        <f>[5]trip_summary_region!J1026</f>
        <v>2022/23</v>
      </c>
    </row>
    <row r="1027" spans="1:10" x14ac:dyDescent="0.2">
      <c r="A1027" t="str">
        <f>[5]trip_summary_region!A1027</f>
        <v>15 SOUTHLAND</v>
      </c>
      <c r="B1027">
        <f>[5]trip_summary_region!B1027</f>
        <v>3</v>
      </c>
      <c r="C1027">
        <f>[5]trip_summary_region!C1027</f>
        <v>2028</v>
      </c>
      <c r="D1027">
        <f>[5]trip_summary_region!D1027</f>
        <v>289</v>
      </c>
      <c r="E1027">
        <f>[5]trip_summary_region!E1027</f>
        <v>1411</v>
      </c>
      <c r="F1027">
        <f>[5]trip_summary_region!F1027</f>
        <v>24.13937687</v>
      </c>
      <c r="G1027">
        <f>[5]trip_summary_region!G1027</f>
        <v>389.08664056999999</v>
      </c>
      <c r="H1027">
        <f>[5]trip_summary_region!H1027</f>
        <v>7.3108640722000002</v>
      </c>
      <c r="I1027" t="str">
        <f>[5]trip_summary_region!I1027</f>
        <v>Light Vehicle Passenger</v>
      </c>
      <c r="J1027" t="str">
        <f>[5]trip_summary_region!J1027</f>
        <v>2027/28</v>
      </c>
    </row>
    <row r="1028" spans="1:10" x14ac:dyDescent="0.2">
      <c r="A1028" t="str">
        <f>[5]trip_summary_region!A1028</f>
        <v>15 SOUTHLAND</v>
      </c>
      <c r="B1028">
        <f>[5]trip_summary_region!B1028</f>
        <v>3</v>
      </c>
      <c r="C1028">
        <f>[5]trip_summary_region!C1028</f>
        <v>2033</v>
      </c>
      <c r="D1028">
        <f>[5]trip_summary_region!D1028</f>
        <v>289</v>
      </c>
      <c r="E1028">
        <f>[5]trip_summary_region!E1028</f>
        <v>1411</v>
      </c>
      <c r="F1028">
        <f>[5]trip_summary_region!F1028</f>
        <v>22.951022318</v>
      </c>
      <c r="G1028">
        <f>[5]trip_summary_region!G1028</f>
        <v>378.11002635</v>
      </c>
      <c r="H1028">
        <f>[5]trip_summary_region!H1028</f>
        <v>7.0438011019999998</v>
      </c>
      <c r="I1028" t="str">
        <f>[5]trip_summary_region!I1028</f>
        <v>Light Vehicle Passenger</v>
      </c>
      <c r="J1028" t="str">
        <f>[5]trip_summary_region!J1028</f>
        <v>2032/33</v>
      </c>
    </row>
    <row r="1029" spans="1:10" x14ac:dyDescent="0.2">
      <c r="A1029" t="str">
        <f>[5]trip_summary_region!A1029</f>
        <v>15 SOUTHLAND</v>
      </c>
      <c r="B1029">
        <f>[5]trip_summary_region!B1029</f>
        <v>3</v>
      </c>
      <c r="C1029">
        <f>[5]trip_summary_region!C1029</f>
        <v>2038</v>
      </c>
      <c r="D1029">
        <f>[5]trip_summary_region!D1029</f>
        <v>289</v>
      </c>
      <c r="E1029">
        <f>[5]trip_summary_region!E1029</f>
        <v>1411</v>
      </c>
      <c r="F1029">
        <f>[5]trip_summary_region!F1029</f>
        <v>21.530759351</v>
      </c>
      <c r="G1029">
        <f>[5]trip_summary_region!G1029</f>
        <v>359.64006092</v>
      </c>
      <c r="H1029">
        <f>[5]trip_summary_region!H1029</f>
        <v>6.6466078489999996</v>
      </c>
      <c r="I1029" t="str">
        <f>[5]trip_summary_region!I1029</f>
        <v>Light Vehicle Passenger</v>
      </c>
      <c r="J1029" t="str">
        <f>[5]trip_summary_region!J1029</f>
        <v>2037/38</v>
      </c>
    </row>
    <row r="1030" spans="1:10" x14ac:dyDescent="0.2">
      <c r="A1030" t="str">
        <f>[5]trip_summary_region!A1030</f>
        <v>15 SOUTHLAND</v>
      </c>
      <c r="B1030">
        <f>[5]trip_summary_region!B1030</f>
        <v>3</v>
      </c>
      <c r="C1030">
        <f>[5]trip_summary_region!C1030</f>
        <v>2043</v>
      </c>
      <c r="D1030">
        <f>[5]trip_summary_region!D1030</f>
        <v>289</v>
      </c>
      <c r="E1030">
        <f>[5]trip_summary_region!E1030</f>
        <v>1411</v>
      </c>
      <c r="F1030">
        <f>[5]trip_summary_region!F1030</f>
        <v>20.078304930000002</v>
      </c>
      <c r="G1030">
        <f>[5]trip_summary_region!G1030</f>
        <v>338.69414740000002</v>
      </c>
      <c r="H1030">
        <f>[5]trip_summary_region!H1030</f>
        <v>6.2101811839999996</v>
      </c>
      <c r="I1030" t="str">
        <f>[5]trip_summary_region!I1030</f>
        <v>Light Vehicle Passenger</v>
      </c>
      <c r="J1030" t="str">
        <f>[5]trip_summary_region!J1030</f>
        <v>2042/43</v>
      </c>
    </row>
    <row r="1031" spans="1:10" x14ac:dyDescent="0.2">
      <c r="A1031" t="str">
        <f>[5]trip_summary_region!A1031</f>
        <v>15 SOUTHLAND</v>
      </c>
      <c r="B1031">
        <f>[5]trip_summary_region!B1031</f>
        <v>4</v>
      </c>
      <c r="C1031">
        <f>[5]trip_summary_region!C1031</f>
        <v>2013</v>
      </c>
      <c r="D1031">
        <f>[5]trip_summary_region!D1031</f>
        <v>4</v>
      </c>
      <c r="E1031">
        <f>[5]trip_summary_region!E1031</f>
        <v>15</v>
      </c>
      <c r="F1031">
        <f>[5]trip_summary_region!F1031</f>
        <v>0.47613164409999997</v>
      </c>
      <c r="G1031">
        <f>[5]trip_summary_region!G1031</f>
        <v>1.2430116738999999</v>
      </c>
      <c r="H1031">
        <f>[5]trip_summary_region!H1031</f>
        <v>6.6688903300000005E-2</v>
      </c>
      <c r="I1031" t="s">
        <v>116</v>
      </c>
      <c r="J1031" t="str">
        <f>[5]trip_summary_region!J1031</f>
        <v>2012/13</v>
      </c>
    </row>
    <row r="1032" spans="1:10" x14ac:dyDescent="0.2">
      <c r="A1032" t="str">
        <f>[5]trip_summary_region!A1032</f>
        <v>15 SOUTHLAND</v>
      </c>
      <c r="B1032">
        <f>[5]trip_summary_region!B1032</f>
        <v>4</v>
      </c>
      <c r="C1032">
        <f>[5]trip_summary_region!C1032</f>
        <v>2018</v>
      </c>
      <c r="D1032">
        <f>[5]trip_summary_region!D1032</f>
        <v>4</v>
      </c>
      <c r="E1032">
        <f>[5]trip_summary_region!E1032</f>
        <v>15</v>
      </c>
      <c r="F1032">
        <f>[5]trip_summary_region!F1032</f>
        <v>0.4820430745</v>
      </c>
      <c r="G1032">
        <f>[5]trip_summary_region!G1032</f>
        <v>1.375836783</v>
      </c>
      <c r="H1032">
        <f>[5]trip_summary_region!H1032</f>
        <v>7.19539597E-2</v>
      </c>
      <c r="I1032" t="s">
        <v>116</v>
      </c>
      <c r="J1032" t="str">
        <f>[5]trip_summary_region!J1032</f>
        <v>2017/18</v>
      </c>
    </row>
    <row r="1033" spans="1:10" x14ac:dyDescent="0.2">
      <c r="A1033" t="str">
        <f>[5]trip_summary_region!A1033</f>
        <v>15 SOUTHLAND</v>
      </c>
      <c r="B1033">
        <f>[5]trip_summary_region!B1033</f>
        <v>4</v>
      </c>
      <c r="C1033">
        <f>[5]trip_summary_region!C1033</f>
        <v>2023</v>
      </c>
      <c r="D1033">
        <f>[5]trip_summary_region!D1033</f>
        <v>4</v>
      </c>
      <c r="E1033">
        <f>[5]trip_summary_region!E1033</f>
        <v>15</v>
      </c>
      <c r="F1033">
        <f>[5]trip_summary_region!F1033</f>
        <v>0.5437090041</v>
      </c>
      <c r="G1033">
        <f>[5]trip_summary_region!G1033</f>
        <v>1.6434044005999999</v>
      </c>
      <c r="H1033">
        <f>[5]trip_summary_region!H1033</f>
        <v>8.4505916700000003E-2</v>
      </c>
      <c r="I1033" t="s">
        <v>116</v>
      </c>
      <c r="J1033" t="str">
        <f>[5]trip_summary_region!J1033</f>
        <v>2022/23</v>
      </c>
    </row>
    <row r="1034" spans="1:10" x14ac:dyDescent="0.2">
      <c r="A1034" t="str">
        <f>[5]trip_summary_region!A1034</f>
        <v>15 SOUTHLAND</v>
      </c>
      <c r="B1034">
        <f>[5]trip_summary_region!B1034</f>
        <v>4</v>
      </c>
      <c r="C1034">
        <f>[5]trip_summary_region!C1034</f>
        <v>2028</v>
      </c>
      <c r="D1034">
        <f>[5]trip_summary_region!D1034</f>
        <v>4</v>
      </c>
      <c r="E1034">
        <f>[5]trip_summary_region!E1034</f>
        <v>15</v>
      </c>
      <c r="F1034">
        <f>[5]trip_summary_region!F1034</f>
        <v>0.57898426140000003</v>
      </c>
      <c r="G1034">
        <f>[5]trip_summary_region!G1034</f>
        <v>1.7651994439000001</v>
      </c>
      <c r="H1034">
        <f>[5]trip_summary_region!H1034</f>
        <v>9.0310212900000006E-2</v>
      </c>
      <c r="I1034" t="s">
        <v>116</v>
      </c>
      <c r="J1034" t="str">
        <f>[5]trip_summary_region!J1034</f>
        <v>2027/28</v>
      </c>
    </row>
    <row r="1035" spans="1:10" x14ac:dyDescent="0.2">
      <c r="A1035" t="str">
        <f>[5]trip_summary_region!A1035</f>
        <v>15 SOUTHLAND</v>
      </c>
      <c r="B1035">
        <f>[5]trip_summary_region!B1035</f>
        <v>4</v>
      </c>
      <c r="C1035">
        <f>[5]trip_summary_region!C1035</f>
        <v>2033</v>
      </c>
      <c r="D1035">
        <f>[5]trip_summary_region!D1035</f>
        <v>4</v>
      </c>
      <c r="E1035">
        <f>[5]trip_summary_region!E1035</f>
        <v>15</v>
      </c>
      <c r="F1035">
        <f>[5]trip_summary_region!F1035</f>
        <v>0.61023498229999995</v>
      </c>
      <c r="G1035">
        <f>[5]trip_summary_region!G1035</f>
        <v>1.8438430937000001</v>
      </c>
      <c r="H1035">
        <f>[5]trip_summary_region!H1035</f>
        <v>9.4323095100000004E-2</v>
      </c>
      <c r="I1035" t="s">
        <v>116</v>
      </c>
      <c r="J1035" t="str">
        <f>[5]trip_summary_region!J1035</f>
        <v>2032/33</v>
      </c>
    </row>
    <row r="1036" spans="1:10" x14ac:dyDescent="0.2">
      <c r="A1036" t="str">
        <f>[5]trip_summary_region!A1036</f>
        <v>15 SOUTHLAND</v>
      </c>
      <c r="B1036">
        <f>[5]trip_summary_region!B1036</f>
        <v>4</v>
      </c>
      <c r="C1036">
        <f>[5]trip_summary_region!C1036</f>
        <v>2038</v>
      </c>
      <c r="D1036">
        <f>[5]trip_summary_region!D1036</f>
        <v>4</v>
      </c>
      <c r="E1036">
        <f>[5]trip_summary_region!E1036</f>
        <v>15</v>
      </c>
      <c r="F1036">
        <f>[5]trip_summary_region!F1036</f>
        <v>0.62554769750000006</v>
      </c>
      <c r="G1036">
        <f>[5]trip_summary_region!G1036</f>
        <v>1.8685468395</v>
      </c>
      <c r="H1036">
        <f>[5]trip_summary_region!H1036</f>
        <v>9.5665201399999997E-2</v>
      </c>
      <c r="I1036" t="s">
        <v>116</v>
      </c>
      <c r="J1036" t="str">
        <f>[5]trip_summary_region!J1036</f>
        <v>2037/38</v>
      </c>
    </row>
    <row r="1037" spans="1:10" x14ac:dyDescent="0.2">
      <c r="A1037" t="str">
        <f>[5]trip_summary_region!A1037</f>
        <v>15 SOUTHLAND</v>
      </c>
      <c r="B1037">
        <f>[5]trip_summary_region!B1037</f>
        <v>4</v>
      </c>
      <c r="C1037">
        <f>[5]trip_summary_region!C1037</f>
        <v>2043</v>
      </c>
      <c r="D1037">
        <f>[5]trip_summary_region!D1037</f>
        <v>4</v>
      </c>
      <c r="E1037">
        <f>[5]trip_summary_region!E1037</f>
        <v>15</v>
      </c>
      <c r="F1037">
        <f>[5]trip_summary_region!F1037</f>
        <v>0.63542328510000001</v>
      </c>
      <c r="G1037">
        <f>[5]trip_summary_region!G1037</f>
        <v>1.8718538313999999</v>
      </c>
      <c r="H1037">
        <f>[5]trip_summary_region!H1037</f>
        <v>9.6013659599999995E-2</v>
      </c>
      <c r="I1037" t="s">
        <v>116</v>
      </c>
      <c r="J1037" t="str">
        <f>[5]trip_summary_region!J1037</f>
        <v>2042/43</v>
      </c>
    </row>
    <row r="1038" spans="1:10" x14ac:dyDescent="0.2">
      <c r="A1038" t="str">
        <f>[5]trip_summary_region!A1038</f>
        <v>15 SOUTHLAND</v>
      </c>
      <c r="B1038">
        <f>[5]trip_summary_region!B1038</f>
        <v>5</v>
      </c>
      <c r="C1038">
        <f>[5]trip_summary_region!C1038</f>
        <v>2013</v>
      </c>
      <c r="D1038">
        <f>[5]trip_summary_region!D1038</f>
        <v>8</v>
      </c>
      <c r="E1038">
        <f>[5]trip_summary_region!E1038</f>
        <v>32</v>
      </c>
      <c r="F1038">
        <f>[5]trip_summary_region!F1038</f>
        <v>0.62652592730000001</v>
      </c>
      <c r="G1038">
        <f>[5]trip_summary_region!G1038</f>
        <v>18.926640866</v>
      </c>
      <c r="H1038">
        <f>[5]trip_summary_region!H1038</f>
        <v>0.2609239458</v>
      </c>
      <c r="I1038" t="str">
        <f>[5]trip_summary_region!I1038</f>
        <v>Motorcyclist</v>
      </c>
      <c r="J1038" t="str">
        <f>[5]trip_summary_region!J1038</f>
        <v>2012/13</v>
      </c>
    </row>
    <row r="1039" spans="1:10" x14ac:dyDescent="0.2">
      <c r="A1039" t="str">
        <f>[5]trip_summary_region!A1039</f>
        <v>15 SOUTHLAND</v>
      </c>
      <c r="B1039">
        <f>[5]trip_summary_region!B1039</f>
        <v>5</v>
      </c>
      <c r="C1039">
        <f>[5]trip_summary_region!C1039</f>
        <v>2018</v>
      </c>
      <c r="D1039">
        <f>[5]trip_summary_region!D1039</f>
        <v>8</v>
      </c>
      <c r="E1039">
        <f>[5]trip_summary_region!E1039</f>
        <v>32</v>
      </c>
      <c r="F1039">
        <f>[5]trip_summary_region!F1039</f>
        <v>0.68163207020000005</v>
      </c>
      <c r="G1039">
        <f>[5]trip_summary_region!G1039</f>
        <v>23.882127985</v>
      </c>
      <c r="H1039">
        <f>[5]trip_summary_region!H1039</f>
        <v>0.3201199414</v>
      </c>
      <c r="I1039" t="str">
        <f>[5]trip_summary_region!I1039</f>
        <v>Motorcyclist</v>
      </c>
      <c r="J1039" t="str">
        <f>[5]trip_summary_region!J1039</f>
        <v>2017/18</v>
      </c>
    </row>
    <row r="1040" spans="1:10" x14ac:dyDescent="0.2">
      <c r="A1040" t="str">
        <f>[5]trip_summary_region!A1040</f>
        <v>15 SOUTHLAND</v>
      </c>
      <c r="B1040">
        <f>[5]trip_summary_region!B1040</f>
        <v>5</v>
      </c>
      <c r="C1040">
        <f>[5]trip_summary_region!C1040</f>
        <v>2023</v>
      </c>
      <c r="D1040">
        <f>[5]trip_summary_region!D1040</f>
        <v>8</v>
      </c>
      <c r="E1040">
        <f>[5]trip_summary_region!E1040</f>
        <v>32</v>
      </c>
      <c r="F1040">
        <f>[5]trip_summary_region!F1040</f>
        <v>0.78358841079999997</v>
      </c>
      <c r="G1040">
        <f>[5]trip_summary_region!G1040</f>
        <v>30.359591551000001</v>
      </c>
      <c r="H1040">
        <f>[5]trip_summary_region!H1040</f>
        <v>0.39984510919999999</v>
      </c>
      <c r="I1040" t="str">
        <f>[5]trip_summary_region!I1040</f>
        <v>Motorcyclist</v>
      </c>
      <c r="J1040" t="str">
        <f>[5]trip_summary_region!J1040</f>
        <v>2022/23</v>
      </c>
    </row>
    <row r="1041" spans="1:10" x14ac:dyDescent="0.2">
      <c r="A1041" t="str">
        <f>[5]trip_summary_region!A1041</f>
        <v>15 SOUTHLAND</v>
      </c>
      <c r="B1041">
        <f>[5]trip_summary_region!B1041</f>
        <v>5</v>
      </c>
      <c r="C1041">
        <f>[5]trip_summary_region!C1041</f>
        <v>2028</v>
      </c>
      <c r="D1041">
        <f>[5]trip_summary_region!D1041</f>
        <v>8</v>
      </c>
      <c r="E1041">
        <f>[5]trip_summary_region!E1041</f>
        <v>32</v>
      </c>
      <c r="F1041">
        <f>[5]trip_summary_region!F1041</f>
        <v>0.80952731379999998</v>
      </c>
      <c r="G1041">
        <f>[5]trip_summary_region!G1041</f>
        <v>32.291606518000002</v>
      </c>
      <c r="H1041">
        <f>[5]trip_summary_region!H1041</f>
        <v>0.42280207720000001</v>
      </c>
      <c r="I1041" t="str">
        <f>[5]trip_summary_region!I1041</f>
        <v>Motorcyclist</v>
      </c>
      <c r="J1041" t="str">
        <f>[5]trip_summary_region!J1041</f>
        <v>2027/28</v>
      </c>
    </row>
    <row r="1042" spans="1:10" x14ac:dyDescent="0.2">
      <c r="A1042" t="str">
        <f>[5]trip_summary_region!A1042</f>
        <v>15 SOUTHLAND</v>
      </c>
      <c r="B1042">
        <f>[5]trip_summary_region!B1042</f>
        <v>5</v>
      </c>
      <c r="C1042">
        <f>[5]trip_summary_region!C1042</f>
        <v>2033</v>
      </c>
      <c r="D1042">
        <f>[5]trip_summary_region!D1042</f>
        <v>8</v>
      </c>
      <c r="E1042">
        <f>[5]trip_summary_region!E1042</f>
        <v>32</v>
      </c>
      <c r="F1042">
        <f>[5]trip_summary_region!F1042</f>
        <v>0.79984297199999999</v>
      </c>
      <c r="G1042">
        <f>[5]trip_summary_region!G1042</f>
        <v>32.572414488</v>
      </c>
      <c r="H1042">
        <f>[5]trip_summary_region!H1042</f>
        <v>0.4246982567</v>
      </c>
      <c r="I1042" t="str">
        <f>[5]trip_summary_region!I1042</f>
        <v>Motorcyclist</v>
      </c>
      <c r="J1042" t="str">
        <f>[5]trip_summary_region!J1042</f>
        <v>2032/33</v>
      </c>
    </row>
    <row r="1043" spans="1:10" x14ac:dyDescent="0.2">
      <c r="A1043" t="str">
        <f>[5]trip_summary_region!A1043</f>
        <v>15 SOUTHLAND</v>
      </c>
      <c r="B1043">
        <f>[5]trip_summary_region!B1043</f>
        <v>5</v>
      </c>
      <c r="C1043">
        <f>[5]trip_summary_region!C1043</f>
        <v>2038</v>
      </c>
      <c r="D1043">
        <f>[5]trip_summary_region!D1043</f>
        <v>8</v>
      </c>
      <c r="E1043">
        <f>[5]trip_summary_region!E1043</f>
        <v>32</v>
      </c>
      <c r="F1043">
        <f>[5]trip_summary_region!F1043</f>
        <v>0.76627698050000004</v>
      </c>
      <c r="G1043">
        <f>[5]trip_summary_region!G1043</f>
        <v>31.700759409</v>
      </c>
      <c r="H1043">
        <f>[5]trip_summary_region!H1043</f>
        <v>0.41221104790000002</v>
      </c>
      <c r="I1043" t="str">
        <f>[5]trip_summary_region!I1043</f>
        <v>Motorcyclist</v>
      </c>
      <c r="J1043" t="str">
        <f>[5]trip_summary_region!J1043</f>
        <v>2037/38</v>
      </c>
    </row>
    <row r="1044" spans="1:10" x14ac:dyDescent="0.2">
      <c r="A1044" t="str">
        <f>[5]trip_summary_region!A1044</f>
        <v>15 SOUTHLAND</v>
      </c>
      <c r="B1044">
        <f>[5]trip_summary_region!B1044</f>
        <v>5</v>
      </c>
      <c r="C1044">
        <f>[5]trip_summary_region!C1044</f>
        <v>2043</v>
      </c>
      <c r="D1044">
        <f>[5]trip_summary_region!D1044</f>
        <v>8</v>
      </c>
      <c r="E1044">
        <f>[5]trip_summary_region!E1044</f>
        <v>32</v>
      </c>
      <c r="F1044">
        <f>[5]trip_summary_region!F1044</f>
        <v>0.72578124860000004</v>
      </c>
      <c r="G1044">
        <f>[5]trip_summary_region!G1044</f>
        <v>30.354533956000001</v>
      </c>
      <c r="H1044">
        <f>[5]trip_summary_region!H1044</f>
        <v>0.39392368500000002</v>
      </c>
      <c r="I1044" t="str">
        <f>[5]trip_summary_region!I1044</f>
        <v>Motorcyclist</v>
      </c>
      <c r="J1044" t="str">
        <f>[5]trip_summary_region!J1044</f>
        <v>2042/43</v>
      </c>
    </row>
    <row r="1045" spans="1:10" x14ac:dyDescent="0.2">
      <c r="A1045" t="str">
        <f>[5]trip_summary_region!A1045</f>
        <v>15 SOUTHLAND</v>
      </c>
      <c r="B1045">
        <f>[5]trip_summary_region!B1045</f>
        <v>7</v>
      </c>
      <c r="C1045">
        <f>[5]trip_summary_region!C1045</f>
        <v>2013</v>
      </c>
      <c r="D1045">
        <f>[5]trip_summary_region!D1045</f>
        <v>37</v>
      </c>
      <c r="E1045">
        <f>[5]trip_summary_region!E1045</f>
        <v>119</v>
      </c>
      <c r="F1045">
        <f>[5]trip_summary_region!F1045</f>
        <v>2.6369167839999998</v>
      </c>
      <c r="G1045">
        <f>[5]trip_summary_region!G1045</f>
        <v>30.182609224</v>
      </c>
      <c r="H1045">
        <f>[5]trip_summary_region!H1045</f>
        <v>1.2152660816</v>
      </c>
      <c r="I1045" t="str">
        <f>[5]trip_summary_region!I1045</f>
        <v>Local Bus</v>
      </c>
      <c r="J1045" t="str">
        <f>[5]trip_summary_region!J1045</f>
        <v>2012/13</v>
      </c>
    </row>
    <row r="1046" spans="1:10" x14ac:dyDescent="0.2">
      <c r="A1046" t="str">
        <f>[5]trip_summary_region!A1046</f>
        <v>15 SOUTHLAND</v>
      </c>
      <c r="B1046">
        <f>[5]trip_summary_region!B1046</f>
        <v>7</v>
      </c>
      <c r="C1046">
        <f>[5]trip_summary_region!C1046</f>
        <v>2018</v>
      </c>
      <c r="D1046">
        <f>[5]trip_summary_region!D1046</f>
        <v>37</v>
      </c>
      <c r="E1046">
        <f>[5]trip_summary_region!E1046</f>
        <v>119</v>
      </c>
      <c r="F1046">
        <f>[5]trip_summary_region!F1046</f>
        <v>2.5400170551999999</v>
      </c>
      <c r="G1046">
        <f>[5]trip_summary_region!G1046</f>
        <v>28.717855183000001</v>
      </c>
      <c r="H1046">
        <f>[5]trip_summary_region!H1046</f>
        <v>1.1558512283</v>
      </c>
      <c r="I1046" t="str">
        <f>[5]trip_summary_region!I1046</f>
        <v>Local Bus</v>
      </c>
      <c r="J1046" t="str">
        <f>[5]trip_summary_region!J1046</f>
        <v>2017/18</v>
      </c>
    </row>
    <row r="1047" spans="1:10" x14ac:dyDescent="0.2">
      <c r="A1047" t="str">
        <f>[5]trip_summary_region!A1047</f>
        <v>15 SOUTHLAND</v>
      </c>
      <c r="B1047">
        <f>[5]trip_summary_region!B1047</f>
        <v>7</v>
      </c>
      <c r="C1047">
        <f>[5]trip_summary_region!C1047</f>
        <v>2023</v>
      </c>
      <c r="D1047">
        <f>[5]trip_summary_region!D1047</f>
        <v>37</v>
      </c>
      <c r="E1047">
        <f>[5]trip_summary_region!E1047</f>
        <v>119</v>
      </c>
      <c r="F1047">
        <f>[5]trip_summary_region!F1047</f>
        <v>2.7237699873999999</v>
      </c>
      <c r="G1047">
        <f>[5]trip_summary_region!G1047</f>
        <v>30.550754956999999</v>
      </c>
      <c r="H1047">
        <f>[5]trip_summary_region!H1047</f>
        <v>1.2277835051999999</v>
      </c>
      <c r="I1047" t="str">
        <f>[5]trip_summary_region!I1047</f>
        <v>Local Bus</v>
      </c>
      <c r="J1047" t="str">
        <f>[5]trip_summary_region!J1047</f>
        <v>2022/23</v>
      </c>
    </row>
    <row r="1048" spans="1:10" x14ac:dyDescent="0.2">
      <c r="A1048" t="str">
        <f>[5]trip_summary_region!A1048</f>
        <v>15 SOUTHLAND</v>
      </c>
      <c r="B1048">
        <f>[5]trip_summary_region!B1048</f>
        <v>7</v>
      </c>
      <c r="C1048">
        <f>[5]trip_summary_region!C1048</f>
        <v>2028</v>
      </c>
      <c r="D1048">
        <f>[5]trip_summary_region!D1048</f>
        <v>37</v>
      </c>
      <c r="E1048">
        <f>[5]trip_summary_region!E1048</f>
        <v>119</v>
      </c>
      <c r="F1048">
        <f>[5]trip_summary_region!F1048</f>
        <v>2.7910842603999999</v>
      </c>
      <c r="G1048">
        <f>[5]trip_summary_region!G1048</f>
        <v>30.785974365000001</v>
      </c>
      <c r="H1048">
        <f>[5]trip_summary_region!H1048</f>
        <v>1.2509423260000001</v>
      </c>
      <c r="I1048" t="str">
        <f>[5]trip_summary_region!I1048</f>
        <v>Local Bus</v>
      </c>
      <c r="J1048" t="str">
        <f>[5]trip_summary_region!J1048</f>
        <v>2027/28</v>
      </c>
    </row>
    <row r="1049" spans="1:10" x14ac:dyDescent="0.2">
      <c r="A1049" t="str">
        <f>[5]trip_summary_region!A1049</f>
        <v>15 SOUTHLAND</v>
      </c>
      <c r="B1049">
        <f>[5]trip_summary_region!B1049</f>
        <v>7</v>
      </c>
      <c r="C1049">
        <f>[5]trip_summary_region!C1049</f>
        <v>2033</v>
      </c>
      <c r="D1049">
        <f>[5]trip_summary_region!D1049</f>
        <v>37</v>
      </c>
      <c r="E1049">
        <f>[5]trip_summary_region!E1049</f>
        <v>119</v>
      </c>
      <c r="F1049">
        <f>[5]trip_summary_region!F1049</f>
        <v>2.7348446332999998</v>
      </c>
      <c r="G1049">
        <f>[5]trip_summary_region!G1049</f>
        <v>29.562617405000001</v>
      </c>
      <c r="H1049">
        <f>[5]trip_summary_region!H1049</f>
        <v>1.2157783213</v>
      </c>
      <c r="I1049" t="str">
        <f>[5]trip_summary_region!I1049</f>
        <v>Local Bus</v>
      </c>
      <c r="J1049" t="str">
        <f>[5]trip_summary_region!J1049</f>
        <v>2032/33</v>
      </c>
    </row>
    <row r="1050" spans="1:10" x14ac:dyDescent="0.2">
      <c r="A1050" t="str">
        <f>[5]trip_summary_region!A1050</f>
        <v>15 SOUTHLAND</v>
      </c>
      <c r="B1050">
        <f>[5]trip_summary_region!B1050</f>
        <v>7</v>
      </c>
      <c r="C1050">
        <f>[5]trip_summary_region!C1050</f>
        <v>2038</v>
      </c>
      <c r="D1050">
        <f>[5]trip_summary_region!D1050</f>
        <v>37</v>
      </c>
      <c r="E1050">
        <f>[5]trip_summary_region!E1050</f>
        <v>119</v>
      </c>
      <c r="F1050">
        <f>[5]trip_summary_region!F1050</f>
        <v>2.6345027650000001</v>
      </c>
      <c r="G1050">
        <f>[5]trip_summary_region!G1050</f>
        <v>27.612833348999999</v>
      </c>
      <c r="H1050">
        <f>[5]trip_summary_region!H1050</f>
        <v>1.1596359704999999</v>
      </c>
      <c r="I1050" t="str">
        <f>[5]trip_summary_region!I1050</f>
        <v>Local Bus</v>
      </c>
      <c r="J1050" t="str">
        <f>[5]trip_summary_region!J1050</f>
        <v>2037/38</v>
      </c>
    </row>
    <row r="1051" spans="1:10" x14ac:dyDescent="0.2">
      <c r="A1051" t="str">
        <f>[5]trip_summary_region!A1051</f>
        <v>15 SOUTHLAND</v>
      </c>
      <c r="B1051">
        <f>[5]trip_summary_region!B1051</f>
        <v>7</v>
      </c>
      <c r="C1051">
        <f>[5]trip_summary_region!C1051</f>
        <v>2043</v>
      </c>
      <c r="D1051">
        <f>[5]trip_summary_region!D1051</f>
        <v>37</v>
      </c>
      <c r="E1051">
        <f>[5]trip_summary_region!E1051</f>
        <v>119</v>
      </c>
      <c r="F1051">
        <f>[5]trip_summary_region!F1051</f>
        <v>2.5180137083999998</v>
      </c>
      <c r="G1051">
        <f>[5]trip_summary_region!G1051</f>
        <v>25.609573316999999</v>
      </c>
      <c r="H1051">
        <f>[5]trip_summary_region!H1051</f>
        <v>1.0995886842</v>
      </c>
      <c r="I1051" t="str">
        <f>[5]trip_summary_region!I1051</f>
        <v>Local Bus</v>
      </c>
      <c r="J1051" t="str">
        <f>[5]trip_summary_region!J1051</f>
        <v>2042/43</v>
      </c>
    </row>
    <row r="1052" spans="1:10" x14ac:dyDescent="0.2">
      <c r="A1052" t="str">
        <f>[5]trip_summary_region!A1052</f>
        <v>15 SOUTHLAND</v>
      </c>
      <c r="B1052">
        <f>[5]trip_summary_region!B1052</f>
        <v>9</v>
      </c>
      <c r="C1052">
        <f>[5]trip_summary_region!C1052</f>
        <v>2013</v>
      </c>
      <c r="D1052">
        <f>[5]trip_summary_region!D1052</f>
        <v>3</v>
      </c>
      <c r="E1052">
        <f>[5]trip_summary_region!E1052</f>
        <v>20</v>
      </c>
      <c r="F1052">
        <f>[5]trip_summary_region!F1052</f>
        <v>0.42937289560000003</v>
      </c>
      <c r="G1052">
        <f>[5]trip_summary_region!G1052</f>
        <v>0</v>
      </c>
      <c r="H1052">
        <f>[5]trip_summary_region!H1052</f>
        <v>8.5162673699999997E-2</v>
      </c>
      <c r="I1052" t="str">
        <f>[5]trip_summary_region!I1052</f>
        <v>Other Household Travel</v>
      </c>
      <c r="J1052" t="str">
        <f>[5]trip_summary_region!J1052</f>
        <v>2012/13</v>
      </c>
    </row>
    <row r="1053" spans="1:10" x14ac:dyDescent="0.2">
      <c r="A1053" t="str">
        <f>[5]trip_summary_region!A1053</f>
        <v>15 SOUTHLAND</v>
      </c>
      <c r="B1053">
        <f>[5]trip_summary_region!B1053</f>
        <v>9</v>
      </c>
      <c r="C1053">
        <f>[5]trip_summary_region!C1053</f>
        <v>2018</v>
      </c>
      <c r="D1053">
        <f>[5]trip_summary_region!D1053</f>
        <v>3</v>
      </c>
      <c r="E1053">
        <f>[5]trip_summary_region!E1053</f>
        <v>20</v>
      </c>
      <c r="F1053">
        <f>[5]trip_summary_region!F1053</f>
        <v>0.47008191490000001</v>
      </c>
      <c r="G1053">
        <f>[5]trip_summary_region!G1053</f>
        <v>0</v>
      </c>
      <c r="H1053">
        <f>[5]trip_summary_region!H1053</f>
        <v>9.3476014499999996E-2</v>
      </c>
      <c r="I1053" t="str">
        <f>[5]trip_summary_region!I1053</f>
        <v>Other Household Travel</v>
      </c>
      <c r="J1053" t="str">
        <f>[5]trip_summary_region!J1053</f>
        <v>2017/18</v>
      </c>
    </row>
    <row r="1054" spans="1:10" x14ac:dyDescent="0.2">
      <c r="A1054" t="str">
        <f>[5]trip_summary_region!A1054</f>
        <v>15 SOUTHLAND</v>
      </c>
      <c r="B1054">
        <f>[5]trip_summary_region!B1054</f>
        <v>9</v>
      </c>
      <c r="C1054">
        <f>[5]trip_summary_region!C1054</f>
        <v>2023</v>
      </c>
      <c r="D1054">
        <f>[5]trip_summary_region!D1054</f>
        <v>3</v>
      </c>
      <c r="E1054">
        <f>[5]trip_summary_region!E1054</f>
        <v>20</v>
      </c>
      <c r="F1054">
        <f>[5]trip_summary_region!F1054</f>
        <v>0.54559941469999995</v>
      </c>
      <c r="G1054">
        <f>[5]trip_summary_region!G1054</f>
        <v>0</v>
      </c>
      <c r="H1054">
        <f>[5]trip_summary_region!H1054</f>
        <v>0.1082054916</v>
      </c>
      <c r="I1054" t="str">
        <f>[5]trip_summary_region!I1054</f>
        <v>Other Household Travel</v>
      </c>
      <c r="J1054" t="str">
        <f>[5]trip_summary_region!J1054</f>
        <v>2022/23</v>
      </c>
    </row>
    <row r="1055" spans="1:10" x14ac:dyDescent="0.2">
      <c r="A1055" t="str">
        <f>[5]trip_summary_region!A1055</f>
        <v>15 SOUTHLAND</v>
      </c>
      <c r="B1055">
        <f>[5]trip_summary_region!B1055</f>
        <v>9</v>
      </c>
      <c r="C1055">
        <f>[5]trip_summary_region!C1055</f>
        <v>2028</v>
      </c>
      <c r="D1055">
        <f>[5]trip_summary_region!D1055</f>
        <v>3</v>
      </c>
      <c r="E1055">
        <f>[5]trip_summary_region!E1055</f>
        <v>20</v>
      </c>
      <c r="F1055">
        <f>[5]trip_summary_region!F1055</f>
        <v>0.60142967280000004</v>
      </c>
      <c r="G1055">
        <f>[5]trip_summary_region!G1055</f>
        <v>0</v>
      </c>
      <c r="H1055">
        <f>[5]trip_summary_region!H1055</f>
        <v>0.1185834313</v>
      </c>
      <c r="I1055" t="str">
        <f>[5]trip_summary_region!I1055</f>
        <v>Other Household Travel</v>
      </c>
      <c r="J1055" t="str">
        <f>[5]trip_summary_region!J1055</f>
        <v>2027/28</v>
      </c>
    </row>
    <row r="1056" spans="1:10" x14ac:dyDescent="0.2">
      <c r="A1056" t="str">
        <f>[5]trip_summary_region!A1056</f>
        <v>15 SOUTHLAND</v>
      </c>
      <c r="B1056">
        <f>[5]trip_summary_region!B1056</f>
        <v>9</v>
      </c>
      <c r="C1056">
        <f>[5]trip_summary_region!C1056</f>
        <v>2033</v>
      </c>
      <c r="D1056">
        <f>[5]trip_summary_region!D1056</f>
        <v>3</v>
      </c>
      <c r="E1056">
        <f>[5]trip_summary_region!E1056</f>
        <v>20</v>
      </c>
      <c r="F1056">
        <f>[5]trip_summary_region!F1056</f>
        <v>0.64104500379999996</v>
      </c>
      <c r="G1056">
        <f>[5]trip_summary_region!G1056</f>
        <v>0</v>
      </c>
      <c r="H1056">
        <f>[5]trip_summary_region!H1056</f>
        <v>0.125999739</v>
      </c>
      <c r="I1056" t="str">
        <f>[5]trip_summary_region!I1056</f>
        <v>Other Household Travel</v>
      </c>
      <c r="J1056" t="str">
        <f>[5]trip_summary_region!J1056</f>
        <v>2032/33</v>
      </c>
    </row>
    <row r="1057" spans="1:10" x14ac:dyDescent="0.2">
      <c r="A1057" t="str">
        <f>[5]trip_summary_region!A1057</f>
        <v>15 SOUTHLAND</v>
      </c>
      <c r="B1057">
        <f>[5]trip_summary_region!B1057</f>
        <v>9</v>
      </c>
      <c r="C1057">
        <f>[5]trip_summary_region!C1057</f>
        <v>2038</v>
      </c>
      <c r="D1057">
        <f>[5]trip_summary_region!D1057</f>
        <v>3</v>
      </c>
      <c r="E1057">
        <f>[5]trip_summary_region!E1057</f>
        <v>20</v>
      </c>
      <c r="F1057">
        <f>[5]trip_summary_region!F1057</f>
        <v>0.64430218370000003</v>
      </c>
      <c r="G1057">
        <f>[5]trip_summary_region!G1057</f>
        <v>0</v>
      </c>
      <c r="H1057">
        <f>[5]trip_summary_region!H1057</f>
        <v>0.12589583770000001</v>
      </c>
      <c r="I1057" t="str">
        <f>[5]trip_summary_region!I1057</f>
        <v>Other Household Travel</v>
      </c>
      <c r="J1057" t="str">
        <f>[5]trip_summary_region!J1057</f>
        <v>2037/38</v>
      </c>
    </row>
    <row r="1058" spans="1:10" x14ac:dyDescent="0.2">
      <c r="A1058" t="str">
        <f>[5]trip_summary_region!A1058</f>
        <v>15 SOUTHLAND</v>
      </c>
      <c r="B1058">
        <f>[5]trip_summary_region!B1058</f>
        <v>9</v>
      </c>
      <c r="C1058">
        <f>[5]trip_summary_region!C1058</f>
        <v>2043</v>
      </c>
      <c r="D1058">
        <f>[5]trip_summary_region!D1058</f>
        <v>3</v>
      </c>
      <c r="E1058">
        <f>[5]trip_summary_region!E1058</f>
        <v>20</v>
      </c>
      <c r="F1058">
        <f>[5]trip_summary_region!F1058</f>
        <v>0.63344300090000005</v>
      </c>
      <c r="G1058">
        <f>[5]trip_summary_region!G1058</f>
        <v>0</v>
      </c>
      <c r="H1058">
        <f>[5]trip_summary_region!H1058</f>
        <v>0.122681178</v>
      </c>
      <c r="I1058" t="str">
        <f>[5]trip_summary_region!I1058</f>
        <v>Other Household Travel</v>
      </c>
      <c r="J1058" t="str">
        <f>[5]trip_summary_region!J1058</f>
        <v>2042/43</v>
      </c>
    </row>
    <row r="1059" spans="1:10" x14ac:dyDescent="0.2">
      <c r="A1059" t="str">
        <f>[5]trip_summary_region!A1059</f>
        <v>15 SOUTHLAND</v>
      </c>
      <c r="B1059">
        <f>[5]trip_summary_region!B1059</f>
        <v>10</v>
      </c>
      <c r="C1059">
        <f>[5]trip_summary_region!C1059</f>
        <v>2013</v>
      </c>
      <c r="D1059">
        <f>[5]trip_summary_region!D1059</f>
        <v>4</v>
      </c>
      <c r="E1059">
        <f>[5]trip_summary_region!E1059</f>
        <v>5</v>
      </c>
      <c r="F1059">
        <f>[5]trip_summary_region!F1059</f>
        <v>0.11858970739999999</v>
      </c>
      <c r="G1059">
        <f>[5]trip_summary_region!G1059</f>
        <v>7.7216256564999997</v>
      </c>
      <c r="H1059">
        <f>[5]trip_summary_region!H1059</f>
        <v>0.2054826143</v>
      </c>
      <c r="I1059" t="str">
        <f>[5]trip_summary_region!I1059</f>
        <v>Air/Non-Local PT</v>
      </c>
      <c r="J1059" t="str">
        <f>[5]trip_summary_region!J1059</f>
        <v>2012/13</v>
      </c>
    </row>
    <row r="1060" spans="1:10" x14ac:dyDescent="0.2">
      <c r="A1060" t="str">
        <f>[5]trip_summary_region!A1060</f>
        <v>15 SOUTHLAND</v>
      </c>
      <c r="B1060">
        <f>[5]trip_summary_region!B1060</f>
        <v>10</v>
      </c>
      <c r="C1060">
        <f>[5]trip_summary_region!C1060</f>
        <v>2018</v>
      </c>
      <c r="D1060">
        <f>[5]trip_summary_region!D1060</f>
        <v>4</v>
      </c>
      <c r="E1060">
        <f>[5]trip_summary_region!E1060</f>
        <v>5</v>
      </c>
      <c r="F1060">
        <f>[5]trip_summary_region!F1060</f>
        <v>0.14017953420000001</v>
      </c>
      <c r="G1060">
        <f>[5]trip_summary_region!G1060</f>
        <v>7.6706527893000001</v>
      </c>
      <c r="H1060">
        <f>[5]trip_summary_region!H1060</f>
        <v>0.2335711224</v>
      </c>
      <c r="I1060" t="str">
        <f>[5]trip_summary_region!I1060</f>
        <v>Air/Non-Local PT</v>
      </c>
      <c r="J1060" t="str">
        <f>[5]trip_summary_region!J1060</f>
        <v>2017/18</v>
      </c>
    </row>
    <row r="1061" spans="1:10" x14ac:dyDescent="0.2">
      <c r="A1061" t="str">
        <f>[5]trip_summary_region!A1061</f>
        <v>15 SOUTHLAND</v>
      </c>
      <c r="B1061">
        <f>[5]trip_summary_region!B1061</f>
        <v>10</v>
      </c>
      <c r="C1061">
        <f>[5]trip_summary_region!C1061</f>
        <v>2023</v>
      </c>
      <c r="D1061">
        <f>[5]trip_summary_region!D1061</f>
        <v>4</v>
      </c>
      <c r="E1061">
        <f>[5]trip_summary_region!E1061</f>
        <v>5</v>
      </c>
      <c r="F1061">
        <f>[5]trip_summary_region!F1061</f>
        <v>0.16834918360000001</v>
      </c>
      <c r="G1061">
        <f>[5]trip_summary_region!G1061</f>
        <v>7.4552565565000002</v>
      </c>
      <c r="H1061">
        <f>[5]trip_summary_region!H1061</f>
        <v>0.26850282669999997</v>
      </c>
      <c r="I1061" t="str">
        <f>[5]trip_summary_region!I1061</f>
        <v>Air/Non-Local PT</v>
      </c>
      <c r="J1061" t="str">
        <f>[5]trip_summary_region!J1061</f>
        <v>2022/23</v>
      </c>
    </row>
    <row r="1062" spans="1:10" x14ac:dyDescent="0.2">
      <c r="A1062" t="str">
        <f>[5]trip_summary_region!A1062</f>
        <v>15 SOUTHLAND</v>
      </c>
      <c r="B1062">
        <f>[5]trip_summary_region!B1062</f>
        <v>10</v>
      </c>
      <c r="C1062">
        <f>[5]trip_summary_region!C1062</f>
        <v>2028</v>
      </c>
      <c r="D1062">
        <f>[5]trip_summary_region!D1062</f>
        <v>4</v>
      </c>
      <c r="E1062">
        <f>[5]trip_summary_region!E1062</f>
        <v>5</v>
      </c>
      <c r="F1062">
        <f>[5]trip_summary_region!F1062</f>
        <v>0.1828096055</v>
      </c>
      <c r="G1062">
        <f>[5]trip_summary_region!G1062</f>
        <v>6.9142893575000004</v>
      </c>
      <c r="H1062">
        <f>[5]trip_summary_region!H1062</f>
        <v>0.28346629200000001</v>
      </c>
      <c r="I1062" t="str">
        <f>[5]trip_summary_region!I1062</f>
        <v>Air/Non-Local PT</v>
      </c>
      <c r="J1062" t="str">
        <f>[5]trip_summary_region!J1062</f>
        <v>2027/28</v>
      </c>
    </row>
    <row r="1063" spans="1:10" x14ac:dyDescent="0.2">
      <c r="A1063" t="str">
        <f>[5]trip_summary_region!A1063</f>
        <v>15 SOUTHLAND</v>
      </c>
      <c r="B1063">
        <f>[5]trip_summary_region!B1063</f>
        <v>10</v>
      </c>
      <c r="C1063">
        <f>[5]trip_summary_region!C1063</f>
        <v>2033</v>
      </c>
      <c r="D1063">
        <f>[5]trip_summary_region!D1063</f>
        <v>4</v>
      </c>
      <c r="E1063">
        <f>[5]trip_summary_region!E1063</f>
        <v>5</v>
      </c>
      <c r="F1063">
        <f>[5]trip_summary_region!F1063</f>
        <v>0.18973907910000001</v>
      </c>
      <c r="G1063">
        <f>[5]trip_summary_region!G1063</f>
        <v>6.8802077532999997</v>
      </c>
      <c r="H1063">
        <f>[5]trip_summary_region!H1063</f>
        <v>0.29231627329999998</v>
      </c>
      <c r="I1063" t="str">
        <f>[5]trip_summary_region!I1063</f>
        <v>Air/Non-Local PT</v>
      </c>
      <c r="J1063" t="str">
        <f>[5]trip_summary_region!J1063</f>
        <v>2032/33</v>
      </c>
    </row>
    <row r="1064" spans="1:10" x14ac:dyDescent="0.2">
      <c r="A1064" t="str">
        <f>[5]trip_summary_region!A1064</f>
        <v>15 SOUTHLAND</v>
      </c>
      <c r="B1064">
        <f>[5]trip_summary_region!B1064</f>
        <v>10</v>
      </c>
      <c r="C1064">
        <f>[5]trip_summary_region!C1064</f>
        <v>2038</v>
      </c>
      <c r="D1064">
        <f>[5]trip_summary_region!D1064</f>
        <v>4</v>
      </c>
      <c r="E1064">
        <f>[5]trip_summary_region!E1064</f>
        <v>5</v>
      </c>
      <c r="F1064">
        <f>[5]trip_summary_region!F1064</f>
        <v>0.19881352529999999</v>
      </c>
      <c r="G1064">
        <f>[5]trip_summary_region!G1064</f>
        <v>6.8584038601000001</v>
      </c>
      <c r="H1064">
        <f>[5]trip_summary_region!H1064</f>
        <v>0.30517070229999999</v>
      </c>
      <c r="I1064" t="str">
        <f>[5]trip_summary_region!I1064</f>
        <v>Air/Non-Local PT</v>
      </c>
      <c r="J1064" t="str">
        <f>[5]trip_summary_region!J1064</f>
        <v>2037/38</v>
      </c>
    </row>
    <row r="1065" spans="1:10" x14ac:dyDescent="0.2">
      <c r="A1065" t="str">
        <f>[5]trip_summary_region!A1065</f>
        <v>15 SOUTHLAND</v>
      </c>
      <c r="B1065">
        <f>[5]trip_summary_region!B1065</f>
        <v>10</v>
      </c>
      <c r="C1065">
        <f>[5]trip_summary_region!C1065</f>
        <v>2043</v>
      </c>
      <c r="D1065">
        <f>[5]trip_summary_region!D1065</f>
        <v>4</v>
      </c>
      <c r="E1065">
        <f>[5]trip_summary_region!E1065</f>
        <v>5</v>
      </c>
      <c r="F1065">
        <f>[5]trip_summary_region!F1065</f>
        <v>0.20542291200000001</v>
      </c>
      <c r="G1065">
        <f>[5]trip_summary_region!G1065</f>
        <v>6.6639593750000001</v>
      </c>
      <c r="H1065">
        <f>[5]trip_summary_region!H1065</f>
        <v>0.31329442390000001</v>
      </c>
      <c r="I1065" t="str">
        <f>[5]trip_summary_region!I1065</f>
        <v>Air/Non-Local PT</v>
      </c>
      <c r="J1065" t="str">
        <f>[5]trip_summary_region!J1065</f>
        <v>2042/43</v>
      </c>
    </row>
    <row r="1066" spans="1:10" x14ac:dyDescent="0.2">
      <c r="A1066" t="str">
        <f>[5]trip_summary_region!A1066</f>
        <v>15 SOUTHLAND</v>
      </c>
      <c r="B1066">
        <f>[5]trip_summary_region!B1066</f>
        <v>11</v>
      </c>
      <c r="C1066">
        <f>[5]trip_summary_region!C1066</f>
        <v>2013</v>
      </c>
      <c r="D1066">
        <f>[5]trip_summary_region!D1066</f>
        <v>3</v>
      </c>
      <c r="E1066">
        <f>[5]trip_summary_region!E1066</f>
        <v>9</v>
      </c>
      <c r="F1066">
        <f>[5]trip_summary_region!F1066</f>
        <v>0.1918163457</v>
      </c>
      <c r="G1066">
        <f>[5]trip_summary_region!G1066</f>
        <v>7.2518167408999998</v>
      </c>
      <c r="H1066">
        <f>[5]trip_summary_region!H1066</f>
        <v>0.26579174360000002</v>
      </c>
      <c r="I1066" t="str">
        <f>[5]trip_summary_region!I1066</f>
        <v>Non-Household Travel</v>
      </c>
      <c r="J1066" t="str">
        <f>[5]trip_summary_region!J1066</f>
        <v>2012/13</v>
      </c>
    </row>
    <row r="1067" spans="1:10" x14ac:dyDescent="0.2">
      <c r="A1067" t="str">
        <f>[5]trip_summary_region!A1067</f>
        <v>15 SOUTHLAND</v>
      </c>
      <c r="B1067">
        <f>[5]trip_summary_region!B1067</f>
        <v>11</v>
      </c>
      <c r="C1067">
        <f>[5]trip_summary_region!C1067</f>
        <v>2018</v>
      </c>
      <c r="D1067">
        <f>[5]trip_summary_region!D1067</f>
        <v>3</v>
      </c>
      <c r="E1067">
        <f>[5]trip_summary_region!E1067</f>
        <v>9</v>
      </c>
      <c r="F1067">
        <f>[5]trip_summary_region!F1067</f>
        <v>0.19945907290000001</v>
      </c>
      <c r="G1067">
        <f>[5]trip_summary_region!G1067</f>
        <v>8.6358146637999997</v>
      </c>
      <c r="H1067">
        <f>[5]trip_summary_region!H1067</f>
        <v>0.3605622007</v>
      </c>
      <c r="I1067" t="str">
        <f>[5]trip_summary_region!I1067</f>
        <v>Non-Household Travel</v>
      </c>
      <c r="J1067" t="str">
        <f>[5]trip_summary_region!J1067</f>
        <v>2017/18</v>
      </c>
    </row>
    <row r="1068" spans="1:10" x14ac:dyDescent="0.2">
      <c r="A1068" t="str">
        <f>[5]trip_summary_region!A1068</f>
        <v>15 SOUTHLAND</v>
      </c>
      <c r="B1068">
        <f>[5]trip_summary_region!B1068</f>
        <v>11</v>
      </c>
      <c r="C1068">
        <f>[5]trip_summary_region!C1068</f>
        <v>2023</v>
      </c>
      <c r="D1068">
        <f>[5]trip_summary_region!D1068</f>
        <v>3</v>
      </c>
      <c r="E1068">
        <f>[5]trip_summary_region!E1068</f>
        <v>9</v>
      </c>
      <c r="F1068">
        <f>[5]trip_summary_region!F1068</f>
        <v>0.2354986248</v>
      </c>
      <c r="G1068">
        <f>[5]trip_summary_region!G1068</f>
        <v>11.021047619999999</v>
      </c>
      <c r="H1068">
        <f>[5]trip_summary_region!H1068</f>
        <v>0.48015379260000002</v>
      </c>
      <c r="I1068" t="str">
        <f>[5]trip_summary_region!I1068</f>
        <v>Non-Household Travel</v>
      </c>
      <c r="J1068" t="str">
        <f>[5]trip_summary_region!J1068</f>
        <v>2022/23</v>
      </c>
    </row>
    <row r="1069" spans="1:10" x14ac:dyDescent="0.2">
      <c r="A1069" t="str">
        <f>[5]trip_summary_region!A1069</f>
        <v>15 SOUTHLAND</v>
      </c>
      <c r="B1069">
        <f>[5]trip_summary_region!B1069</f>
        <v>11</v>
      </c>
      <c r="C1069">
        <f>[5]trip_summary_region!C1069</f>
        <v>2028</v>
      </c>
      <c r="D1069">
        <f>[5]trip_summary_region!D1069</f>
        <v>3</v>
      </c>
      <c r="E1069">
        <f>[5]trip_summary_region!E1069</f>
        <v>9</v>
      </c>
      <c r="F1069">
        <f>[5]trip_summary_region!F1069</f>
        <v>0.28145962619999998</v>
      </c>
      <c r="G1069">
        <f>[5]trip_summary_region!G1069</f>
        <v>12.674949406</v>
      </c>
      <c r="H1069">
        <f>[5]trip_summary_region!H1069</f>
        <v>0.52486054110000002</v>
      </c>
      <c r="I1069" t="str">
        <f>[5]trip_summary_region!I1069</f>
        <v>Non-Household Travel</v>
      </c>
      <c r="J1069" t="str">
        <f>[5]trip_summary_region!J1069</f>
        <v>2027/28</v>
      </c>
    </row>
    <row r="1070" spans="1:10" x14ac:dyDescent="0.2">
      <c r="A1070" t="str">
        <f>[5]trip_summary_region!A1070</f>
        <v>15 SOUTHLAND</v>
      </c>
      <c r="B1070">
        <f>[5]trip_summary_region!B1070</f>
        <v>11</v>
      </c>
      <c r="C1070">
        <f>[5]trip_summary_region!C1070</f>
        <v>2033</v>
      </c>
      <c r="D1070">
        <f>[5]trip_summary_region!D1070</f>
        <v>3</v>
      </c>
      <c r="E1070">
        <f>[5]trip_summary_region!E1070</f>
        <v>9</v>
      </c>
      <c r="F1070">
        <f>[5]trip_summary_region!F1070</f>
        <v>0.30903531779999999</v>
      </c>
      <c r="G1070">
        <f>[5]trip_summary_region!G1070</f>
        <v>13.787263346</v>
      </c>
      <c r="H1070">
        <f>[5]trip_summary_region!H1070</f>
        <v>0.56404974119999995</v>
      </c>
      <c r="I1070" t="str">
        <f>[5]trip_summary_region!I1070</f>
        <v>Non-Household Travel</v>
      </c>
      <c r="J1070" t="str">
        <f>[5]trip_summary_region!J1070</f>
        <v>2032/33</v>
      </c>
    </row>
    <row r="1071" spans="1:10" x14ac:dyDescent="0.2">
      <c r="A1071" t="str">
        <f>[5]trip_summary_region!A1071</f>
        <v>15 SOUTHLAND</v>
      </c>
      <c r="B1071">
        <f>[5]trip_summary_region!B1071</f>
        <v>11</v>
      </c>
      <c r="C1071">
        <f>[5]trip_summary_region!C1071</f>
        <v>2038</v>
      </c>
      <c r="D1071">
        <f>[5]trip_summary_region!D1071</f>
        <v>3</v>
      </c>
      <c r="E1071">
        <f>[5]trip_summary_region!E1071</f>
        <v>9</v>
      </c>
      <c r="F1071">
        <f>[5]trip_summary_region!F1071</f>
        <v>0.31178584069999998</v>
      </c>
      <c r="G1071">
        <f>[5]trip_summary_region!G1071</f>
        <v>14.245192634</v>
      </c>
      <c r="H1071">
        <f>[5]trip_summary_region!H1071</f>
        <v>0.60851904580000005</v>
      </c>
      <c r="I1071" t="str">
        <f>[5]trip_summary_region!I1071</f>
        <v>Non-Household Travel</v>
      </c>
      <c r="J1071" t="str">
        <f>[5]trip_summary_region!J1071</f>
        <v>2037/38</v>
      </c>
    </row>
    <row r="1072" spans="1:10" x14ac:dyDescent="0.2">
      <c r="A1072" t="str">
        <f>[5]trip_summary_region!A1072</f>
        <v>15 SOUTHLAND</v>
      </c>
      <c r="B1072">
        <f>[5]trip_summary_region!B1072</f>
        <v>11</v>
      </c>
      <c r="C1072">
        <f>[5]trip_summary_region!C1072</f>
        <v>2043</v>
      </c>
      <c r="D1072">
        <f>[5]trip_summary_region!D1072</f>
        <v>3</v>
      </c>
      <c r="E1072">
        <f>[5]trip_summary_region!E1072</f>
        <v>9</v>
      </c>
      <c r="F1072">
        <f>[5]trip_summary_region!F1072</f>
        <v>0.30976673220000001</v>
      </c>
      <c r="G1072">
        <f>[5]trip_summary_region!G1072</f>
        <v>14.558027216999999</v>
      </c>
      <c r="H1072">
        <f>[5]trip_summary_region!H1072</f>
        <v>0.6490158788</v>
      </c>
      <c r="I1072" t="str">
        <f>[5]trip_summary_region!I1072</f>
        <v>Non-Household Travel</v>
      </c>
      <c r="J1072" t="str">
        <f>[5]trip_summary_region!J1072</f>
        <v>2042/43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K25"/>
  <sheetViews>
    <sheetView zoomScaleNormal="100" workbookViewId="0">
      <selection activeCell="H7" sqref="H7"/>
    </sheetView>
  </sheetViews>
  <sheetFormatPr defaultRowHeight="12.75" x14ac:dyDescent="0.2"/>
  <cols>
    <col min="1" max="1" width="59.5703125" customWidth="1"/>
    <col min="2" max="11" width="17.85546875" customWidth="1"/>
  </cols>
  <sheetData>
    <row r="2" spans="1:11" ht="13.5" thickBot="1" x14ac:dyDescent="0.25"/>
    <row r="3" spans="1:11" ht="16.5" thickTop="1" x14ac:dyDescent="0.25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2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.25" thickTop="1" thickBot="1" x14ac:dyDescent="0.2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.5" thickTop="1" x14ac:dyDescent="0.25">
      <c r="A6" s="16" t="s">
        <v>71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8" t="s">
        <v>73</v>
      </c>
      <c r="B7" s="19">
        <v>0</v>
      </c>
      <c r="C7" s="21">
        <v>0</v>
      </c>
      <c r="D7" s="21">
        <v>0.02</v>
      </c>
      <c r="E7" s="21">
        <v>0.04</v>
      </c>
      <c r="F7" s="21">
        <v>0.06</v>
      </c>
      <c r="G7" s="21">
        <v>0.08</v>
      </c>
      <c r="H7" s="21">
        <v>0.1</v>
      </c>
      <c r="I7" s="21">
        <v>0.1</v>
      </c>
      <c r="J7" s="21">
        <v>0.1</v>
      </c>
      <c r="K7" s="22">
        <v>0.1</v>
      </c>
    </row>
    <row r="8" spans="1:11" ht="15.75" x14ac:dyDescent="0.25">
      <c r="A8" s="38" t="s">
        <v>74</v>
      </c>
      <c r="B8" s="19"/>
      <c r="C8" s="44">
        <f ca="1">'Total Trip Tables'!C159*1000000/'Updated Population'!C158</f>
        <v>215.20965285278697</v>
      </c>
      <c r="D8" s="44">
        <f ca="1">'Total Trip Tables'!D159*1000000/'Updated Population'!D158</f>
        <v>212.30646065154232</v>
      </c>
      <c r="E8" s="44">
        <f ca="1">'Total Trip Tables'!E159*1000000/'Updated Population'!E158</f>
        <v>207.50459869604444</v>
      </c>
      <c r="F8" s="44">
        <f ca="1">'Total Trip Tables'!F159*1000000/'Updated Population'!F158</f>
        <v>202.26034748231817</v>
      </c>
      <c r="G8" s="44">
        <f ca="1">'Total Trip Tables'!G159*1000000/'Updated Population'!G158</f>
        <v>197.63584867317891</v>
      </c>
      <c r="H8" s="44">
        <f ca="1">'Total Trip Tables'!H159*1000000/'Updated Population'!H158</f>
        <v>192.73280119206748</v>
      </c>
      <c r="I8" s="44">
        <f ca="1">'Total Trip Tables'!I159*1000000/'Updated Population'!I158</f>
        <v>192.70254681437331</v>
      </c>
      <c r="J8" s="44">
        <f ca="1">'Total Trip Tables'!J159*1000000/'Updated Population'!J158</f>
        <v>192.67281304770248</v>
      </c>
      <c r="K8" s="45">
        <f ca="1">'Total Trip Tables'!K159*1000000/'Updated Population'!K158</f>
        <v>192.6406456392989</v>
      </c>
    </row>
    <row r="9" spans="1:11" ht="15.75" x14ac:dyDescent="0.25">
      <c r="A9" s="38" t="s">
        <v>77</v>
      </c>
      <c r="B9" s="19">
        <v>0</v>
      </c>
      <c r="C9" s="21">
        <v>0</v>
      </c>
      <c r="D9" s="21">
        <v>0.02</v>
      </c>
      <c r="E9" s="21">
        <v>0.04</v>
      </c>
      <c r="F9" s="21">
        <v>0.06</v>
      </c>
      <c r="G9" s="21">
        <v>0.08</v>
      </c>
      <c r="H9" s="21">
        <v>0.1</v>
      </c>
      <c r="I9" s="21">
        <v>0.1</v>
      </c>
      <c r="J9" s="21">
        <v>0.1</v>
      </c>
      <c r="K9" s="22">
        <v>0.1</v>
      </c>
    </row>
    <row r="10" spans="1:11" ht="15.75" x14ac:dyDescent="0.25">
      <c r="A10" s="38" t="s">
        <v>78</v>
      </c>
      <c r="B10" s="19"/>
      <c r="C10" s="44">
        <f ca="1">'Total Distance Tables'!C159*1000000/'Updated Population'!C158</f>
        <v>176.95198400828238</v>
      </c>
      <c r="D10" s="44">
        <f ca="1">'Total Distance Tables'!D159*1000000/'Updated Population'!D158</f>
        <v>175.72797043730893</v>
      </c>
      <c r="E10" s="44">
        <f ca="1">'Total Distance Tables'!E159*1000000/'Updated Population'!E158</f>
        <v>173.22626874390374</v>
      </c>
      <c r="F10" s="44">
        <f ca="1">'Total Distance Tables'!F159*1000000/'Updated Population'!F158</f>
        <v>170.90487838367577</v>
      </c>
      <c r="G10" s="44">
        <f ca="1">'Total Distance Tables'!G159*1000000/'Updated Population'!G158</f>
        <v>169.55389860489493</v>
      </c>
      <c r="H10" s="44">
        <f ca="1">'Total Distance Tables'!H159*1000000/'Updated Population'!H158</f>
        <v>167.80439325408835</v>
      </c>
      <c r="I10" s="44">
        <f ca="1">'Total Distance Tables'!I159*1000000/'Updated Population'!I158</f>
        <v>170.34193482177076</v>
      </c>
      <c r="J10" s="44">
        <f ca="1">'Total Distance Tables'!J159*1000000/'Updated Population'!J158</f>
        <v>172.88068775162077</v>
      </c>
      <c r="K10" s="45">
        <f ca="1">'Total Distance Tables'!K159*1000000/'Updated Population'!K158</f>
        <v>175.36163919765687</v>
      </c>
    </row>
    <row r="11" spans="1:11" ht="15.75" x14ac:dyDescent="0.25">
      <c r="A11" s="38" t="s">
        <v>79</v>
      </c>
      <c r="B11" s="19">
        <v>0</v>
      </c>
      <c r="C11" s="21">
        <v>0</v>
      </c>
      <c r="D11" s="21">
        <v>0.02</v>
      </c>
      <c r="E11" s="21">
        <v>0.04</v>
      </c>
      <c r="F11" s="21">
        <v>0.06</v>
      </c>
      <c r="G11" s="21">
        <v>0.08</v>
      </c>
      <c r="H11" s="21">
        <v>0.1</v>
      </c>
      <c r="I11" s="21">
        <v>0.1</v>
      </c>
      <c r="J11" s="21">
        <v>0.1</v>
      </c>
      <c r="K11" s="22">
        <v>0.1</v>
      </c>
    </row>
    <row r="12" spans="1:11" ht="15.75" x14ac:dyDescent="0.25">
      <c r="A12" s="38" t="s">
        <v>80</v>
      </c>
      <c r="B12" s="19"/>
      <c r="C12" s="44">
        <f ca="1">'Total Duration Tables'!C159*1000000/'Updated Population'!C158</f>
        <v>44.764251355409236</v>
      </c>
      <c r="D12" s="44">
        <f ca="1">'Total Duration Tables'!D159*1000000/'Updated Population'!D158</f>
        <v>44.744001748855418</v>
      </c>
      <c r="E12" s="44">
        <f ca="1">'Total Duration Tables'!E159*1000000/'Updated Population'!E158</f>
        <v>44.453250330207581</v>
      </c>
      <c r="F12" s="44">
        <f ca="1">'Total Duration Tables'!F159*1000000/'Updated Population'!F158</f>
        <v>44.084857467336711</v>
      </c>
      <c r="G12" s="44">
        <f ca="1">'Total Duration Tables'!G159*1000000/'Updated Population'!G158</f>
        <v>43.878497008389481</v>
      </c>
      <c r="H12" s="44">
        <f ca="1">'Total Duration Tables'!H159*1000000/'Updated Population'!H158</f>
        <v>43.571226889543354</v>
      </c>
      <c r="I12" s="44">
        <f ca="1">'Total Duration Tables'!I159*1000000/'Updated Population'!I158</f>
        <v>44.337029021209936</v>
      </c>
      <c r="J12" s="44">
        <f ca="1">'Total Duration Tables'!J159*1000000/'Updated Population'!J158</f>
        <v>45.102901977132987</v>
      </c>
      <c r="K12" s="45">
        <f ca="1">'Total Duration Tables'!K159*1000000/'Updated Population'!K158</f>
        <v>45.865802752602136</v>
      </c>
    </row>
    <row r="13" spans="1:11" ht="15.75" x14ac:dyDescent="0.2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75" x14ac:dyDescent="0.25">
      <c r="A14" s="42" t="s">
        <v>64</v>
      </c>
      <c r="B14" s="19">
        <v>0</v>
      </c>
      <c r="C14" s="21">
        <v>0.25</v>
      </c>
      <c r="D14" s="21">
        <v>0.25</v>
      </c>
      <c r="E14" s="21">
        <v>0.25</v>
      </c>
      <c r="F14" s="21">
        <v>0.25</v>
      </c>
      <c r="G14" s="21">
        <v>0.25</v>
      </c>
      <c r="H14" s="21">
        <v>0.25</v>
      </c>
      <c r="I14" s="21">
        <v>0.25</v>
      </c>
      <c r="J14" s="21">
        <v>0.25</v>
      </c>
      <c r="K14" s="22">
        <v>0.25</v>
      </c>
    </row>
    <row r="15" spans="1:11" ht="15.75" x14ac:dyDescent="0.25">
      <c r="A15" s="42" t="s">
        <v>65</v>
      </c>
      <c r="B15" s="19">
        <v>0</v>
      </c>
      <c r="C15" s="21">
        <v>0.25</v>
      </c>
      <c r="D15" s="21">
        <v>0.25</v>
      </c>
      <c r="E15" s="21">
        <v>0.25</v>
      </c>
      <c r="F15" s="21">
        <v>0.25</v>
      </c>
      <c r="G15" s="21">
        <v>0.25</v>
      </c>
      <c r="H15" s="21">
        <v>0.25</v>
      </c>
      <c r="I15" s="21">
        <v>0.25</v>
      </c>
      <c r="J15" s="21">
        <v>0.25</v>
      </c>
      <c r="K15" s="22">
        <v>0.25</v>
      </c>
    </row>
    <row r="16" spans="1:11" ht="15.75" x14ac:dyDescent="0.25">
      <c r="A16" s="38" t="s">
        <v>75</v>
      </c>
      <c r="B16" s="19">
        <v>0</v>
      </c>
      <c r="C16" s="21">
        <v>0</v>
      </c>
      <c r="D16" s="21">
        <v>0.1</v>
      </c>
      <c r="E16" s="21">
        <v>0.2</v>
      </c>
      <c r="F16" s="21">
        <v>0.3</v>
      </c>
      <c r="G16" s="21">
        <v>0.4</v>
      </c>
      <c r="H16" s="21">
        <v>0.5</v>
      </c>
      <c r="I16" s="21">
        <v>0.5</v>
      </c>
      <c r="J16" s="21">
        <v>0.5</v>
      </c>
      <c r="K16" s="22">
        <v>0.5</v>
      </c>
    </row>
    <row r="17" spans="1:11" ht="15.75" x14ac:dyDescent="0.25">
      <c r="A17" s="38" t="s">
        <v>76</v>
      </c>
      <c r="B17" s="19"/>
      <c r="C17" s="44">
        <f ca="1">'Total Trip Tables'!C160*1000000/'Updated Population'!C158</f>
        <v>14.977402051218643</v>
      </c>
      <c r="D17" s="44">
        <f ca="1">'Total Trip Tables'!D160*1000000/'Updated Population'!D158</f>
        <v>16.15365882450207</v>
      </c>
      <c r="E17" s="44">
        <f ca="1">'Total Trip Tables'!E160*1000000/'Updated Population'!E158</f>
        <v>16.673411650370426</v>
      </c>
      <c r="F17" s="44">
        <f ca="1">'Total Trip Tables'!F160*1000000/'Updated Population'!F158</f>
        <v>17.245599864391679</v>
      </c>
      <c r="G17" s="44">
        <f ca="1">'Total Trip Tables'!G160*1000000/'Updated Population'!G158</f>
        <v>17.864791684668564</v>
      </c>
      <c r="H17" s="44">
        <f ca="1">'Total Trip Tables'!H160*1000000/'Updated Population'!H158</f>
        <v>18.484516439976389</v>
      </c>
      <c r="I17" s="44">
        <f ca="1">'Total Trip Tables'!I160*1000000/'Updated Population'!I158</f>
        <v>18.484516439976396</v>
      </c>
      <c r="J17" s="44">
        <f ca="1">'Total Trip Tables'!J160*1000000/'Updated Population'!J158</f>
        <v>18.484516439976392</v>
      </c>
      <c r="K17" s="45">
        <f ca="1">'Total Trip Tables'!K160*1000000/'Updated Population'!K158</f>
        <v>18.484516439976382</v>
      </c>
    </row>
    <row r="18" spans="1:11" ht="15.75" x14ac:dyDescent="0.25">
      <c r="A18" s="38" t="s">
        <v>81</v>
      </c>
      <c r="B18" s="19">
        <v>0</v>
      </c>
      <c r="C18" s="21">
        <v>0</v>
      </c>
      <c r="D18" s="21">
        <v>0.1</v>
      </c>
      <c r="E18" s="21">
        <v>0.2</v>
      </c>
      <c r="F18" s="21">
        <v>0.3</v>
      </c>
      <c r="G18" s="21">
        <v>0.4</v>
      </c>
      <c r="H18" s="21">
        <v>0.5</v>
      </c>
      <c r="I18" s="21">
        <v>0.5</v>
      </c>
      <c r="J18" s="21">
        <v>0.5</v>
      </c>
      <c r="K18" s="22">
        <v>0.5</v>
      </c>
    </row>
    <row r="19" spans="1:11" ht="15.75" x14ac:dyDescent="0.25">
      <c r="A19" s="38" t="s">
        <v>82</v>
      </c>
      <c r="B19" s="19"/>
      <c r="C19" s="44">
        <f ca="1">'Total Distance Tables'!C160*1000000/'Updated Population'!C158</f>
        <v>69.217101855544144</v>
      </c>
      <c r="D19" s="44">
        <f ca="1">'Total Distance Tables'!D160*1000000/'Updated Population'!D158</f>
        <v>78.055639991248469</v>
      </c>
      <c r="E19" s="44">
        <f ca="1">'Total Distance Tables'!E160*1000000/'Updated Population'!E158</f>
        <v>83.947505596733919</v>
      </c>
      <c r="F19" s="44">
        <f ca="1">'Total Distance Tables'!F160*1000000/'Updated Population'!F158</f>
        <v>91.293851338783554</v>
      </c>
      <c r="G19" s="44">
        <f ca="1">'Total Distance Tables'!G160*1000000/'Updated Population'!G158</f>
        <v>100.64255824891907</v>
      </c>
      <c r="H19" s="44">
        <f ca="1">'Total Distance Tables'!H160*1000000/'Updated Population'!H158</f>
        <v>110.30810424359602</v>
      </c>
      <c r="I19" s="44">
        <f ca="1">'Total Distance Tables'!I160*1000000/'Updated Population'!I158</f>
        <v>112.31370613893417</v>
      </c>
      <c r="J19" s="44">
        <f ca="1">'Total Distance Tables'!J160*1000000/'Updated Population'!J158</f>
        <v>114.31930803427225</v>
      </c>
      <c r="K19" s="45">
        <f ca="1">'Total Distance Tables'!K160*1000000/'Updated Population'!K158</f>
        <v>116.3249099296103</v>
      </c>
    </row>
    <row r="20" spans="1:11" ht="15.75" x14ac:dyDescent="0.25">
      <c r="A20" s="38" t="s">
        <v>83</v>
      </c>
      <c r="B20" s="19">
        <v>0</v>
      </c>
      <c r="C20" s="21">
        <v>0</v>
      </c>
      <c r="D20" s="21">
        <v>0.1</v>
      </c>
      <c r="E20" s="21">
        <v>0.2</v>
      </c>
      <c r="F20" s="21">
        <v>0.3</v>
      </c>
      <c r="G20" s="21">
        <v>0.4</v>
      </c>
      <c r="H20" s="21">
        <v>0.5</v>
      </c>
      <c r="I20" s="21">
        <v>0.5</v>
      </c>
      <c r="J20" s="21">
        <v>0.5</v>
      </c>
      <c r="K20" s="22">
        <v>0.5</v>
      </c>
    </row>
    <row r="21" spans="1:11" ht="15.75" x14ac:dyDescent="0.25">
      <c r="A21" s="38" t="s">
        <v>84</v>
      </c>
      <c r="B21" s="19"/>
      <c r="C21" s="44">
        <f ca="1">'Total Duration Tables'!C160*1000000/'Updated Population'!C158</f>
        <v>5.4624576080223006</v>
      </c>
      <c r="D21" s="44">
        <f ca="1">'Total Duration Tables'!D160*1000000/'Updated Population'!D158</f>
        <v>6.1107508001064916</v>
      </c>
      <c r="E21" s="44">
        <f ca="1">'Total Duration Tables'!E160*1000000/'Updated Population'!E158</f>
        <v>6.558593296850816</v>
      </c>
      <c r="F21" s="44">
        <f ca="1">'Total Duration Tables'!F160*1000000/'Updated Population'!F158</f>
        <v>7.0957766570482619</v>
      </c>
      <c r="G21" s="44">
        <f ca="1">'Total Duration Tables'!G160*1000000/'Updated Population'!G158</f>
        <v>7.7613604392326065</v>
      </c>
      <c r="H21" s="44">
        <f ca="1">'Total Duration Tables'!H160*1000000/'Updated Population'!H158</f>
        <v>8.4543641688791986</v>
      </c>
      <c r="I21" s="44">
        <f ca="1">'Total Duration Tables'!I160*1000000/'Updated Population'!I158</f>
        <v>8.6080798810406414</v>
      </c>
      <c r="J21" s="44">
        <f ca="1">'Total Duration Tables'!J160*1000000/'Updated Population'!J158</f>
        <v>8.7617955932020806</v>
      </c>
      <c r="K21" s="45">
        <f ca="1">'Total Duration Tables'!K160*1000000/'Updated Population'!K158</f>
        <v>8.9155113053635215</v>
      </c>
    </row>
    <row r="22" spans="1:11" ht="15.75" x14ac:dyDescent="0.25">
      <c r="A22" s="38" t="s">
        <v>61</v>
      </c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15.75" x14ac:dyDescent="0.25">
      <c r="A23" s="42" t="s">
        <v>64</v>
      </c>
      <c r="B23" s="19">
        <v>0</v>
      </c>
      <c r="C23" s="21">
        <v>0.25</v>
      </c>
      <c r="D23" s="21">
        <v>0.25</v>
      </c>
      <c r="E23" s="21">
        <v>0.25</v>
      </c>
      <c r="F23" s="21">
        <v>0.25</v>
      </c>
      <c r="G23" s="21">
        <v>0.25</v>
      </c>
      <c r="H23" s="21">
        <v>0.25</v>
      </c>
      <c r="I23" s="21">
        <v>0.25</v>
      </c>
      <c r="J23" s="21">
        <v>0.25</v>
      </c>
      <c r="K23" s="22">
        <v>0.25</v>
      </c>
    </row>
    <row r="24" spans="1:11" ht="16.5" thickBot="1" x14ac:dyDescent="0.3">
      <c r="A24" s="43" t="s">
        <v>65</v>
      </c>
      <c r="B24" s="24">
        <v>0</v>
      </c>
      <c r="C24" s="26">
        <v>0.25</v>
      </c>
      <c r="D24" s="26">
        <v>0.25</v>
      </c>
      <c r="E24" s="26">
        <v>0.25</v>
      </c>
      <c r="F24" s="26">
        <v>0.25</v>
      </c>
      <c r="G24" s="26">
        <v>0.25</v>
      </c>
      <c r="H24" s="26">
        <v>0.25</v>
      </c>
      <c r="I24" s="26">
        <v>0.25</v>
      </c>
      <c r="J24" s="26">
        <v>0.25</v>
      </c>
      <c r="K24" s="27">
        <v>0.25</v>
      </c>
    </row>
    <row r="25" spans="1:11" ht="13.5" thickTop="1" x14ac:dyDescent="0.2"/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K60"/>
  <sheetViews>
    <sheetView workbookViewId="0">
      <selection activeCell="G52" sqref="G52"/>
    </sheetView>
  </sheetViews>
  <sheetFormatPr defaultRowHeight="12.75" x14ac:dyDescent="0.2"/>
  <cols>
    <col min="1" max="1" width="76.140625" customWidth="1"/>
    <col min="2" max="11" width="17.85546875" customWidth="1"/>
  </cols>
  <sheetData>
    <row r="2" spans="1:11" ht="13.5" thickBot="1" x14ac:dyDescent="0.25"/>
    <row r="3" spans="1:11" ht="16.5" thickTop="1" x14ac:dyDescent="0.25">
      <c r="A3" s="6" t="s">
        <v>60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2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.25" thickTop="1" thickBot="1" x14ac:dyDescent="0.2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.5" thickTop="1" x14ac:dyDescent="0.25">
      <c r="A6" s="16" t="s">
        <v>34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8" t="s">
        <v>85</v>
      </c>
      <c r="B7" s="46">
        <f>'[1]Transition '!B$30-1</f>
        <v>-5.1909862460461476E-2</v>
      </c>
      <c r="C7" s="21">
        <f>'[1]Transition '!C$30-1</f>
        <v>0.92922336892219826</v>
      </c>
      <c r="D7" s="21">
        <f>'[1]Transition '!D$30-1</f>
        <v>2.123397949541312</v>
      </c>
      <c r="E7" s="21">
        <f>'[1]Transition '!E$30-1</f>
        <v>3.1465737157088958</v>
      </c>
      <c r="F7" s="21">
        <f>'[1]Transition '!F$30-1</f>
        <v>3.48351564957657</v>
      </c>
      <c r="G7" s="21">
        <f>'[1]Transition '!G$30-1</f>
        <v>3.8558252426324851</v>
      </c>
      <c r="H7" s="21">
        <f>'[1]Transition '!H$30-1</f>
        <v>4.2294284789181615</v>
      </c>
      <c r="I7" s="21">
        <f>'[1]Transition '!I$30-1</f>
        <v>4.5298819820419149</v>
      </c>
      <c r="J7" s="21">
        <f>'[1]Transition '!J$30-1</f>
        <v>4.8442434518179809</v>
      </c>
      <c r="K7" s="22">
        <f>'[1]Transition '!K$30-1</f>
        <v>5.1897779032082072</v>
      </c>
    </row>
    <row r="8" spans="1:11" ht="15.75" x14ac:dyDescent="0.25">
      <c r="A8" s="38" t="s">
        <v>87</v>
      </c>
      <c r="B8" s="51">
        <f ca="1">'Total Trip Tables Sup #2'!B22</f>
        <v>10.038805999999999</v>
      </c>
      <c r="C8" s="44">
        <f ca="1">'Total Trip Tables Sup #2'!C22</f>
        <v>24.297567354030122</v>
      </c>
      <c r="D8" s="44">
        <f ca="1">'Total Trip Tables Sup #2'!D22</f>
        <v>39.591293528813175</v>
      </c>
      <c r="E8" s="44">
        <f ca="1">'Total Trip Tables Sup #2'!E22</f>
        <v>55.011028067654195</v>
      </c>
      <c r="F8" s="44">
        <f ca="1">'Total Trip Tables Sup #2'!F22</f>
        <v>61.180139371093482</v>
      </c>
      <c r="G8" s="44">
        <f ca="1">'Total Trip Tables Sup #2'!G22</f>
        <v>67.312100577564223</v>
      </c>
      <c r="H8" s="44">
        <f ca="1">'Total Trip Tables Sup #2'!H22</f>
        <v>73.025836615116674</v>
      </c>
      <c r="I8" s="44">
        <f ca="1">'Total Trip Tables Sup #2'!I22</f>
        <v>81.338052560075994</v>
      </c>
      <c r="J8" s="44">
        <f ca="1">'Total Trip Tables Sup #2'!J22</f>
        <v>91.484713472842259</v>
      </c>
      <c r="K8" s="45">
        <f ca="1">'Total Trip Tables Sup #2'!K22</f>
        <v>102.97450541562043</v>
      </c>
    </row>
    <row r="9" spans="1:11" ht="15.75" x14ac:dyDescent="0.25">
      <c r="A9" s="38" t="s">
        <v>94</v>
      </c>
      <c r="B9" s="46">
        <f>'[1]Transition '!B$31-1</f>
        <v>0.25664940432640004</v>
      </c>
      <c r="C9" s="21">
        <f>'[1]Transition '!C$31-1</f>
        <v>1.2936556106006964</v>
      </c>
      <c r="D9" s="21">
        <f>'[1]Transition '!D$31-1</f>
        <v>3.3203624402873233</v>
      </c>
      <c r="E9" s="21">
        <f>'[1]Transition '!E$31-1</f>
        <v>5.0760797357522387</v>
      </c>
      <c r="F9" s="21">
        <f>'[1]Transition '!F$31-1</f>
        <v>5.6819455632741089</v>
      </c>
      <c r="G9" s="21">
        <f>'[1]Transition '!G$31-1</f>
        <v>6.312884286797189</v>
      </c>
      <c r="H9" s="21">
        <f>'[1]Transition '!H$31-1</f>
        <v>6.934249919146402</v>
      </c>
      <c r="I9" s="21">
        <f>'[1]Transition '!I$31-1</f>
        <v>7.468889343292652</v>
      </c>
      <c r="J9" s="21">
        <f>'[1]Transition '!J$31-1</f>
        <v>8.0276532051720597</v>
      </c>
      <c r="K9" s="22">
        <f>'[1]Transition '!K$31-1</f>
        <v>8.6440090170115429</v>
      </c>
    </row>
    <row r="10" spans="1:11" ht="15.75" x14ac:dyDescent="0.25">
      <c r="A10" s="38" t="s">
        <v>89</v>
      </c>
      <c r="B10" s="51">
        <f ca="1">'Total Distance Tables Sup #2'!B22</f>
        <v>158.68929399999999</v>
      </c>
      <c r="C10" s="44">
        <f ca="1">'Total Distance Tables Sup #2'!C22</f>
        <v>350.39806647409233</v>
      </c>
      <c r="D10" s="44">
        <f ca="1">'Total Distance Tables Sup #2'!D22</f>
        <v>681.16426729534305</v>
      </c>
      <c r="E10" s="44">
        <f ca="1">'Total Distance Tables Sup #2'!E22</f>
        <v>1027.3583182826692</v>
      </c>
      <c r="F10" s="44">
        <f ca="1">'Total Distance Tables Sup #2'!F22</f>
        <v>1196.3225056628826</v>
      </c>
      <c r="G10" s="44">
        <f ca="1">'Total Distance Tables Sup #2'!G22</f>
        <v>1371.0824874753614</v>
      </c>
      <c r="H10" s="44">
        <f ca="1">'Total Distance Tables Sup #2'!H22</f>
        <v>1545.2062276629035</v>
      </c>
      <c r="I10" s="44">
        <f ca="1">'Total Distance Tables Sup #2'!I22</f>
        <v>1768.8376080565997</v>
      </c>
      <c r="J10" s="44">
        <f ca="1">'Total Distance Tables Sup #2'!J22</f>
        <v>2042.5162818163749</v>
      </c>
      <c r="K10" s="45">
        <f ca="1">'Total Distance Tables Sup #2'!K22</f>
        <v>2359.5860533002783</v>
      </c>
    </row>
    <row r="11" spans="1:11" ht="15.75" x14ac:dyDescent="0.25">
      <c r="A11" s="38" t="s">
        <v>95</v>
      </c>
      <c r="B11" s="46">
        <f>'[1]Transition '!B$32-1</f>
        <v>0.25664940432640004</v>
      </c>
      <c r="C11" s="21">
        <f>'[1]Transition '!C$32-1</f>
        <v>1.2925800761473454</v>
      </c>
      <c r="D11" s="21">
        <f>'[1]Transition '!D$32-1</f>
        <v>3.30712661223588</v>
      </c>
      <c r="E11" s="21">
        <f>'[1]Transition '!E$32-1</f>
        <v>5.0634122924469587</v>
      </c>
      <c r="F11" s="21">
        <f>'[1]Transition '!F$32-1</f>
        <v>5.6970856810023145</v>
      </c>
      <c r="G11" s="21">
        <f>'[1]Transition '!G$32-1</f>
        <v>6.3312050555085744</v>
      </c>
      <c r="H11" s="21">
        <f>'[1]Transition '!H$32-1</f>
        <v>6.9587296700766048</v>
      </c>
      <c r="I11" s="21">
        <f>'[1]Transition '!I$32-1</f>
        <v>7.4950186313654861</v>
      </c>
      <c r="J11" s="21">
        <f>'[1]Transition '!J$32-1</f>
        <v>8.0555064621527315</v>
      </c>
      <c r="K11" s="22">
        <f>'[1]Transition '!K$32-1</f>
        <v>8.6737639328650715</v>
      </c>
    </row>
    <row r="12" spans="1:11" ht="15.75" x14ac:dyDescent="0.25">
      <c r="A12" s="38" t="s">
        <v>92</v>
      </c>
      <c r="B12" s="44">
        <f ca="1">'Total Duration Tables Sup #2'!B22</f>
        <v>5.3839181294388831</v>
      </c>
      <c r="C12" s="44">
        <f ca="1">'Total Duration Tables Sup #2'!C22</f>
        <v>11.868922774088624</v>
      </c>
      <c r="D12" s="44">
        <f ca="1">'Total Duration Tables Sup #2'!D22</f>
        <v>23.012264259865574</v>
      </c>
      <c r="E12" s="44">
        <f ca="1">'Total Duration Tables Sup #2'!E22</f>
        <v>34.588258245783379</v>
      </c>
      <c r="F12" s="44">
        <f ca="1">'Total Duration Tables Sup #2'!F22</f>
        <v>40.182019322521889</v>
      </c>
      <c r="G12" s="44">
        <f ca="1">'Total Duration Tables Sup #2'!G22</f>
        <v>45.882477590388369</v>
      </c>
      <c r="H12" s="44">
        <f ca="1">'Total Duration Tables Sup #2'!H22</f>
        <v>51.53814491056432</v>
      </c>
      <c r="I12" s="44">
        <f ca="1">'Total Duration Tables Sup #2'!I22</f>
        <v>58.997049931101287</v>
      </c>
      <c r="J12" s="44">
        <f ca="1">'Total Duration Tables Sup #2'!J22</f>
        <v>68.125210881174439</v>
      </c>
      <c r="K12" s="45">
        <f ca="1">'Total Duration Tables Sup #2'!K22</f>
        <v>78.700619869923258</v>
      </c>
    </row>
    <row r="13" spans="1:11" ht="15.75" x14ac:dyDescent="0.2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75" x14ac:dyDescent="0.25">
      <c r="A14" s="42" t="s">
        <v>62</v>
      </c>
      <c r="B14" s="46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</row>
    <row r="15" spans="1:11" ht="15.75" x14ac:dyDescent="0.25">
      <c r="A15" s="42" t="s">
        <v>63</v>
      </c>
      <c r="B15" s="46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</row>
    <row r="16" spans="1:11" ht="15.75" x14ac:dyDescent="0.25">
      <c r="A16" s="42" t="s">
        <v>64</v>
      </c>
      <c r="B16" s="46">
        <v>0.25</v>
      </c>
      <c r="C16" s="21">
        <v>0.25</v>
      </c>
      <c r="D16" s="21">
        <v>0.25</v>
      </c>
      <c r="E16" s="21">
        <v>0.25</v>
      </c>
      <c r="F16" s="21">
        <v>0.25</v>
      </c>
      <c r="G16" s="21">
        <v>0.25</v>
      </c>
      <c r="H16" s="21">
        <v>0.25</v>
      </c>
      <c r="I16" s="21">
        <v>0.25</v>
      </c>
      <c r="J16" s="21">
        <v>0.25</v>
      </c>
      <c r="K16" s="22">
        <v>0.25</v>
      </c>
    </row>
    <row r="17" spans="1:11" ht="15.75" x14ac:dyDescent="0.25">
      <c r="A17" s="42" t="s">
        <v>65</v>
      </c>
      <c r="B17" s="46">
        <v>0.25</v>
      </c>
      <c r="C17" s="21">
        <v>0.25</v>
      </c>
      <c r="D17" s="21">
        <v>0.25</v>
      </c>
      <c r="E17" s="21">
        <v>0.25</v>
      </c>
      <c r="F17" s="21">
        <v>0.25</v>
      </c>
      <c r="G17" s="21">
        <v>0.25</v>
      </c>
      <c r="H17" s="21">
        <v>0.25</v>
      </c>
      <c r="I17" s="21">
        <v>0.25</v>
      </c>
      <c r="J17" s="21">
        <v>0.25</v>
      </c>
      <c r="K17" s="22">
        <v>0.25</v>
      </c>
    </row>
    <row r="18" spans="1:11" ht="15.75" x14ac:dyDescent="0.25">
      <c r="A18" s="42" t="s">
        <v>66</v>
      </c>
      <c r="B18" s="46">
        <v>0.5</v>
      </c>
      <c r="C18" s="21">
        <v>0.5</v>
      </c>
      <c r="D18" s="21">
        <v>0.5</v>
      </c>
      <c r="E18" s="21">
        <v>0.5</v>
      </c>
      <c r="F18" s="21">
        <v>0.5</v>
      </c>
      <c r="G18" s="21">
        <v>0.5</v>
      </c>
      <c r="H18" s="21">
        <v>0.5</v>
      </c>
      <c r="I18" s="21">
        <v>0.5</v>
      </c>
      <c r="J18" s="21">
        <v>0.5</v>
      </c>
      <c r="K18" s="22">
        <v>0.5</v>
      </c>
    </row>
    <row r="19" spans="1:11" ht="15.75" x14ac:dyDescent="0.25">
      <c r="A19" s="38" t="s">
        <v>96</v>
      </c>
      <c r="B19" s="46">
        <f>'[1]Transition '!B$33-1</f>
        <v>-1.6053243572075382E-2</v>
      </c>
      <c r="C19" s="21">
        <f>'[1]Transition '!C$33-1</f>
        <v>8.3007539104317685E-2</v>
      </c>
      <c r="D19" s="21">
        <f>'[1]Transition '!D$33-1</f>
        <v>0.1584383991115319</v>
      </c>
      <c r="E19" s="21">
        <f>'[1]Transition '!E$33-1</f>
        <v>0.21301294727609377</v>
      </c>
      <c r="F19" s="21">
        <f>'[1]Transition '!F$33-1</f>
        <v>0.28089776340169403</v>
      </c>
      <c r="G19" s="21">
        <f>'[1]Transition '!G$33-1</f>
        <v>0.34574086129613635</v>
      </c>
      <c r="H19" s="21">
        <f>'[1]Transition '!H$33-1</f>
        <v>0.41451693086053498</v>
      </c>
      <c r="I19" s="21">
        <f>'[1]Transition '!I$33-1</f>
        <v>0.45987702580468892</v>
      </c>
      <c r="J19" s="21">
        <f>'[1]Transition '!J$33-1</f>
        <v>0.50827594099222151</v>
      </c>
      <c r="K19" s="22">
        <f>'[1]Transition '!K$33-1</f>
        <v>0.56163546803384534</v>
      </c>
    </row>
    <row r="20" spans="1:11" ht="15.75" x14ac:dyDescent="0.25">
      <c r="A20" s="38" t="s">
        <v>88</v>
      </c>
      <c r="B20" s="51">
        <f ca="1">'Total Trip Tables Sup #2'!B23</f>
        <v>53.530078000000003</v>
      </c>
      <c r="C20" s="44">
        <f ca="1">'Total Trip Tables Sup #2'!C23</f>
        <v>67.683478267931406</v>
      </c>
      <c r="D20" s="44">
        <f ca="1">'Total Trip Tables Sup #2'!D23</f>
        <v>70.294466567839109</v>
      </c>
      <c r="E20" s="44">
        <f ca="1">'Total Trip Tables Sup #2'!E23</f>
        <v>73.244803381958732</v>
      </c>
      <c r="F20" s="44">
        <f ca="1">'Total Trip Tables Sup #2'!F23</f>
        <v>75.601516628567552</v>
      </c>
      <c r="G20" s="44">
        <f ca="1">'Total Trip Tables Sup #2'!G23</f>
        <v>77.897524741730678</v>
      </c>
      <c r="H20" s="44">
        <f ca="1">'Total Trip Tables Sup #2'!H23</f>
        <v>79.487371863037581</v>
      </c>
      <c r="I20" s="44">
        <f ca="1">'Total Trip Tables Sup #2'!I23</f>
        <v>86.409572356760336</v>
      </c>
      <c r="J20" s="44">
        <f ca="1">'Total Trip Tables Sup #2'!J23</f>
        <v>95.009867236065148</v>
      </c>
      <c r="K20" s="45">
        <f ca="1">'Total Trip Tables Sup #2'!K23</f>
        <v>104.54469188596528</v>
      </c>
    </row>
    <row r="21" spans="1:11" ht="15.75" x14ac:dyDescent="0.25">
      <c r="A21" s="38" t="s">
        <v>97</v>
      </c>
      <c r="B21" s="46">
        <f>'[1]Transition '!B$34-1</f>
        <v>-1.105176939772301E-3</v>
      </c>
      <c r="C21" s="21">
        <f>'[1]Transition '!C$34-1</f>
        <v>4.661368971355051E-3</v>
      </c>
      <c r="D21" s="21">
        <f>'[1]Transition '!D$34-1</f>
        <v>0.2907847563447119</v>
      </c>
      <c r="E21" s="21">
        <f>'[1]Transition '!E$34-1</f>
        <v>0.53917285241550417</v>
      </c>
      <c r="F21" s="21">
        <f>'[1]Transition '!F$34-1</f>
        <v>0.67393462136734361</v>
      </c>
      <c r="G21" s="21">
        <f>'[1]Transition '!G$34-1</f>
        <v>0.79975702617632272</v>
      </c>
      <c r="H21" s="21">
        <f>'[1]Transition '!H$34-1</f>
        <v>0.92891868394525856</v>
      </c>
      <c r="I21" s="21">
        <f>'[1]Transition '!I$34-1</f>
        <v>1.0200758711641384</v>
      </c>
      <c r="J21" s="21">
        <f>'[1]Transition '!J$34-1</f>
        <v>1.1158111479412391</v>
      </c>
      <c r="K21" s="22">
        <f>'[1]Transition '!K$34-1</f>
        <v>1.2208562669733793</v>
      </c>
    </row>
    <row r="22" spans="1:11" ht="15.75" x14ac:dyDescent="0.25">
      <c r="A22" s="38" t="s">
        <v>90</v>
      </c>
      <c r="B22" s="51">
        <f ca="1">'Total Distance Tables Sup #2'!B23</f>
        <v>438.79018300000001</v>
      </c>
      <c r="C22" s="44">
        <f ca="1">'Total Distance Tables Sup #2'!C23</f>
        <v>514.82832738715786</v>
      </c>
      <c r="D22" s="44">
        <f ca="1">'Total Distance Tables Sup #2'!D23</f>
        <v>659.21743841583782</v>
      </c>
      <c r="E22" s="44">
        <f ca="1">'Total Distance Tables Sup #2'!E23</f>
        <v>811.00535528133241</v>
      </c>
      <c r="F22" s="44">
        <f ca="1">'Total Distance Tables Sup #2'!F23</f>
        <v>891.87457864933958</v>
      </c>
      <c r="G22" s="44">
        <f ca="1">'Total Distance Tables Sup #2'!G23</f>
        <v>973.55767120283326</v>
      </c>
      <c r="H22" s="44">
        <f ca="1">'Total Distance Tables Sup #2'!H23</f>
        <v>1049.7990312538579</v>
      </c>
      <c r="I22" s="44">
        <f ca="1">'Total Distance Tables Sup #2'!I23</f>
        <v>1179.0734508795886</v>
      </c>
      <c r="J22" s="44">
        <f ca="1">'Total Distance Tables Sup #2'!J23</f>
        <v>1337.7631692372256</v>
      </c>
      <c r="K22" s="45">
        <f ca="1">'Total Distance Tables Sup #2'!K23</f>
        <v>1518.4844154370605</v>
      </c>
    </row>
    <row r="23" spans="1:11" ht="15.75" x14ac:dyDescent="0.25">
      <c r="A23" s="38" t="s">
        <v>98</v>
      </c>
      <c r="B23" s="46">
        <f>'[1]Transition '!B$35-1</f>
        <v>-1.105176939772412E-3</v>
      </c>
      <c r="C23" s="21">
        <f>'[1]Transition '!C$35-1</f>
        <v>6.1853723655385107E-3</v>
      </c>
      <c r="D23" s="21">
        <f>'[1]Transition '!D$35-1</f>
        <v>0.2974079117855295</v>
      </c>
      <c r="E23" s="21">
        <f>'[1]Transition '!E$35-1</f>
        <v>0.54739864059758503</v>
      </c>
      <c r="F23" s="21">
        <f>'[1]Transition '!F$35-1</f>
        <v>0.68054375504779108</v>
      </c>
      <c r="G23" s="21">
        <f>'[1]Transition '!G$35-1</f>
        <v>0.8045473728694712</v>
      </c>
      <c r="H23" s="21">
        <f>'[1]Transition '!H$35-1</f>
        <v>0.93118676803981226</v>
      </c>
      <c r="I23" s="21">
        <f>'[1]Transition '!I$35-1</f>
        <v>1.0224511407860848</v>
      </c>
      <c r="J23" s="21">
        <f>'[1]Transition '!J$35-1</f>
        <v>1.1182989861542576</v>
      </c>
      <c r="K23" s="22">
        <f>'[1]Transition '!K$35-1</f>
        <v>1.2234676205868502</v>
      </c>
    </row>
    <row r="24" spans="1:11" ht="15.75" x14ac:dyDescent="0.25">
      <c r="A24" s="38" t="s">
        <v>91</v>
      </c>
      <c r="B24" s="51">
        <f ca="1">'Total Duration Tables Sup #2'!B23</f>
        <v>22.597670440041398</v>
      </c>
      <c r="C24" s="44">
        <f ca="1">'Total Duration Tables Sup #2'!C23</f>
        <v>26.484368147755362</v>
      </c>
      <c r="D24" s="44">
        <f ca="1">'Total Duration Tables Sup #2'!D23</f>
        <v>33.917328727724119</v>
      </c>
      <c r="E24" s="44">
        <f ca="1">'Total Duration Tables Sup #2'!E23</f>
        <v>41.309986565012728</v>
      </c>
      <c r="F24" s="44">
        <f ca="1">'Total Duration Tables Sup #2'!F23</f>
        <v>44.932587511796008</v>
      </c>
      <c r="G24" s="44">
        <f ca="1">'Total Duration Tables Sup #2'!G23</f>
        <v>48.520410682631478</v>
      </c>
      <c r="H24" s="44">
        <f ca="1">'Total Duration Tables Sup #2'!H23</f>
        <v>51.694858279282471</v>
      </c>
      <c r="I24" s="44">
        <f ca="1">'Total Duration Tables Sup #2'!I23</f>
        <v>58.060669832477409</v>
      </c>
      <c r="J24" s="44">
        <f ca="1">'Total Duration Tables Sup #2'!J23</f>
        <v>65.874967861576621</v>
      </c>
      <c r="K24" s="45">
        <f ca="1">'Total Duration Tables Sup #2'!K23</f>
        <v>74.774156117825484</v>
      </c>
    </row>
    <row r="25" spans="1:11" ht="15.75" x14ac:dyDescent="0.25">
      <c r="A25" s="38" t="s">
        <v>61</v>
      </c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15.75" x14ac:dyDescent="0.25">
      <c r="A26" s="42" t="s">
        <v>62</v>
      </c>
      <c r="B26" s="46">
        <v>0.05</v>
      </c>
      <c r="C26" s="21">
        <v>0.05</v>
      </c>
      <c r="D26" s="21">
        <v>0.05</v>
      </c>
      <c r="E26" s="21">
        <v>0.05</v>
      </c>
      <c r="F26" s="21">
        <v>0.05</v>
      </c>
      <c r="G26" s="21">
        <v>0.05</v>
      </c>
      <c r="H26" s="21">
        <v>0.05</v>
      </c>
      <c r="I26" s="21">
        <v>0.05</v>
      </c>
      <c r="J26" s="21">
        <v>0.05</v>
      </c>
      <c r="K26" s="22">
        <v>0.05</v>
      </c>
    </row>
    <row r="27" spans="1:11" ht="15.75" x14ac:dyDescent="0.25">
      <c r="A27" s="42" t="s">
        <v>63</v>
      </c>
      <c r="B27" s="46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</row>
    <row r="28" spans="1:11" ht="15.75" x14ac:dyDescent="0.25">
      <c r="A28" s="42" t="s">
        <v>64</v>
      </c>
      <c r="B28" s="46">
        <v>0.4</v>
      </c>
      <c r="C28" s="21">
        <v>0.4</v>
      </c>
      <c r="D28" s="21">
        <v>0.4</v>
      </c>
      <c r="E28" s="21">
        <v>0.4</v>
      </c>
      <c r="F28" s="21">
        <v>0.4</v>
      </c>
      <c r="G28" s="21">
        <v>0.4</v>
      </c>
      <c r="H28" s="21">
        <v>0.4</v>
      </c>
      <c r="I28" s="21">
        <v>0.4</v>
      </c>
      <c r="J28" s="21">
        <v>0.4</v>
      </c>
      <c r="K28" s="22">
        <v>0.4</v>
      </c>
    </row>
    <row r="29" spans="1:11" ht="15.75" x14ac:dyDescent="0.25">
      <c r="A29" s="42" t="s">
        <v>65</v>
      </c>
      <c r="B29" s="46">
        <v>0.4</v>
      </c>
      <c r="C29" s="21">
        <v>0.4</v>
      </c>
      <c r="D29" s="21">
        <v>0.4</v>
      </c>
      <c r="E29" s="21">
        <v>0.4</v>
      </c>
      <c r="F29" s="21">
        <v>0.4</v>
      </c>
      <c r="G29" s="21">
        <v>0.4</v>
      </c>
      <c r="H29" s="21">
        <v>0.4</v>
      </c>
      <c r="I29" s="21">
        <v>0.4</v>
      </c>
      <c r="J29" s="21">
        <v>0.4</v>
      </c>
      <c r="K29" s="22">
        <v>0.4</v>
      </c>
    </row>
    <row r="30" spans="1:11" ht="15.75" x14ac:dyDescent="0.25">
      <c r="A30" s="47" t="s">
        <v>86</v>
      </c>
      <c r="B30" s="46">
        <f>'[1]Summary Data'!$B$32-1</f>
        <v>0.15049422239561072</v>
      </c>
      <c r="C30" s="21">
        <f>B30</f>
        <v>0.15049422239561072</v>
      </c>
      <c r="D30" s="21">
        <f t="shared" ref="D30:K30" si="0">C30</f>
        <v>0.15049422239561072</v>
      </c>
      <c r="E30" s="21">
        <f t="shared" si="0"/>
        <v>0.15049422239561072</v>
      </c>
      <c r="F30" s="21">
        <f t="shared" si="0"/>
        <v>0.15049422239561072</v>
      </c>
      <c r="G30" s="21">
        <f t="shared" si="0"/>
        <v>0.15049422239561072</v>
      </c>
      <c r="H30" s="21">
        <f t="shared" si="0"/>
        <v>0.15049422239561072</v>
      </c>
      <c r="I30" s="21">
        <f t="shared" si="0"/>
        <v>0.15049422239561072</v>
      </c>
      <c r="J30" s="21">
        <f t="shared" si="0"/>
        <v>0.15049422239561072</v>
      </c>
      <c r="K30" s="22">
        <f t="shared" si="0"/>
        <v>0.15049422239561072</v>
      </c>
    </row>
    <row r="31" spans="1:11" ht="15.75" x14ac:dyDescent="0.25">
      <c r="A31" s="38" t="s">
        <v>93</v>
      </c>
      <c r="B31" s="51">
        <f ca="1">'Total Trip Tables Sup #2'!B24</f>
        <v>4.957052</v>
      </c>
      <c r="C31" s="44">
        <f ca="1">'Total Trip Tables Sup #2'!C24</f>
        <v>6.3328595328886852</v>
      </c>
      <c r="D31" s="44">
        <f ca="1">'Total Trip Tables Sup #2'!D24</f>
        <v>6.8822432004611338</v>
      </c>
      <c r="E31" s="44">
        <f ca="1">'Total Trip Tables Sup #2'!E24</f>
        <v>7.4122951620644546</v>
      </c>
      <c r="F31" s="44">
        <f ca="1">'Total Trip Tables Sup #2'!F24</f>
        <v>7.7913750647633631</v>
      </c>
      <c r="G31" s="44">
        <f ca="1">'Total Trip Tables Sup #2'!G24</f>
        <v>8.279238958769449</v>
      </c>
      <c r="H31" s="44">
        <f ca="1">'Total Trip Tables Sup #2'!H24</f>
        <v>8.6336588515655954</v>
      </c>
      <c r="I31" s="44">
        <f ca="1">'Total Trip Tables Sup #2'!I24</f>
        <v>8.9604352867731478</v>
      </c>
      <c r="J31" s="44">
        <f ca="1">'Total Trip Tables Sup #2'!J24</f>
        <v>9.3581384536754726</v>
      </c>
      <c r="K31" s="45">
        <f ca="1">'Total Trip Tables Sup #2'!K24</f>
        <v>9.7638476480868004</v>
      </c>
    </row>
    <row r="32" spans="1:11" ht="15.75" x14ac:dyDescent="0.25">
      <c r="A32" s="47" t="s">
        <v>99</v>
      </c>
      <c r="B32" s="46">
        <f>'[1]Summary Data'!$B$32-1</f>
        <v>0.15049422239561072</v>
      </c>
      <c r="C32" s="21">
        <f>B32</f>
        <v>0.15049422239561072</v>
      </c>
      <c r="D32" s="21">
        <f t="shared" ref="D32:K32" si="1">C32</f>
        <v>0.15049422239561072</v>
      </c>
      <c r="E32" s="21">
        <f t="shared" si="1"/>
        <v>0.15049422239561072</v>
      </c>
      <c r="F32" s="21">
        <f t="shared" si="1"/>
        <v>0.15049422239561072</v>
      </c>
      <c r="G32" s="21">
        <f t="shared" si="1"/>
        <v>0.15049422239561072</v>
      </c>
      <c r="H32" s="21">
        <f t="shared" si="1"/>
        <v>0.15049422239561072</v>
      </c>
      <c r="I32" s="21">
        <f t="shared" si="1"/>
        <v>0.15049422239561072</v>
      </c>
      <c r="J32" s="21">
        <f t="shared" si="1"/>
        <v>0.15049422239561072</v>
      </c>
      <c r="K32" s="22">
        <f t="shared" si="1"/>
        <v>0.15049422239561072</v>
      </c>
    </row>
    <row r="33" spans="1:11" ht="15.75" x14ac:dyDescent="0.25">
      <c r="A33" s="38" t="s">
        <v>100</v>
      </c>
      <c r="B33" s="51">
        <f ca="1">'Total Distance Tables Sup #2'!B24</f>
        <v>0</v>
      </c>
      <c r="C33" s="44">
        <f ca="1">'Total Distance Tables Sup #2'!C24</f>
        <v>0</v>
      </c>
      <c r="D33" s="44">
        <f ca="1">'Total Distance Tables Sup #2'!D24</f>
        <v>0</v>
      </c>
      <c r="E33" s="44">
        <f ca="1">'Total Distance Tables Sup #2'!E24</f>
        <v>0</v>
      </c>
      <c r="F33" s="44">
        <f ca="1">'Total Distance Tables Sup #2'!F24</f>
        <v>0</v>
      </c>
      <c r="G33" s="44">
        <f ca="1">'Total Distance Tables Sup #2'!G24</f>
        <v>0</v>
      </c>
      <c r="H33" s="44">
        <f ca="1">'Total Distance Tables Sup #2'!H24</f>
        <v>0</v>
      </c>
      <c r="I33" s="44">
        <f ca="1">'Total Distance Tables Sup #2'!I24</f>
        <v>0</v>
      </c>
      <c r="J33" s="44">
        <f ca="1">'Total Distance Tables Sup #2'!J24</f>
        <v>0</v>
      </c>
      <c r="K33" s="45">
        <f ca="1">'Total Distance Tables Sup #2'!K24</f>
        <v>0</v>
      </c>
    </row>
    <row r="34" spans="1:11" ht="15.75" x14ac:dyDescent="0.25">
      <c r="A34" s="47" t="s">
        <v>101</v>
      </c>
      <c r="B34" s="46">
        <f>'[1]Summary Data'!$B$32-1</f>
        <v>0.15049422239561072</v>
      </c>
      <c r="C34" s="21">
        <f>B34</f>
        <v>0.15049422239561072</v>
      </c>
      <c r="D34" s="21">
        <f t="shared" ref="D34:K34" si="2">C34</f>
        <v>0.15049422239561072</v>
      </c>
      <c r="E34" s="21">
        <f t="shared" si="2"/>
        <v>0.15049422239561072</v>
      </c>
      <c r="F34" s="21">
        <f t="shared" si="2"/>
        <v>0.15049422239561072</v>
      </c>
      <c r="G34" s="21">
        <f t="shared" si="2"/>
        <v>0.15049422239561072</v>
      </c>
      <c r="H34" s="21">
        <f t="shared" si="2"/>
        <v>0.15049422239561072</v>
      </c>
      <c r="I34" s="21">
        <f t="shared" si="2"/>
        <v>0.15049422239561072</v>
      </c>
      <c r="J34" s="21">
        <f t="shared" si="2"/>
        <v>0.15049422239561072</v>
      </c>
      <c r="K34" s="22">
        <f t="shared" si="2"/>
        <v>0.15049422239561072</v>
      </c>
    </row>
    <row r="35" spans="1:11" ht="16.5" thickBot="1" x14ac:dyDescent="0.3">
      <c r="A35" s="48" t="s">
        <v>102</v>
      </c>
      <c r="B35" s="52">
        <f ca="1">'Total Duration Tables Sup #2'!B24</f>
        <v>1.3948644118033415</v>
      </c>
      <c r="C35" s="49">
        <f ca="1">'Total Duration Tables Sup #2'!C24</f>
        <v>1.7936984460321812</v>
      </c>
      <c r="D35" s="49">
        <f ca="1">'Total Duration Tables Sup #2'!D24</f>
        <v>1.9721352548659885</v>
      </c>
      <c r="E35" s="49">
        <f ca="1">'Total Duration Tables Sup #2'!E24</f>
        <v>2.1775173553913039</v>
      </c>
      <c r="F35" s="49">
        <f ca="1">'Total Duration Tables Sup #2'!F24</f>
        <v>2.3444387419926906</v>
      </c>
      <c r="G35" s="49">
        <f ca="1">'Total Duration Tables Sup #2'!G24</f>
        <v>2.5446083135759112</v>
      </c>
      <c r="H35" s="49">
        <f ca="1">'Total Duration Tables Sup #2'!H24</f>
        <v>2.7110202977820137</v>
      </c>
      <c r="I35" s="49">
        <f ca="1">'Total Duration Tables Sup #2'!I24</f>
        <v>2.8633270837544149</v>
      </c>
      <c r="J35" s="49">
        <f ca="1">'Total Duration Tables Sup #2'!J24</f>
        <v>3.0419905310476381</v>
      </c>
      <c r="K35" s="50">
        <f ca="1">'Total Duration Tables Sup #2'!K24</f>
        <v>3.2277193977145324</v>
      </c>
    </row>
    <row r="36" spans="1:11" ht="16.5" thickTop="1" x14ac:dyDescent="0.25">
      <c r="A36" s="16" t="s">
        <v>41</v>
      </c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5.75" x14ac:dyDescent="0.25">
      <c r="A37" s="38" t="s">
        <v>85</v>
      </c>
      <c r="B37" s="46">
        <f>'[2]Transition '!B30-1</f>
        <v>0.21688989289779315</v>
      </c>
      <c r="C37" s="21">
        <f>'[2]Transition '!C30-1</f>
        <v>0.24326786449309079</v>
      </c>
      <c r="D37" s="21">
        <f>'[2]Transition '!D30-1</f>
        <v>0.32787008316285227</v>
      </c>
      <c r="E37" s="21">
        <f>'[2]Transition '!E30-1</f>
        <v>0.40370877883460654</v>
      </c>
      <c r="F37" s="21">
        <f>'[2]Transition '!F30-1</f>
        <v>0.4638936117321586</v>
      </c>
      <c r="G37" s="21">
        <f>'[2]Transition '!G30-1</f>
        <v>0.51438571516721865</v>
      </c>
      <c r="H37" s="21">
        <f>'[2]Transition '!H30-1</f>
        <v>0.56740220237371664</v>
      </c>
      <c r="I37" s="21">
        <f>'[2]Transition '!I30-1</f>
        <v>0.64674793236411343</v>
      </c>
      <c r="J37" s="21">
        <f>'[2]Transition '!J30-1</f>
        <v>0.73497933165071916</v>
      </c>
      <c r="K37" s="22">
        <f>'[2]Transition '!K30-1</f>
        <v>0.83187491421515847</v>
      </c>
    </row>
    <row r="38" spans="1:11" ht="15.75" x14ac:dyDescent="0.25">
      <c r="A38" s="38" t="s">
        <v>87</v>
      </c>
      <c r="B38" s="51">
        <f ca="1">'Total Trip Tables Sup #2'!B99</f>
        <v>12.37</v>
      </c>
      <c r="C38" s="44">
        <f ca="1">'Total Trip Tables Sup #2'!C99</f>
        <v>12.592905548117583</v>
      </c>
      <c r="D38" s="44">
        <f ca="1">'Total Trip Tables Sup #2'!D99</f>
        <v>14.420490120867937</v>
      </c>
      <c r="E38" s="44">
        <f ca="1">'Total Trip Tables Sup #2'!E99</f>
        <v>14.996190706808681</v>
      </c>
      <c r="F38" s="44">
        <f ca="1">'Total Trip Tables Sup #2'!F99</f>
        <v>15.203680525767009</v>
      </c>
      <c r="G38" s="44">
        <f ca="1">'Total Trip Tables Sup #2'!G99</f>
        <v>15.338604401489459</v>
      </c>
      <c r="H38" s="44">
        <f ca="1">'Total Trip Tables Sup #2'!H99</f>
        <v>15.404008356372653</v>
      </c>
      <c r="I38" s="44">
        <f ca="1">'Total Trip Tables Sup #2'!I99</f>
        <v>16.290825676752757</v>
      </c>
      <c r="J38" s="44">
        <f ca="1">'Total Trip Tables Sup #2'!J99</f>
        <v>17.222187486236134</v>
      </c>
      <c r="K38" s="45">
        <f ca="1">'Total Trip Tables Sup #2'!K99</f>
        <v>18.206796125399972</v>
      </c>
    </row>
    <row r="39" spans="1:11" ht="15.75" x14ac:dyDescent="0.25">
      <c r="A39" s="38" t="s">
        <v>94</v>
      </c>
      <c r="B39" s="46">
        <f>'[2]Transition '!B31-1</f>
        <v>0.18597231373895151</v>
      </c>
      <c r="C39" s="21">
        <f>'[2]Transition '!C31-1</f>
        <v>0.19272604318867237</v>
      </c>
      <c r="D39" s="21">
        <f>'[2]Transition '!D31-1</f>
        <v>0.27324302632957087</v>
      </c>
      <c r="E39" s="21">
        <f>'[2]Transition '!E31-1</f>
        <v>0.33711388299144951</v>
      </c>
      <c r="F39" s="21">
        <f>'[2]Transition '!F31-1</f>
        <v>0.40032631324222034</v>
      </c>
      <c r="G39" s="21">
        <f>'[2]Transition '!G31-1</f>
        <v>0.45833529879723467</v>
      </c>
      <c r="H39" s="21">
        <f>'[2]Transition '!H31-1</f>
        <v>0.52117472509026519</v>
      </c>
      <c r="I39" s="21">
        <f>'[2]Transition '!I31-1</f>
        <v>0.59804208218257049</v>
      </c>
      <c r="J39" s="21">
        <f>'[2]Transition '!J31-1</f>
        <v>0.68352021354437431</v>
      </c>
      <c r="K39" s="22">
        <f>'[2]Transition '!K31-1</f>
        <v>0.77739023560247134</v>
      </c>
    </row>
    <row r="40" spans="1:11" ht="15.75" x14ac:dyDescent="0.25">
      <c r="A40" s="38" t="s">
        <v>89</v>
      </c>
      <c r="B40" s="51">
        <f ca="1">'Total Distance Tables Sup #2'!B99</f>
        <v>297.83</v>
      </c>
      <c r="C40" s="44">
        <f ca="1">'Total Distance Tables Sup #2'!C99</f>
        <v>296.32381974434077</v>
      </c>
      <c r="D40" s="44">
        <f ca="1">'Total Distance Tables Sup #2'!D99</f>
        <v>344.24629237594803</v>
      </c>
      <c r="E40" s="44">
        <f ca="1">'Total Distance Tables Sup #2'!E99</f>
        <v>366.54021706351227</v>
      </c>
      <c r="F40" s="44">
        <f ca="1">'Total Distance Tables Sup #2'!F99</f>
        <v>380.25688401764108</v>
      </c>
      <c r="G40" s="44">
        <f ca="1">'Total Distance Tables Sup #2'!G99</f>
        <v>391.88267473686017</v>
      </c>
      <c r="H40" s="44">
        <f ca="1">'Total Distance Tables Sup #2'!H99</f>
        <v>401.79136950755253</v>
      </c>
      <c r="I40" s="44">
        <f ca="1">'Total Distance Tables Sup #2'!I99</f>
        <v>432.61117023219794</v>
      </c>
      <c r="J40" s="44">
        <f ca="1">'Total Distance Tables Sup #2'!J99</f>
        <v>465.47109673554678</v>
      </c>
      <c r="K40" s="45">
        <f ca="1">'Total Distance Tables Sup #2'!K99</f>
        <v>500.67282270464256</v>
      </c>
    </row>
    <row r="41" spans="1:11" ht="15.75" x14ac:dyDescent="0.25">
      <c r="A41" s="38" t="s">
        <v>95</v>
      </c>
      <c r="B41" s="46">
        <f>'[2]Transition '!B32-1</f>
        <v>0.18597231373895151</v>
      </c>
      <c r="C41" s="21">
        <f>'[2]Transition '!C32-1</f>
        <v>0.19676938260007093</v>
      </c>
      <c r="D41" s="21">
        <f>'[2]Transition '!D32-1</f>
        <v>0.28091481415917241</v>
      </c>
      <c r="E41" s="21">
        <f>'[2]Transition '!E32-1</f>
        <v>0.34866558591175623</v>
      </c>
      <c r="F41" s="21">
        <f>'[2]Transition '!F32-1</f>
        <v>0.41127750927894091</v>
      </c>
      <c r="G41" s="21">
        <f>'[2]Transition '!G32-1</f>
        <v>0.47021763915535231</v>
      </c>
      <c r="H41" s="21">
        <f>'[2]Transition '!H32-1</f>
        <v>0.53372809632637197</v>
      </c>
      <c r="I41" s="21">
        <f>'[2]Transition '!I32-1</f>
        <v>0.61122979505846531</v>
      </c>
      <c r="J41" s="21">
        <f>'[2]Transition '!J32-1</f>
        <v>0.69741332777742748</v>
      </c>
      <c r="K41" s="22">
        <f>'[2]Transition '!K32-1</f>
        <v>0.79205800459108966</v>
      </c>
    </row>
    <row r="42" spans="1:11" ht="15.75" x14ac:dyDescent="0.25">
      <c r="A42" s="38" t="s">
        <v>92</v>
      </c>
      <c r="B42" s="44">
        <f ca="1">'Total Duration Tables Sup #2'!B99</f>
        <v>6.554720885672368</v>
      </c>
      <c r="C42" s="44">
        <f ca="1">'Total Duration Tables Sup #2'!C99</f>
        <v>6.5173063965197686</v>
      </c>
      <c r="D42" s="44">
        <f ca="1">'Total Duration Tables Sup #2'!D99</f>
        <v>7.5739777410552458</v>
      </c>
      <c r="E42" s="44">
        <f ca="1">'Total Duration Tables Sup #2'!E99</f>
        <v>8.0762762410707687</v>
      </c>
      <c r="F42" s="44">
        <f ca="1">'Total Duration Tables Sup #2'!F99</f>
        <v>8.3987143184878512</v>
      </c>
      <c r="G42" s="44">
        <f ca="1">'Total Duration Tables Sup #2'!G99</f>
        <v>8.6837649382554183</v>
      </c>
      <c r="H42" s="44">
        <f ca="1">'Total Duration Tables Sup #2'!H99</f>
        <v>8.9415917032404266</v>
      </c>
      <c r="I42" s="44">
        <f ca="1">'Total Duration Tables Sup #2'!I99</f>
        <v>9.6274652569525649</v>
      </c>
      <c r="J42" s="44">
        <f ca="1">'Total Duration Tables Sup #2'!J99</f>
        <v>10.358740412393434</v>
      </c>
      <c r="K42" s="45">
        <f ca="1">'Total Duration Tables Sup #2'!K99</f>
        <v>11.142130710823157</v>
      </c>
    </row>
    <row r="43" spans="1:11" ht="15.75" x14ac:dyDescent="0.25">
      <c r="A43" s="38" t="s">
        <v>61</v>
      </c>
      <c r="B43" s="39"/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15.75" x14ac:dyDescent="0.25">
      <c r="A44" s="42" t="s">
        <v>62</v>
      </c>
      <c r="B44" s="46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</row>
    <row r="45" spans="1:11" ht="15.75" x14ac:dyDescent="0.25">
      <c r="A45" s="42" t="s">
        <v>63</v>
      </c>
      <c r="B45" s="46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2">
        <v>0</v>
      </c>
    </row>
    <row r="46" spans="1:11" ht="15.75" x14ac:dyDescent="0.25">
      <c r="A46" s="42" t="s">
        <v>64</v>
      </c>
      <c r="B46" s="46">
        <v>0.25</v>
      </c>
      <c r="C46" s="21">
        <v>0.25</v>
      </c>
      <c r="D46" s="21">
        <v>0.25</v>
      </c>
      <c r="E46" s="21">
        <v>0.25</v>
      </c>
      <c r="F46" s="21">
        <v>0.25</v>
      </c>
      <c r="G46" s="21">
        <v>0.25</v>
      </c>
      <c r="H46" s="21">
        <v>0.25</v>
      </c>
      <c r="I46" s="21">
        <v>0.25</v>
      </c>
      <c r="J46" s="21">
        <v>0.25</v>
      </c>
      <c r="K46" s="22">
        <v>0.25</v>
      </c>
    </row>
    <row r="47" spans="1:11" ht="15.75" x14ac:dyDescent="0.25">
      <c r="A47" s="42" t="s">
        <v>65</v>
      </c>
      <c r="B47" s="46">
        <v>0.25</v>
      </c>
      <c r="C47" s="21">
        <v>0.25</v>
      </c>
      <c r="D47" s="21">
        <v>0.25</v>
      </c>
      <c r="E47" s="21">
        <v>0.25</v>
      </c>
      <c r="F47" s="21">
        <v>0.25</v>
      </c>
      <c r="G47" s="21">
        <v>0.25</v>
      </c>
      <c r="H47" s="21">
        <v>0.25</v>
      </c>
      <c r="I47" s="21">
        <v>0.25</v>
      </c>
      <c r="J47" s="21">
        <v>0.25</v>
      </c>
      <c r="K47" s="22">
        <v>0.25</v>
      </c>
    </row>
    <row r="48" spans="1:11" ht="15.75" x14ac:dyDescent="0.25">
      <c r="A48" s="42" t="s">
        <v>66</v>
      </c>
      <c r="B48" s="46">
        <v>0.5</v>
      </c>
      <c r="C48" s="21">
        <v>0.5</v>
      </c>
      <c r="D48" s="21">
        <v>0.5</v>
      </c>
      <c r="E48" s="21">
        <v>0.5</v>
      </c>
      <c r="F48" s="21">
        <v>0.5</v>
      </c>
      <c r="G48" s="21">
        <v>0.5</v>
      </c>
      <c r="H48" s="21">
        <v>0.5</v>
      </c>
      <c r="I48" s="21">
        <v>0.5</v>
      </c>
      <c r="J48" s="21">
        <v>0.5</v>
      </c>
      <c r="K48" s="22">
        <v>0.5</v>
      </c>
    </row>
    <row r="49" spans="1:11" ht="15.75" x14ac:dyDescent="0.25">
      <c r="A49" s="38" t="s">
        <v>96</v>
      </c>
      <c r="B49" s="46">
        <f>'[2]Transition '!B33-1</f>
        <v>-5.7262664658125351E-2</v>
      </c>
      <c r="C49" s="21">
        <f>'[2]Transition '!C33-1</f>
        <v>-4.1275347842180565E-2</v>
      </c>
      <c r="D49" s="21">
        <f>'[2]Transition '!D33-1</f>
        <v>5.965398973517555E-2</v>
      </c>
      <c r="E49" s="21">
        <f>'[2]Transition '!E33-1</f>
        <v>0.12788121362425175</v>
      </c>
      <c r="F49" s="21">
        <f>'[2]Transition '!F33-1</f>
        <v>0.16347609997135715</v>
      </c>
      <c r="G49" s="21">
        <f>'[2]Transition '!G33-1</f>
        <v>0.20679801001209097</v>
      </c>
      <c r="H49" s="21">
        <f>'[2]Transition '!H33-1</f>
        <v>0.25672453548627572</v>
      </c>
      <c r="I49" s="21">
        <f>'[2]Transition '!I33-1</f>
        <v>0.28483024391039469</v>
      </c>
      <c r="J49" s="21">
        <f>'[2]Transition '!J33-1</f>
        <v>0.31762849148373817</v>
      </c>
      <c r="K49" s="22">
        <f>'[2]Transition '!K33-1</f>
        <v>0.35417419758311741</v>
      </c>
    </row>
    <row r="50" spans="1:11" ht="15.75" x14ac:dyDescent="0.25">
      <c r="A50" s="38" t="s">
        <v>88</v>
      </c>
      <c r="B50" s="51">
        <f ca="1">'Total Trip Tables Sup #2'!B100</f>
        <v>23.4</v>
      </c>
      <c r="C50" s="44">
        <f ca="1">'Total Trip Tables Sup #2'!C100</f>
        <v>22.865706585342785</v>
      </c>
      <c r="D50" s="44">
        <f ca="1">'Total Trip Tables Sup #2'!D100</f>
        <v>25.70672181308932</v>
      </c>
      <c r="E50" s="44">
        <f ca="1">'Total Trip Tables Sup #2'!E100</f>
        <v>25.94574793536211</v>
      </c>
      <c r="F50" s="44">
        <f ca="1">'Total Trip Tables Sup #2'!F100</f>
        <v>25.140226345267081</v>
      </c>
      <c r="G50" s="44">
        <f ca="1">'Total Trip Tables Sup #2'!G100</f>
        <v>24.451949280921987</v>
      </c>
      <c r="H50" s="44">
        <f ca="1">'Total Trip Tables Sup #2'!H100</f>
        <v>23.821334062377371</v>
      </c>
      <c r="I50" s="44">
        <f ca="1">'Total Trip Tables Sup #2'!I100</f>
        <v>24.515142005036758</v>
      </c>
      <c r="J50" s="44">
        <f ca="1">'Total Trip Tables Sup #2'!J100</f>
        <v>25.226655534761591</v>
      </c>
      <c r="K50" s="45">
        <f ca="1">'Total Trip Tables Sup #2'!K100</f>
        <v>25.958819628243194</v>
      </c>
    </row>
    <row r="51" spans="1:11" ht="15.75" x14ac:dyDescent="0.25">
      <c r="A51" s="38" t="s">
        <v>97</v>
      </c>
      <c r="B51" s="46">
        <f>'[2]Transition '!B34-1</f>
        <v>-0.12295023299365704</v>
      </c>
      <c r="C51" s="21">
        <f>'[2]Transition '!C34-1</f>
        <v>-0.12526660564561831</v>
      </c>
      <c r="D51" s="21">
        <f>'[2]Transition '!D34-1</f>
        <v>-3.6996870613136945E-2</v>
      </c>
      <c r="E51" s="21">
        <f>'[2]Transition '!E34-1</f>
        <v>2.2112421034643281E-2</v>
      </c>
      <c r="F51" s="21">
        <f>'[2]Transition '!F34-1</f>
        <v>4.4697090162222564E-2</v>
      </c>
      <c r="G51" s="21">
        <f>'[2]Transition '!G34-1</f>
        <v>7.1720286844437986E-2</v>
      </c>
      <c r="H51" s="21">
        <f>'[2]Transition '!H34-1</f>
        <v>0.10456723251494005</v>
      </c>
      <c r="I51" s="21">
        <f>'[2]Transition '!I34-1</f>
        <v>0.12523251677199609</v>
      </c>
      <c r="J51" s="21">
        <f>'[2]Transition '!J34-1</f>
        <v>0.14985756984372456</v>
      </c>
      <c r="K51" s="22">
        <f>'[2]Transition '!K34-1</f>
        <v>0.17755216339592073</v>
      </c>
    </row>
    <row r="52" spans="1:11" ht="15.75" x14ac:dyDescent="0.25">
      <c r="A52" s="38" t="s">
        <v>90</v>
      </c>
      <c r="B52" s="51">
        <f ca="1">'Total Distance Tables Sup #2'!B100</f>
        <v>164.37</v>
      </c>
      <c r="C52" s="44">
        <f ca="1">'Total Distance Tables Sup #2'!C100</f>
        <v>159.01779495627051</v>
      </c>
      <c r="D52" s="44">
        <f ca="1">'Total Distance Tables Sup #2'!D100</f>
        <v>183.79240194579793</v>
      </c>
      <c r="E52" s="44">
        <f ca="1">'Total Distance Tables Sup #2'!E100</f>
        <v>193.80834416024541</v>
      </c>
      <c r="F52" s="44">
        <f ca="1">'Total Distance Tables Sup #2'!F100</f>
        <v>196.11811964247474</v>
      </c>
      <c r="G52" s="44">
        <f ca="1">'Total Distance Tables Sup #2'!G100</f>
        <v>199.04835494368302</v>
      </c>
      <c r="H52" s="44">
        <f ca="1">'Total Distance Tables Sup #2'!H100</f>
        <v>202.36414743266039</v>
      </c>
      <c r="I52" s="44">
        <f ca="1">'Total Distance Tables Sup #2'!I100</f>
        <v>211.28647820856457</v>
      </c>
      <c r="J52" s="44">
        <f ca="1">'Total Distance Tables Sup #2'!J100</f>
        <v>220.51510595850343</v>
      </c>
      <c r="K52" s="45">
        <f ca="1">'Total Distance Tables Sup #2'!K100</f>
        <v>230.0759879957881</v>
      </c>
    </row>
    <row r="53" spans="1:11" ht="15.75" x14ac:dyDescent="0.25">
      <c r="A53" s="38" t="s">
        <v>98</v>
      </c>
      <c r="B53" s="46">
        <f>'[2]Transition '!B35-1</f>
        <v>-0.12295023299365715</v>
      </c>
      <c r="C53" s="21">
        <f>'[2]Transition '!C35-1</f>
        <v>-0.12159281487784546</v>
      </c>
      <c r="D53" s="21">
        <f>'[2]Transition '!D35-1</f>
        <v>-3.2721088832094458E-2</v>
      </c>
      <c r="E53" s="21">
        <f>'[2]Transition '!E35-1</f>
        <v>2.4563734492759615E-2</v>
      </c>
      <c r="F53" s="21">
        <f>'[2]Transition '!F35-1</f>
        <v>4.7792124096006416E-2</v>
      </c>
      <c r="G53" s="21">
        <f>'[2]Transition '!G35-1</f>
        <v>7.6227487873787192E-2</v>
      </c>
      <c r="H53" s="21">
        <f>'[2]Transition '!H35-1</f>
        <v>0.11041176137005126</v>
      </c>
      <c r="I53" s="21">
        <f>'[2]Transition '!I35-1</f>
        <v>0.13118639057831016</v>
      </c>
      <c r="J53" s="21">
        <f>'[2]Transition '!J35-1</f>
        <v>0.1559417406831205</v>
      </c>
      <c r="K53" s="22">
        <f>'[2]Transition '!K35-1</f>
        <v>0.1837828729396902</v>
      </c>
    </row>
    <row r="54" spans="1:11" ht="15.75" x14ac:dyDescent="0.25">
      <c r="A54" s="38" t="s">
        <v>91</v>
      </c>
      <c r="B54" s="51">
        <f ca="1">'Total Duration Tables Sup #2'!B100</f>
        <v>8.2404499312721509</v>
      </c>
      <c r="C54" s="44">
        <f ca="1">'Total Duration Tables Sup #2'!C100</f>
        <v>7.9756978131113518</v>
      </c>
      <c r="D54" s="44">
        <f ca="1">'Total Duration Tables Sup #2'!D100</f>
        <v>9.1795627318990256</v>
      </c>
      <c r="E54" s="44">
        <f ca="1">'Total Duration Tables Sup #2'!E100</f>
        <v>9.4438144818442833</v>
      </c>
      <c r="F54" s="44">
        <f ca="1">'Total Duration Tables Sup #2'!F100</f>
        <v>9.2991553371073827</v>
      </c>
      <c r="G54" s="44">
        <f ca="1">'Total Duration Tables Sup #2'!G100</f>
        <v>9.17852527633082</v>
      </c>
      <c r="H54" s="44">
        <f ca="1">'Total Duration Tables Sup #2'!H100</f>
        <v>9.0684597253516053</v>
      </c>
      <c r="I54" s="44">
        <f ca="1">'Total Duration Tables Sup #2'!I100</f>
        <v>9.4682923949428286</v>
      </c>
      <c r="J54" s="44">
        <f ca="1">'Total Duration Tables Sup #2'!J100</f>
        <v>9.8818510224582621</v>
      </c>
      <c r="K54" s="45">
        <f ca="1">'Total Duration Tables Sup #2'!K100</f>
        <v>10.310298822100266</v>
      </c>
    </row>
    <row r="55" spans="1:11" ht="15.75" x14ac:dyDescent="0.25">
      <c r="A55" s="38" t="s">
        <v>61</v>
      </c>
      <c r="B55" s="39"/>
      <c r="C55" s="40"/>
      <c r="D55" s="40"/>
      <c r="E55" s="40"/>
      <c r="F55" s="40"/>
      <c r="G55" s="40"/>
      <c r="H55" s="40"/>
      <c r="I55" s="40"/>
      <c r="J55" s="40"/>
      <c r="K55" s="41"/>
    </row>
    <row r="56" spans="1:11" ht="15.75" x14ac:dyDescent="0.25">
      <c r="A56" s="42" t="s">
        <v>62</v>
      </c>
      <c r="B56" s="46">
        <v>0.05</v>
      </c>
      <c r="C56" s="21">
        <v>0.05</v>
      </c>
      <c r="D56" s="21">
        <v>0.05</v>
      </c>
      <c r="E56" s="21">
        <v>0.05</v>
      </c>
      <c r="F56" s="21">
        <v>0.05</v>
      </c>
      <c r="G56" s="21">
        <v>0.05</v>
      </c>
      <c r="H56" s="21">
        <v>0.05</v>
      </c>
      <c r="I56" s="21">
        <v>0.05</v>
      </c>
      <c r="J56" s="21">
        <v>0.05</v>
      </c>
      <c r="K56" s="22">
        <v>0.05</v>
      </c>
    </row>
    <row r="57" spans="1:11" ht="15.75" x14ac:dyDescent="0.25">
      <c r="A57" s="42" t="s">
        <v>63</v>
      </c>
      <c r="B57" s="46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</row>
    <row r="58" spans="1:11" ht="15.75" x14ac:dyDescent="0.25">
      <c r="A58" s="42" t="s">
        <v>64</v>
      </c>
      <c r="B58" s="46">
        <v>0.4</v>
      </c>
      <c r="C58" s="21">
        <v>0.4</v>
      </c>
      <c r="D58" s="21">
        <v>0.4</v>
      </c>
      <c r="E58" s="21">
        <v>0.4</v>
      </c>
      <c r="F58" s="21">
        <v>0.4</v>
      </c>
      <c r="G58" s="21">
        <v>0.4</v>
      </c>
      <c r="H58" s="21">
        <v>0.4</v>
      </c>
      <c r="I58" s="21">
        <v>0.4</v>
      </c>
      <c r="J58" s="21">
        <v>0.4</v>
      </c>
      <c r="K58" s="22">
        <v>0.4</v>
      </c>
    </row>
    <row r="59" spans="1:11" ht="16.5" thickBot="1" x14ac:dyDescent="0.3">
      <c r="A59" s="43" t="s">
        <v>65</v>
      </c>
      <c r="B59" s="57">
        <v>0.4</v>
      </c>
      <c r="C59" s="26">
        <v>0.4</v>
      </c>
      <c r="D59" s="26">
        <v>0.4</v>
      </c>
      <c r="E59" s="26">
        <v>0.4</v>
      </c>
      <c r="F59" s="26">
        <v>0.4</v>
      </c>
      <c r="G59" s="26">
        <v>0.4</v>
      </c>
      <c r="H59" s="26">
        <v>0.4</v>
      </c>
      <c r="I59" s="26">
        <v>0.4</v>
      </c>
      <c r="J59" s="26">
        <v>0.4</v>
      </c>
      <c r="K59" s="27">
        <v>0.4</v>
      </c>
    </row>
    <row r="60" spans="1:11" ht="13.5" thickTop="1" x14ac:dyDescent="0.2"/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168"/>
  <sheetViews>
    <sheetView tabSelected="1" zoomScaleNormal="100" workbookViewId="0">
      <selection activeCell="H23" sqref="H23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11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  <c r="B4" s="4">
        <f ca="1">SUM(B5:B14)</f>
        <v>166.40069163299998</v>
      </c>
      <c r="C4" s="4">
        <f t="shared" ref="C4:H4" ca="1" si="0">SUM(C5:C14)</f>
        <v>174.59801806665578</v>
      </c>
      <c r="D4" s="4">
        <f t="shared" ca="1" si="0"/>
        <v>178.19689555688461</v>
      </c>
      <c r="E4" s="4">
        <f t="shared" ca="1" si="0"/>
        <v>180.34559270354939</v>
      </c>
      <c r="F4" s="4">
        <f t="shared" ca="1" si="0"/>
        <v>180.68784224187669</v>
      </c>
      <c r="G4" s="4">
        <f t="shared" ca="1" si="0"/>
        <v>179.33037625790911</v>
      </c>
      <c r="H4" s="4">
        <f t="shared" ca="1" si="0"/>
        <v>176.59877713691372</v>
      </c>
      <c r="I4" s="1">
        <f t="shared" ref="I4:K4" ca="1" si="1">SUM(I5:I14)</f>
        <v>177.61624725807977</v>
      </c>
      <c r="J4" s="1">
        <f t="shared" ca="1" si="1"/>
        <v>178.12969346818775</v>
      </c>
      <c r="K4" s="1">
        <f t="shared" ca="1" si="1"/>
        <v>178.26197952272824</v>
      </c>
    </row>
    <row r="5" spans="1:11" x14ac:dyDescent="0.2">
      <c r="A5" t="str">
        <f ca="1">OFFSET(Northland_Reference,0,2)</f>
        <v>Pedestrian</v>
      </c>
      <c r="B5" s="4">
        <f ca="1">'Total Trip Tables Sup #2'!B5</f>
        <v>23.706864376999999</v>
      </c>
      <c r="C5" s="4">
        <f ca="1">'Total Trip Tables Sup #2'!C5</f>
        <v>24.67289840810226</v>
      </c>
      <c r="D5" s="4">
        <f ca="1">'Total Trip Tables Sup #2'!D5</f>
        <v>25.436083572256052</v>
      </c>
      <c r="E5" s="4">
        <f ca="1">'Total Trip Tables Sup #2'!E5</f>
        <v>25.669051168486156</v>
      </c>
      <c r="F5" s="4">
        <f ca="1">'Total Trip Tables Sup #2'!F5</f>
        <v>25.620008445671129</v>
      </c>
      <c r="G5" s="4">
        <f ca="1">'Total Trip Tables Sup #2'!G5</f>
        <v>25.449607131752263</v>
      </c>
      <c r="H5" s="4">
        <f ca="1">'Total Trip Tables Sup #2'!H5</f>
        <v>25.096153009265009</v>
      </c>
      <c r="I5" s="1">
        <f ca="1">'Total Trip Tables Sup #2'!I5</f>
        <v>25.262516426695591</v>
      </c>
      <c r="J5" s="1">
        <f ca="1">'Total Trip Tables Sup #2'!J5</f>
        <v>25.367026040882628</v>
      </c>
      <c r="K5" s="1">
        <f ca="1">'Total Trip Tables Sup #2'!K5</f>
        <v>25.418089588429861</v>
      </c>
    </row>
    <row r="6" spans="1:11" x14ac:dyDescent="0.2">
      <c r="A6" t="str">
        <f ca="1">OFFSET(Northland_Reference,7,2)</f>
        <v>Cyclist</v>
      </c>
      <c r="B6" s="4">
        <f ca="1">'Total Trip Tables Sup #2'!B6</f>
        <v>0.66592947719999995</v>
      </c>
      <c r="C6" s="4">
        <f ca="1">'Total Trip Tables Sup #2'!C6</f>
        <v>0.67743652940739252</v>
      </c>
      <c r="D6" s="4">
        <f ca="1">'Total Trip Tables Sup #2'!D6</f>
        <v>0.77188144235260958</v>
      </c>
      <c r="E6" s="4">
        <f ca="1">'Total Trip Tables Sup #2'!E6</f>
        <v>0.83177898394433403</v>
      </c>
      <c r="F6" s="4">
        <f ca="1">'Total Trip Tables Sup #2'!F6</f>
        <v>0.89025603015175803</v>
      </c>
      <c r="G6" s="4">
        <f ca="1">'Total Trip Tables Sup #2'!G6</f>
        <v>0.94699278327725345</v>
      </c>
      <c r="H6" s="4">
        <f ca="1">'Total Trip Tables Sup #2'!H6</f>
        <v>1.0005086725712797</v>
      </c>
      <c r="I6" s="1">
        <f ca="1">'Total Trip Tables Sup #2'!I6</f>
        <v>1.01380780887005</v>
      </c>
      <c r="J6" s="1">
        <f ca="1">'Total Trip Tables Sup #2'!J6</f>
        <v>1.0277820688022437</v>
      </c>
      <c r="K6" s="1">
        <f ca="1">'Total Trip Tables Sup #2'!K6</f>
        <v>1.0400053695110052</v>
      </c>
    </row>
    <row r="7" spans="1:11" x14ac:dyDescent="0.2">
      <c r="A7" t="str">
        <f ca="1">OFFSET(Northland_Reference,14,2)</f>
        <v>Light Vehicle Driver</v>
      </c>
      <c r="B7" s="4">
        <f ca="1">'Total Trip Tables Sup #2'!B7</f>
        <v>86.333691700000003</v>
      </c>
      <c r="C7" s="4">
        <f ca="1">'Total Trip Tables Sup #2'!C7*(1-'Other Assumptions'!G6)</f>
        <v>92.612818012320943</v>
      </c>
      <c r="D7" s="4">
        <f ca="1">'Total Trip Tables Sup #2'!D7*(1-'Other Assumptions'!H6)</f>
        <v>94.994985798321892</v>
      </c>
      <c r="E7" s="4">
        <f ca="1">'Total Trip Tables Sup #2'!E7*(1-'Other Assumptions'!I6)</f>
        <v>82.370722499156017</v>
      </c>
      <c r="F7" s="4">
        <f ca="1">'Total Trip Tables Sup #2'!F7*(1-'Other Assumptions'!J6)</f>
        <v>68.385396137664927</v>
      </c>
      <c r="G7" s="4">
        <f ca="1">'Total Trip Tables Sup #2'!G7*(1-'Other Assumptions'!K6)</f>
        <v>53.504678751185551</v>
      </c>
      <c r="H7" s="4">
        <f ca="1">'Total Trip Tables Sup #2'!H7*(1-'Other Assumptions'!L6)</f>
        <v>38.406075200208505</v>
      </c>
      <c r="I7" s="1">
        <f ca="1">'Total Trip Tables Sup #2'!I7*(1-'Other Assumptions'!M6)</f>
        <v>38.619022455899845</v>
      </c>
      <c r="J7" s="1">
        <f ca="1">'Total Trip Tables Sup #2'!J7*(1-'Other Assumptions'!N6)</f>
        <v>38.719714191687011</v>
      </c>
      <c r="K7" s="1">
        <f ca="1">'Total Trip Tables Sup #2'!K7*(1-'Other Assumptions'!O6)</f>
        <v>38.73732667772677</v>
      </c>
    </row>
    <row r="8" spans="1:11" x14ac:dyDescent="0.2">
      <c r="A8" t="str">
        <f ca="1">OFFSET(Northland_Reference,21,2)</f>
        <v>Light Vehicle Passenger</v>
      </c>
      <c r="B8" s="4">
        <f ca="1">'Total Trip Tables Sup #2'!B8</f>
        <v>50.299563868000014</v>
      </c>
      <c r="C8" s="4">
        <f ca="1">'Total Trip Tables Sup #2'!C8*(1-'Other Assumptions'!G6)</f>
        <v>51.350753460879559</v>
      </c>
      <c r="D8" s="4">
        <f ca="1">'Total Trip Tables Sup #2'!D8*(1-'Other Assumptions'!H6)</f>
        <v>51.627014969191229</v>
      </c>
      <c r="E8" s="4">
        <f ca="1">'Total Trip Tables Sup #2'!E8*(1-'Other Assumptions'!I6)</f>
        <v>43.85255607989793</v>
      </c>
      <c r="F8" s="4">
        <f ca="1">'Total Trip Tables Sup #2'!F8*(1-'Other Assumptions'!J6)</f>
        <v>35.847751234474735</v>
      </c>
      <c r="G8" s="4">
        <f ca="1">'Total Trip Tables Sup #2'!G8*(1-'Other Assumptions'!K6)</f>
        <v>27.758532897345955</v>
      </c>
      <c r="H8" s="4">
        <f ca="1">'Total Trip Tables Sup #2'!H8*(1-'Other Assumptions'!L6)</f>
        <v>19.769311210479884</v>
      </c>
      <c r="I8" s="1">
        <f ca="1">'Total Trip Tables Sup #2'!I8*(1-'Other Assumptions'!M6)</f>
        <v>19.876066257547137</v>
      </c>
      <c r="J8" s="1">
        <f ca="1">'Total Trip Tables Sup #2'!J8*(1-'Other Assumptions'!N6)</f>
        <v>19.923033771300069</v>
      </c>
      <c r="K8" s="1">
        <f ca="1">'Total Trip Tables Sup #2'!K8*(1-'Other Assumptions'!O6)</f>
        <v>19.927055173604149</v>
      </c>
    </row>
    <row r="9" spans="1:11" x14ac:dyDescent="0.2">
      <c r="A9" t="str">
        <f ca="1">OFFSET(Northland_Reference,28,2)</f>
        <v>Taxi/Vehicle Share</v>
      </c>
      <c r="B9" s="4">
        <f ca="1">'Total Trip Tables Sup #2'!B9</f>
        <v>0.18126348840000001</v>
      </c>
      <c r="C9" s="4">
        <f ca="1">'Total Trip Tables Sup #2'!C9+((C7+C8)*'Other Assumptions'!G6/(1-'Other Assumptions'!G6))</f>
        <v>0.2071017604252737</v>
      </c>
      <c r="D9" s="4">
        <f ca="1">'Total Trip Tables Sup #2'!D9+((D7+D8)*'Other Assumptions'!H6/(1-'Other Assumptions'!H6))</f>
        <v>0.22627311062763383</v>
      </c>
      <c r="E9" s="4">
        <f ca="1">'Total Trip Tables Sup #2'!E9+((E7+E8)*'Other Assumptions'!I6/(1-'Other Assumptions'!I6))</f>
        <v>22.51332687153738</v>
      </c>
      <c r="F9" s="4">
        <f ca="1">'Total Trip Tables Sup #2'!F9+((F7+F8)*'Other Assumptions'!J6/(1-'Other Assumptions'!J6))</f>
        <v>44.91786201534611</v>
      </c>
      <c r="G9" s="4">
        <f ca="1">'Total Trip Tables Sup #2'!G9+((G7+G8)*'Other Assumptions'!K6/(1-'Other Assumptions'!K6))</f>
        <v>66.738132930420576</v>
      </c>
      <c r="H9" s="4">
        <f ca="1">'Total Trip Tables Sup #2'!H9+((H7+H8)*'Other Assumptions'!L6/(1-'Other Assumptions'!L6))</f>
        <v>87.514011112594559</v>
      </c>
      <c r="I9" s="1">
        <f ca="1">'Total Trip Tables Sup #2'!I9+((I7+I8)*'Other Assumptions'!M6/(1-'Other Assumptions'!M6))</f>
        <v>87.99531822807532</v>
      </c>
      <c r="J9" s="1">
        <f ca="1">'Total Trip Tables Sup #2'!J9+((J7+J8)*'Other Assumptions'!N6/(1-'Other Assumptions'!N6))</f>
        <v>88.2179353958077</v>
      </c>
      <c r="K9" s="1">
        <f ca="1">'Total Trip Tables Sup #2'!K9+((K7+K8)*'Other Assumptions'!O6/(1-'Other Assumptions'!O6))</f>
        <v>88.250970950614075</v>
      </c>
    </row>
    <row r="10" spans="1:11" x14ac:dyDescent="0.2">
      <c r="A10" t="str">
        <f ca="1">OFFSET(Northland_Reference,35,2)</f>
        <v>Motorcyclist</v>
      </c>
      <c r="B10" s="4">
        <f ca="1">'Total Trip Tables Sup #2'!B10</f>
        <v>1.4141085707000001</v>
      </c>
      <c r="C10" s="4">
        <f ca="1">'Total Trip Tables Sup #2'!C10</f>
        <v>1.4614500441877745</v>
      </c>
      <c r="D10" s="4">
        <f ca="1">'Total Trip Tables Sup #2'!D10</f>
        <v>1.4810442647185096</v>
      </c>
      <c r="E10" s="4">
        <f ca="1">'Total Trip Tables Sup #2'!E10</f>
        <v>1.4715952763165139</v>
      </c>
      <c r="F10" s="4">
        <f ca="1">'Total Trip Tables Sup #2'!F10</f>
        <v>1.4407311809174226</v>
      </c>
      <c r="G10" s="4">
        <f ca="1">'Total Trip Tables Sup #2'!G10</f>
        <v>1.3777392131470905</v>
      </c>
      <c r="H10" s="4">
        <f ca="1">'Total Trip Tables Sup #2'!H10</f>
        <v>1.3044694437779496</v>
      </c>
      <c r="I10" s="1">
        <f ca="1">'Total Trip Tables Sup #2'!I10</f>
        <v>1.320040976794512</v>
      </c>
      <c r="J10" s="1">
        <f ca="1">'Total Trip Tables Sup #2'!J10</f>
        <v>1.3338742890034583</v>
      </c>
      <c r="K10" s="1">
        <f ca="1">'Total Trip Tables Sup #2'!K10</f>
        <v>1.3449406681767822</v>
      </c>
    </row>
    <row r="11" spans="1:11" x14ac:dyDescent="0.2">
      <c r="A11" t="str">
        <f ca="1">OFFSET(Auckland_Reference,42,2)</f>
        <v>Local Train</v>
      </c>
      <c r="B11" s="4">
        <f ca="1">'Total Trip Tables Sup #2'!B11</f>
        <v>0</v>
      </c>
      <c r="C11" s="4">
        <f ca="1">'Total Trip Tables Sup #2'!C11</f>
        <v>0</v>
      </c>
      <c r="D11" s="4">
        <f ca="1">'Total Trip Tables Sup #2'!D11</f>
        <v>0</v>
      </c>
      <c r="E11" s="4">
        <f ca="1">'Total Trip Tables Sup #2'!E11</f>
        <v>0</v>
      </c>
      <c r="F11" s="4">
        <f ca="1">'Total Trip Tables Sup #2'!F11</f>
        <v>0</v>
      </c>
      <c r="G11" s="4">
        <f ca="1">'Total Trip Tables Sup #2'!G11</f>
        <v>0</v>
      </c>
      <c r="H11" s="4">
        <f ca="1">'Total Trip Tables Sup #2'!H11</f>
        <v>0</v>
      </c>
      <c r="I11" s="1">
        <f ca="1">'Total Trip Tables Sup #2'!I11</f>
        <v>0</v>
      </c>
      <c r="J11" s="1">
        <f ca="1">'Total Trip Tables Sup #2'!J11</f>
        <v>0</v>
      </c>
      <c r="K11" s="1">
        <f ca="1">'Total Trip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Trip Tables Sup #2'!B12</f>
        <v>3.6339219343</v>
      </c>
      <c r="C12" s="4">
        <f ca="1">'Total Trip Tables Sup #2'!C12</f>
        <v>3.435838983901828</v>
      </c>
      <c r="D12" s="4">
        <f ca="1">'Total Trip Tables Sup #2'!D12</f>
        <v>3.473955575869534</v>
      </c>
      <c r="E12" s="4">
        <f ca="1">'Total Trip Tables Sup #2'!E12</f>
        <v>3.4485569733937558</v>
      </c>
      <c r="F12" s="4">
        <f ca="1">'Total Trip Tables Sup #2'!F12</f>
        <v>3.3990511955599891</v>
      </c>
      <c r="G12" s="4">
        <f ca="1">'Total Trip Tables Sup #2'!G12</f>
        <v>3.3703093568528111</v>
      </c>
      <c r="H12" s="4">
        <f ca="1">'Total Trip Tables Sup #2'!H12</f>
        <v>3.329946408633071</v>
      </c>
      <c r="I12" s="1">
        <f ca="1">'Total Trip Tables Sup #2'!I12</f>
        <v>3.350865472541555</v>
      </c>
      <c r="J12" s="1">
        <f ca="1">'Total Trip Tables Sup #2'!J12</f>
        <v>3.3621154677874312</v>
      </c>
      <c r="K12" s="1">
        <f ca="1">'Total Trip Tables Sup #2'!K12</f>
        <v>3.3661230401756987</v>
      </c>
    </row>
    <row r="13" spans="1:11" x14ac:dyDescent="0.2">
      <c r="A13" t="str">
        <f ca="1">OFFSET(Northland_Reference,49,2)</f>
        <v>Local Ferry</v>
      </c>
      <c r="B13" s="4">
        <f ca="1">'Total Trip Tables Sup #2'!B13</f>
        <v>4.69171767E-2</v>
      </c>
      <c r="C13" s="4">
        <f ca="1">'Total Trip Tables Sup #2'!C13</f>
        <v>5.4609523723570891E-2</v>
      </c>
      <c r="D13" s="4">
        <f ca="1">'Total Trip Tables Sup #2'!D13</f>
        <v>5.4963937763998952E-2</v>
      </c>
      <c r="E13" s="4">
        <f ca="1">'Total Trip Tables Sup #2'!E13</f>
        <v>5.5282127998705043E-2</v>
      </c>
      <c r="F13" s="4">
        <f ca="1">'Total Trip Tables Sup #2'!F13</f>
        <v>5.4356070840652672E-2</v>
      </c>
      <c r="G13" s="4">
        <f ca="1">'Total Trip Tables Sup #2'!G13</f>
        <v>5.4135290633609945E-2</v>
      </c>
      <c r="H13" s="4">
        <f ca="1">'Total Trip Tables Sup #2'!H13</f>
        <v>5.2974910949397477E-2</v>
      </c>
      <c r="I13" s="1">
        <f ca="1">'Total Trip Tables Sup #2'!I13</f>
        <v>5.2444966107047165E-2</v>
      </c>
      <c r="J13" s="1">
        <f ca="1">'Total Trip Tables Sup #2'!J13</f>
        <v>5.1545664965584541E-2</v>
      </c>
      <c r="K13" s="1">
        <f ca="1">'Total Trip Tables Sup #2'!K13</f>
        <v>5.0573758813643246E-2</v>
      </c>
    </row>
    <row r="14" spans="1:11" x14ac:dyDescent="0.2">
      <c r="A14" t="str">
        <f ca="1">OFFSET(Northland_Reference,56,2)</f>
        <v>Other Household Travel</v>
      </c>
      <c r="B14" s="4">
        <f ca="1">'Total Trip Tables Sup #2'!B14</f>
        <v>0.1184310407</v>
      </c>
      <c r="C14" s="4">
        <f ca="1">'Total Trip Tables Sup #2'!C14</f>
        <v>0.12511134370718047</v>
      </c>
      <c r="D14" s="4">
        <f ca="1">'Total Trip Tables Sup #2'!D14</f>
        <v>0.13069288578317076</v>
      </c>
      <c r="E14" s="4">
        <f ca="1">'Total Trip Tables Sup #2'!E14</f>
        <v>0.13272272281858344</v>
      </c>
      <c r="F14" s="4">
        <f ca="1">'Total Trip Tables Sup #2'!F14</f>
        <v>0.13242993124995073</v>
      </c>
      <c r="G14" s="4">
        <f ca="1">'Total Trip Tables Sup #2'!G14</f>
        <v>0.13024790329401661</v>
      </c>
      <c r="H14" s="4">
        <f ca="1">'Total Trip Tables Sup #2'!H14</f>
        <v>0.12532716843410227</v>
      </c>
      <c r="I14" s="1">
        <f ca="1">'Total Trip Tables Sup #2'!I14</f>
        <v>0.12616466554872321</v>
      </c>
      <c r="J14" s="1">
        <f ca="1">'Total Trip Tables Sup #2'!J14</f>
        <v>0.12666657795166106</v>
      </c>
      <c r="K14" s="1">
        <f ca="1">'Total Trip Tables Sup #2'!K14</f>
        <v>0.12689429567629867</v>
      </c>
    </row>
    <row r="15" spans="1:11" x14ac:dyDescent="0.2">
      <c r="A15" t="str">
        <f ca="1">OFFSET(Auckland_Reference,0,0)</f>
        <v>02 AUCKLAND</v>
      </c>
      <c r="B15" s="4">
        <f ca="1">SUM(B16:B25)</f>
        <v>1882.0466248072</v>
      </c>
      <c r="C15" s="4">
        <f t="shared" ref="C15" ca="1" si="2">SUM(C16:C25)</f>
        <v>2183.3805459197051</v>
      </c>
      <c r="D15" s="4">
        <f t="shared" ref="D15" ca="1" si="3">SUM(D16:D25)</f>
        <v>2405.4405124958685</v>
      </c>
      <c r="E15" s="4">
        <f t="shared" ref="E15" ca="1" si="4">SUM(E16:E25)</f>
        <v>2607.8749030270665</v>
      </c>
      <c r="F15" s="4">
        <f t="shared" ref="F15" ca="1" si="5">SUM(F16:F25)</f>
        <v>2787.8399195056904</v>
      </c>
      <c r="G15" s="4">
        <f t="shared" ref="G15" ca="1" si="6">SUM(G16:G25)</f>
        <v>2947.2207366235848</v>
      </c>
      <c r="H15" s="4">
        <f t="shared" ref="H15:K15" ca="1" si="7">SUM(H16:H25)</f>
        <v>3086.874632310678</v>
      </c>
      <c r="I15" s="1">
        <f t="shared" ca="1" si="7"/>
        <v>3256.7848696266938</v>
      </c>
      <c r="J15" s="1">
        <f t="shared" ca="1" si="7"/>
        <v>3474.0753523482367</v>
      </c>
      <c r="K15" s="1">
        <f t="shared" ca="1" si="7"/>
        <v>3701.244764434608</v>
      </c>
    </row>
    <row r="16" spans="1:11" x14ac:dyDescent="0.2">
      <c r="A16" t="str">
        <f ca="1">OFFSET(Auckland_Reference,0,2)</f>
        <v>Pedestrian</v>
      </c>
      <c r="B16" s="4">
        <f ca="1">'Total Trip Tables Sup #2'!B16</f>
        <v>324.81096006000001</v>
      </c>
      <c r="C16" s="4">
        <f ca="1">'Total Trip Tables Sup #2'!C16+'Total Trip Tables Sup #2'!C18*'Other Assumptions'!G66*'Other Assumptions'!G73+'Total Trip Tables Sup #2'!C19*'Other Assumptions'!G66*'Other Assumptions'!G73</f>
        <v>370.74254889918018</v>
      </c>
      <c r="D16" s="4">
        <f ca="1">'Total Trip Tables Sup #2'!D16+'Total Trip Tables Sup #2'!D18*'Other Assumptions'!H66*'Other Assumptions'!H73+'Total Trip Tables Sup #2'!D19*'Other Assumptions'!H66*'Other Assumptions'!H73</f>
        <v>412.47340282296892</v>
      </c>
      <c r="E16" s="4">
        <f ca="1">'Total Trip Tables Sup #2'!E16+'Total Trip Tables Sup #2'!E18*'Other Assumptions'!I66*'Other Assumptions'!I73+'Total Trip Tables Sup #2'!E19*'Other Assumptions'!I66*'Other Assumptions'!I73</f>
        <v>445.56137916925843</v>
      </c>
      <c r="F16" s="4">
        <f ca="1">'Total Trip Tables Sup #2'!F16+'Total Trip Tables Sup #2'!F18*'Other Assumptions'!J66*'Other Assumptions'!J73+'Total Trip Tables Sup #2'!F19*'Other Assumptions'!J66*'Other Assumptions'!J73</f>
        <v>475.20426571255229</v>
      </c>
      <c r="G16" s="4">
        <f ca="1">'Total Trip Tables Sup #2'!G16+'Total Trip Tables Sup #2'!G18*'Other Assumptions'!K66*'Other Assumptions'!K73+'Total Trip Tables Sup #2'!G19*'Other Assumptions'!K66*'Other Assumptions'!K73</f>
        <v>503.43852256202001</v>
      </c>
      <c r="H16" s="4">
        <f ca="1">'Total Trip Tables Sup #2'!H16+'Total Trip Tables Sup #2'!H18*'Other Assumptions'!L66*'Other Assumptions'!L73+'Total Trip Tables Sup #2'!H19*'Other Assumptions'!L66*'Other Assumptions'!L73</f>
        <v>528.81296873823953</v>
      </c>
      <c r="I16" s="1">
        <f ca="1">'Total Trip Tables Sup #2'!I16+'Total Trip Tables Sup #2'!I18*'Other Assumptions'!M66*'Other Assumptions'!M73+'Total Trip Tables Sup #2'!I19*'Other Assumptions'!M66*'Other Assumptions'!M73</f>
        <v>557.89479599798574</v>
      </c>
      <c r="J16" s="1">
        <f ca="1">'Total Trip Tables Sup #2'!J16+'Total Trip Tables Sup #2'!J18*'Other Assumptions'!N66*'Other Assumptions'!N73+'Total Trip Tables Sup #2'!J19*'Other Assumptions'!N66*'Other Assumptions'!N73</f>
        <v>595.13183848701226</v>
      </c>
      <c r="K16" s="1">
        <f ca="1">'Total Trip Tables Sup #2'!K16+'Total Trip Tables Sup #2'!K18*'Other Assumptions'!O66*'Other Assumptions'!O73+'Total Trip Tables Sup #2'!K19*'Other Assumptions'!O66*'Other Assumptions'!O73</f>
        <v>633.97828712772264</v>
      </c>
    </row>
    <row r="17" spans="1:11" x14ac:dyDescent="0.2">
      <c r="A17" t="str">
        <f ca="1">OFFSET(Auckland_Reference,7,2)</f>
        <v>Cyclist</v>
      </c>
      <c r="B17" s="4">
        <f ca="1">'Total Trip Tables Sup #2'!B17</f>
        <v>7.0506319707999996</v>
      </c>
      <c r="C17" s="4">
        <f ca="1">'Total Trip Tables Sup #2'!C17+'Total Trip Tables Sup #2'!C18*'Other Assumptions'!G66*'Other Assumptions'!G72+'Total Trip Tables Sup #2'!C19*'Other Assumptions'!G66*'Other Assumptions'!G72</f>
        <v>7.8724204297762626</v>
      </c>
      <c r="D17" s="4">
        <f ca="1">'Total Trip Tables Sup #2'!D17+'Total Trip Tables Sup #2'!D18*'Other Assumptions'!H66*'Other Assumptions'!H72+'Total Trip Tables Sup #2'!D19*'Other Assumptions'!H66*'Other Assumptions'!H72</f>
        <v>9.6852531775488426</v>
      </c>
      <c r="E17" s="4">
        <f ca="1">'Total Trip Tables Sup #2'!E17+'Total Trip Tables Sup #2'!E18*'Other Assumptions'!I66*'Other Assumptions'!I72+'Total Trip Tables Sup #2'!E19*'Other Assumptions'!I66*'Other Assumptions'!I72</f>
        <v>11.175940932995614</v>
      </c>
      <c r="F17" s="4">
        <f ca="1">'Total Trip Tables Sup #2'!F17+'Total Trip Tables Sup #2'!F18*'Other Assumptions'!J66*'Other Assumptions'!J72+'Total Trip Tables Sup #2'!F19*'Other Assumptions'!J66*'Other Assumptions'!J72</f>
        <v>12.787604070114384</v>
      </c>
      <c r="G17" s="4">
        <f ca="1">'Total Trip Tables Sup #2'!G17+'Total Trip Tables Sup #2'!G18*'Other Assumptions'!K66*'Other Assumptions'!K72+'Total Trip Tables Sup #2'!G19*'Other Assumptions'!K66*'Other Assumptions'!K72</f>
        <v>14.513254675723211</v>
      </c>
      <c r="H17" s="4">
        <f ca="1">'Total Trip Tables Sup #2'!H17+'Total Trip Tables Sup #2'!H18*'Other Assumptions'!L66*'Other Assumptions'!L72+'Total Trip Tables Sup #2'!H19*'Other Assumptions'!L66*'Other Assumptions'!L72</f>
        <v>16.340062306585715</v>
      </c>
      <c r="I17" s="1">
        <f ca="1">'Total Trip Tables Sup #2'!I17+'Total Trip Tables Sup #2'!I18*'Other Assumptions'!M66*'Other Assumptions'!M72+'Total Trip Tables Sup #2'!I19*'Other Assumptions'!M66*'Other Assumptions'!M72</f>
        <v>17.357578283439491</v>
      </c>
      <c r="J17" s="1">
        <f ca="1">'Total Trip Tables Sup #2'!J17+'Total Trip Tables Sup #2'!J18*'Other Assumptions'!N66*'Other Assumptions'!N72+'Total Trip Tables Sup #2'!J19*'Other Assumptions'!N66*'Other Assumptions'!N72</f>
        <v>18.698490935623557</v>
      </c>
      <c r="K17" s="1">
        <f ca="1">'Total Trip Tables Sup #2'!K17+'Total Trip Tables Sup #2'!K18*'Other Assumptions'!O66*'Other Assumptions'!O72+'Total Trip Tables Sup #2'!K19*'Other Assumptions'!O66*'Other Assumptions'!O72</f>
        <v>20.120535942740723</v>
      </c>
    </row>
    <row r="18" spans="1:11" x14ac:dyDescent="0.2">
      <c r="A18" t="str">
        <f ca="1">OFFSET(Auckland_Reference,14,2)</f>
        <v>Light Vehicle Driver</v>
      </c>
      <c r="B18" s="4">
        <f ca="1">'Total Trip Tables Sup #2'!B18</f>
        <v>981.24355252999999</v>
      </c>
      <c r="C18" s="4">
        <f ca="1">'Total Trip Tables Sup #2'!C18*(1-'Other Assumptions'!G7)*(1-'Other Assumptions'!G66)</f>
        <v>1150.0543805654011</v>
      </c>
      <c r="D18" s="4">
        <f ca="1">'Total Trip Tables Sup #2'!D18*(1-'Other Assumptions'!H7)*(1-'Other Assumptions'!H66)</f>
        <v>1267.8777972080238</v>
      </c>
      <c r="E18" s="4">
        <f ca="1">'Total Trip Tables Sup #2'!E18*(1-'Other Assumptions'!I7)*(1-'Other Assumptions'!I66)</f>
        <v>1172.9489513776989</v>
      </c>
      <c r="F18" s="4">
        <f ca="1">'Total Trip Tables Sup #2'!F18*(1-'Other Assumptions'!J7)*(1-'Other Assumptions'!J66)</f>
        <v>1038.9031610910827</v>
      </c>
      <c r="G18" s="4">
        <f ca="1">'Total Trip Tables Sup #2'!G18*(1-'Other Assumptions'!K7)*(1-'Other Assumptions'!K66)</f>
        <v>865.51102116958998</v>
      </c>
      <c r="H18" s="4">
        <f ca="1">'Total Trip Tables Sup #2'!H18*(1-'Other Assumptions'!L7)*(1-'Other Assumptions'!L66)</f>
        <v>660.70306762281734</v>
      </c>
      <c r="I18" s="1">
        <f ca="1">'Total Trip Tables Sup #2'!I18*(1-'Other Assumptions'!M7)*(1-'Other Assumptions'!M66)</f>
        <v>695.55876543292379</v>
      </c>
      <c r="J18" s="1">
        <f ca="1">'Total Trip Tables Sup #2'!J18*(1-'Other Assumptions'!N7)*(1-'Other Assumptions'!N66)</f>
        <v>740.21874806629307</v>
      </c>
      <c r="K18" s="1">
        <f ca="1">'Total Trip Tables Sup #2'!K18*(1-'Other Assumptions'!O7)*(1-'Other Assumptions'!O66)</f>
        <v>786.58728045488101</v>
      </c>
    </row>
    <row r="19" spans="1:11" x14ac:dyDescent="0.2">
      <c r="A19" t="str">
        <f ca="1">OFFSET(Auckland_Reference,21,2)</f>
        <v>Light Vehicle Passenger</v>
      </c>
      <c r="B19" s="4">
        <f ca="1">'Total Trip Tables Sup #2'!B19</f>
        <v>488.06073575000011</v>
      </c>
      <c r="C19" s="4">
        <f ca="1">'Total Trip Tables Sup #2'!C19*(1-'Other Assumptions'!G7)*(1-'Other Assumptions'!G66+'Other Assumptions'!G66*'Other Assumptions'!G69)+'Total Trip Tables Sup #2'!C18*(1-'Other Assumptions'!G7)*'Other Assumptions'!G66*'Other Assumptions'!G69</f>
        <v>541.60602308701641</v>
      </c>
      <c r="D19" s="4">
        <f ca="1">'Total Trip Tables Sup #2'!D19*(1-'Other Assumptions'!H7)*(1-'Other Assumptions'!H66+'Other Assumptions'!H66*'Other Assumptions'!H69)+'Total Trip Tables Sup #2'!D18*(1-'Other Assumptions'!H7)*'Other Assumptions'!H66*'Other Assumptions'!H69</f>
        <v>581.71900226596358</v>
      </c>
      <c r="E19" s="4">
        <f ca="1">'Total Trip Tables Sup #2'!E19*(1-'Other Assumptions'!I7)*(1-'Other Assumptions'!I66+'Other Assumptions'!I66*'Other Assumptions'!I69)+'Total Trip Tables Sup #2'!E18*(1-'Other Assumptions'!I7)*'Other Assumptions'!I66*'Other Assumptions'!I69</f>
        <v>524.34804746897396</v>
      </c>
      <c r="F19" s="4">
        <f ca="1">'Total Trip Tables Sup #2'!F19*(1-'Other Assumptions'!J7)*(1-'Other Assumptions'!J66+'Other Assumptions'!J66*'Other Assumptions'!J69)+'Total Trip Tables Sup #2'!F18*(1-'Other Assumptions'!J7)*'Other Assumptions'!J66*'Other Assumptions'!J69</f>
        <v>455.67509451031486</v>
      </c>
      <c r="G19" s="4">
        <f ca="1">'Total Trip Tables Sup #2'!G19*(1-'Other Assumptions'!K7)*(1-'Other Assumptions'!K66+'Other Assumptions'!K66*'Other Assumptions'!K69)+'Total Trip Tables Sup #2'!G18*(1-'Other Assumptions'!K7)*'Other Assumptions'!K66*'Other Assumptions'!K69</f>
        <v>374.42070511627827</v>
      </c>
      <c r="H19" s="4">
        <f ca="1">'Total Trip Tables Sup #2'!H19*(1-'Other Assumptions'!L7)*(1-'Other Assumptions'!L66+'Other Assumptions'!L66*'Other Assumptions'!L69)+'Total Trip Tables Sup #2'!H18*(1-'Other Assumptions'!L7)*'Other Assumptions'!L66*'Other Assumptions'!L69</f>
        <v>282.59276408423324</v>
      </c>
      <c r="I19" s="1">
        <f ca="1">'Total Trip Tables Sup #2'!I19*(1-'Other Assumptions'!M7)*(1-'Other Assumptions'!M66+'Other Assumptions'!M66*'Other Assumptions'!M69)+'Total Trip Tables Sup #2'!I18*(1-'Other Assumptions'!M7)*'Other Assumptions'!M66*'Other Assumptions'!M69</f>
        <v>296.92795993743806</v>
      </c>
      <c r="J19" s="1">
        <f ca="1">'Total Trip Tables Sup #2'!J19*(1-'Other Assumptions'!N7)*(1-'Other Assumptions'!N66+'Other Assumptions'!N66*'Other Assumptions'!N69)+'Total Trip Tables Sup #2'!J18*(1-'Other Assumptions'!N7)*'Other Assumptions'!N66*'Other Assumptions'!N69</f>
        <v>315.44403675940765</v>
      </c>
      <c r="K19" s="1">
        <f ca="1">'Total Trip Tables Sup #2'!K19*(1-'Other Assumptions'!O7)*(1-'Other Assumptions'!O66+'Other Assumptions'!O66*'Other Assumptions'!O69)+'Total Trip Tables Sup #2'!K18*(1-'Other Assumptions'!O7)*'Other Assumptions'!O66*'Other Assumptions'!O69</f>
        <v>334.58286636416693</v>
      </c>
    </row>
    <row r="20" spans="1:11" x14ac:dyDescent="0.2">
      <c r="A20" t="str">
        <f ca="1">OFFSET(Auckland_Reference,28,2)</f>
        <v>Taxi/Vehicle Share</v>
      </c>
      <c r="B20" s="4">
        <f ca="1">'Total Trip Tables Sup #2'!B20</f>
        <v>6.0232688673999997</v>
      </c>
      <c r="C20" s="4">
        <f ca="1">'Total Trip Tables Sup #2'!C20+((C18+C19)*'Other Assumptions'!G7/(1-'Other Assumptions'!G7))</f>
        <v>7.5534536421503109</v>
      </c>
      <c r="D20" s="4">
        <f ca="1">'Total Trip Tables Sup #2'!D20+((D18+D19)*'Other Assumptions'!H7/(1-'Other Assumptions'!H7))</f>
        <v>8.9107741176253707</v>
      </c>
      <c r="E20" s="4">
        <f ca="1">'Total Trip Tables Sup #2'!E20+((E18+E19)*'Other Assumptions'!I7/(1-'Other Assumptions'!I7))</f>
        <v>309.58593071480436</v>
      </c>
      <c r="F20" s="4">
        <f ca="1">'Total Trip Tables Sup #2'!F20+((F18+F19)*'Other Assumptions'!J7/(1-'Other Assumptions'!J7))</f>
        <v>651.64666934632078</v>
      </c>
      <c r="G20" s="4">
        <f ca="1">'Total Trip Tables Sup #2'!G20+((G18+G19)*'Other Assumptions'!K7/(1-'Other Assumptions'!K7))</f>
        <v>1026.5168980910419</v>
      </c>
      <c r="H20" s="4">
        <f ca="1">'Total Trip Tables Sup #2'!H20+((H18+H19)*'Other Assumptions'!L7/(1-'Other Assumptions'!L7))</f>
        <v>1427.8057958791035</v>
      </c>
      <c r="I20" s="1">
        <f ca="1">'Total Trip Tables Sup #2'!I20+((I18+I19)*'Other Assumptions'!M7/(1-'Other Assumptions'!M7))</f>
        <v>1502.3080736370118</v>
      </c>
      <c r="J20" s="1">
        <f ca="1">'Total Trip Tables Sup #2'!J20+((J18+J19)*'Other Assumptions'!N7/(1-'Other Assumptions'!N7))</f>
        <v>1597.9866424183517</v>
      </c>
      <c r="K20" s="1">
        <f ca="1">'Total Trip Tables Sup #2'!K20+((K18+K19)*'Other Assumptions'!O7/(1-'Other Assumptions'!O7))</f>
        <v>1697.2020749324752</v>
      </c>
    </row>
    <row r="21" spans="1:11" x14ac:dyDescent="0.2">
      <c r="A21" t="str">
        <f ca="1">OFFSET(Auckland_Reference,35,2)</f>
        <v>Motorcyclist</v>
      </c>
      <c r="B21" s="4">
        <f ca="1">'Total Trip Tables Sup #2'!B21</f>
        <v>4.1170216905999997</v>
      </c>
      <c r="C21" s="4">
        <f ca="1">'Total Trip Tables Sup #2'!C21</f>
        <v>4.6700791046970433</v>
      </c>
      <c r="D21" s="4">
        <f ca="1">'Total Trip Tables Sup #2'!D21</f>
        <v>5.1100954326988317</v>
      </c>
      <c r="E21" s="4">
        <f ca="1">'Total Trip Tables Sup #2'!E21</f>
        <v>5.4370726204965774</v>
      </c>
      <c r="F21" s="4">
        <f ca="1">'Total Trip Tables Sup #2'!F21</f>
        <v>5.6905966846882139</v>
      </c>
      <c r="G21" s="4">
        <f ca="1">'Total Trip Tables Sup #2'!G21</f>
        <v>5.8061166938371835</v>
      </c>
      <c r="H21" s="4">
        <f ca="1">'Total Trip Tables Sup #2'!H21</f>
        <v>5.8582426343164844</v>
      </c>
      <c r="I21" s="1">
        <f ca="1">'Total Trip Tables Sup #2'!I21</f>
        <v>6.2147191517621874</v>
      </c>
      <c r="J21" s="1">
        <f ca="1">'Total Trip Tables Sup #2'!J21</f>
        <v>6.6729983429063999</v>
      </c>
      <c r="K21" s="1">
        <f ca="1">'Total Trip Tables Sup #2'!K21</f>
        <v>7.1549677895273227</v>
      </c>
    </row>
    <row r="22" spans="1:11" x14ac:dyDescent="0.2">
      <c r="A22" t="str">
        <f ca="1">OFFSET(Auckland_Reference,42,2)</f>
        <v>Local Train</v>
      </c>
      <c r="B22" s="4">
        <f ca="1">'Total Trip Tables Sup #2'!B22</f>
        <v>10.038805999999999</v>
      </c>
      <c r="C22" s="4">
        <f ca="1">'Total Trip Tables Sup #2'!C22+'Total Trip Tables Sup #2'!C18*'Other Assumptions'!G66*'Other Assumptions'!G71+'Total Trip Tables Sup #2'!C19*'Other Assumptions'!G66*'Other Assumptions'!G71</f>
        <v>24.297567354030122</v>
      </c>
      <c r="D22" s="4">
        <f ca="1">'Total Trip Tables Sup #2'!D22+'Total Trip Tables Sup #2'!D18*'Other Assumptions'!H66*'Other Assumptions'!H71+'Total Trip Tables Sup #2'!D19*'Other Assumptions'!H66*'Other Assumptions'!H71</f>
        <v>39.591293528813175</v>
      </c>
      <c r="E22" s="4">
        <f ca="1">'Total Trip Tables Sup #2'!E22+'Total Trip Tables Sup #2'!E18*'Other Assumptions'!I66*'Other Assumptions'!I71+'Total Trip Tables Sup #2'!E19*'Other Assumptions'!I66*'Other Assumptions'!I71</f>
        <v>55.011028067654195</v>
      </c>
      <c r="F22" s="4">
        <f ca="1">'Total Trip Tables Sup #2'!F22+'Total Trip Tables Sup #2'!F18*'Other Assumptions'!J66*'Other Assumptions'!J71+'Total Trip Tables Sup #2'!F19*'Other Assumptions'!J66*'Other Assumptions'!J71</f>
        <v>61.180139371093482</v>
      </c>
      <c r="G22" s="4">
        <f ca="1">'Total Trip Tables Sup #2'!G22+'Total Trip Tables Sup #2'!G18*'Other Assumptions'!K66*'Other Assumptions'!K71+'Total Trip Tables Sup #2'!G19*'Other Assumptions'!K66*'Other Assumptions'!K71</f>
        <v>67.312100577564223</v>
      </c>
      <c r="H22" s="4">
        <f ca="1">'Total Trip Tables Sup #2'!H22+'Total Trip Tables Sup #2'!H18*'Other Assumptions'!L66*'Other Assumptions'!L71+'Total Trip Tables Sup #2'!H19*'Other Assumptions'!L66*'Other Assumptions'!L71</f>
        <v>73.025836615116674</v>
      </c>
      <c r="I22" s="1">
        <f ca="1">'Total Trip Tables Sup #2'!I22+'Total Trip Tables Sup #2'!I18*'Other Assumptions'!M66*'Other Assumptions'!M71+'Total Trip Tables Sup #2'!I19*'Other Assumptions'!M66*'Other Assumptions'!M71</f>
        <v>81.338052560075994</v>
      </c>
      <c r="J22" s="1">
        <f ca="1">'Total Trip Tables Sup #2'!J22+'Total Trip Tables Sup #2'!J18*'Other Assumptions'!N66*'Other Assumptions'!N71+'Total Trip Tables Sup #2'!J19*'Other Assumptions'!N66*'Other Assumptions'!N71</f>
        <v>91.484713472842259</v>
      </c>
      <c r="K22" s="1">
        <f ca="1">'Total Trip Tables Sup #2'!K22+'Total Trip Tables Sup #2'!K18*'Other Assumptions'!O66*'Other Assumptions'!O71+'Total Trip Tables Sup #2'!K19*'Other Assumptions'!O66*'Other Assumptions'!O71</f>
        <v>102.97450541562043</v>
      </c>
    </row>
    <row r="23" spans="1:11" x14ac:dyDescent="0.2">
      <c r="A23" t="str">
        <f ca="1">OFFSET(Auckland_Reference,49,2)</f>
        <v>Local Bus</v>
      </c>
      <c r="B23" s="4">
        <f ca="1">'Total Trip Tables Sup #2'!B23</f>
        <v>53.530078000000003</v>
      </c>
      <c r="C23" s="4">
        <f ca="1">'Total Trip Tables Sup #2'!C23+'Total Trip Tables Sup #2'!C18*'Other Assumptions'!G66*'Other Assumptions'!G70+'Total Trip Tables Sup #2'!C19*'Other Assumptions'!G66*'Other Assumptions'!G70</f>
        <v>67.683478267931406</v>
      </c>
      <c r="D23" s="4">
        <f ca="1">'Total Trip Tables Sup #2'!D23+'Total Trip Tables Sup #2'!D18*'Other Assumptions'!H66*'Other Assumptions'!H70+'Total Trip Tables Sup #2'!D19*'Other Assumptions'!H66*'Other Assumptions'!H70</f>
        <v>70.294466567839109</v>
      </c>
      <c r="E23" s="4">
        <f ca="1">'Total Trip Tables Sup #2'!E23+'Total Trip Tables Sup #2'!E18*'Other Assumptions'!I66*'Other Assumptions'!I70+'Total Trip Tables Sup #2'!E19*'Other Assumptions'!I66*'Other Assumptions'!I70</f>
        <v>73.244803381958732</v>
      </c>
      <c r="F23" s="4">
        <f ca="1">'Total Trip Tables Sup #2'!F23+'Total Trip Tables Sup #2'!F18*'Other Assumptions'!J66*'Other Assumptions'!J70+'Total Trip Tables Sup #2'!F19*'Other Assumptions'!J66*'Other Assumptions'!J70</f>
        <v>75.601516628567552</v>
      </c>
      <c r="G23" s="4">
        <f ca="1">'Total Trip Tables Sup #2'!G23+'Total Trip Tables Sup #2'!G18*'Other Assumptions'!K66*'Other Assumptions'!K70+'Total Trip Tables Sup #2'!G19*'Other Assumptions'!K66*'Other Assumptions'!K70</f>
        <v>77.897524741730678</v>
      </c>
      <c r="H23" s="4">
        <f ca="1">'Total Trip Tables Sup #2'!H23+'Total Trip Tables Sup #2'!H18*'Other Assumptions'!L66*'Other Assumptions'!L70+'Total Trip Tables Sup #2'!H19*'Other Assumptions'!L66*'Other Assumptions'!L70</f>
        <v>79.487371863037581</v>
      </c>
      <c r="I23" s="1">
        <f ca="1">'Total Trip Tables Sup #2'!I23+'Total Trip Tables Sup #2'!I18*'Other Assumptions'!M66*'Other Assumptions'!M70+'Total Trip Tables Sup #2'!I19*'Other Assumptions'!M66*'Other Assumptions'!M70</f>
        <v>86.409572356760336</v>
      </c>
      <c r="J23" s="1">
        <f ca="1">'Total Trip Tables Sup #2'!J23+'Total Trip Tables Sup #2'!J18*'Other Assumptions'!N66*'Other Assumptions'!N70+'Total Trip Tables Sup #2'!J19*'Other Assumptions'!N66*'Other Assumptions'!N70</f>
        <v>95.009867236065148</v>
      </c>
      <c r="K23" s="1">
        <f ca="1">'Total Trip Tables Sup #2'!K23+'Total Trip Tables Sup #2'!K18*'Other Assumptions'!O66*'Other Assumptions'!O70+'Total Trip Tables Sup #2'!K19*'Other Assumptions'!O66*'Other Assumptions'!O70</f>
        <v>104.54469188596528</v>
      </c>
    </row>
    <row r="24" spans="1:11" x14ac:dyDescent="0.2">
      <c r="A24" t="str">
        <f ca="1">OFFSET(Auckland_Reference,56,2)</f>
        <v>Local Ferry</v>
      </c>
      <c r="B24" s="4">
        <f ca="1">'Total Trip Tables Sup #2'!B24</f>
        <v>4.957052</v>
      </c>
      <c r="C24" s="4">
        <f ca="1">'Total Trip Tables Sup #2'!C24</f>
        <v>6.3328595328886852</v>
      </c>
      <c r="D24" s="4">
        <f ca="1">'Total Trip Tables Sup #2'!D24</f>
        <v>6.8822432004611338</v>
      </c>
      <c r="E24" s="4">
        <f ca="1">'Total Trip Tables Sup #2'!E24</f>
        <v>7.4122951620644546</v>
      </c>
      <c r="F24" s="4">
        <f ca="1">'Total Trip Tables Sup #2'!F24</f>
        <v>7.7913750647633631</v>
      </c>
      <c r="G24" s="4">
        <f ca="1">'Total Trip Tables Sup #2'!G24</f>
        <v>8.279238958769449</v>
      </c>
      <c r="H24" s="4">
        <f ca="1">'Total Trip Tables Sup #2'!H24</f>
        <v>8.6336588515655954</v>
      </c>
      <c r="I24" s="1">
        <f ca="1">'Total Trip Tables Sup #2'!I24</f>
        <v>8.9604352867731478</v>
      </c>
      <c r="J24" s="1">
        <f ca="1">'Total Trip Tables Sup #2'!J24</f>
        <v>9.3581384536754726</v>
      </c>
      <c r="K24" s="1">
        <f ca="1">'Total Trip Tables Sup #2'!K24</f>
        <v>9.7638476480868004</v>
      </c>
    </row>
    <row r="25" spans="1:11" x14ac:dyDescent="0.2">
      <c r="A25" t="str">
        <f ca="1">OFFSET(Auckland_Reference,63,2)</f>
        <v>Other Household Travel</v>
      </c>
      <c r="B25" s="4">
        <f ca="1">'Total Trip Tables Sup #2'!B25</f>
        <v>2.2145179384000002</v>
      </c>
      <c r="C25" s="4">
        <f ca="1">'Total Trip Tables Sup #2'!C25</f>
        <v>2.5677350366341192</v>
      </c>
      <c r="D25" s="4">
        <f ca="1">'Total Trip Tables Sup #2'!D25</f>
        <v>2.8961841739251777</v>
      </c>
      <c r="E25" s="4">
        <f ca="1">'Total Trip Tables Sup #2'!E25</f>
        <v>3.1494541311616699</v>
      </c>
      <c r="F25" s="4">
        <f ca="1">'Total Trip Tables Sup #2'!F25</f>
        <v>3.3594970261928139</v>
      </c>
      <c r="G25" s="4">
        <f ca="1">'Total Trip Tables Sup #2'!G25</f>
        <v>3.5253540370299534</v>
      </c>
      <c r="H25" s="4">
        <f ca="1">'Total Trip Tables Sup #2'!H25</f>
        <v>3.6148637156629366</v>
      </c>
      <c r="I25" s="1">
        <f ca="1">'Total Trip Tables Sup #2'!I25</f>
        <v>3.8149169825234761</v>
      </c>
      <c r="J25" s="1">
        <f ca="1">'Total Trip Tables Sup #2'!J25</f>
        <v>4.0698781760592517</v>
      </c>
      <c r="K25" s="1">
        <f ca="1">'Total Trip Tables Sup #2'!K25</f>
        <v>4.3357068734211293</v>
      </c>
    </row>
    <row r="26" spans="1:11" x14ac:dyDescent="0.2">
      <c r="A26" t="str">
        <f ca="1">OFFSET(Waikato_Reference,0,0)</f>
        <v>03 WAIKATO</v>
      </c>
      <c r="B26" s="4">
        <f ca="1">SUM(B27:B36)</f>
        <v>529.4809706353002</v>
      </c>
      <c r="C26" s="4">
        <f t="shared" ref="C26" ca="1" si="8">SUM(C27:C36)</f>
        <v>611.90285683627201</v>
      </c>
      <c r="D26" s="4">
        <f t="shared" ref="D26" ca="1" si="9">SUM(D27:D36)</f>
        <v>675.33608972575507</v>
      </c>
      <c r="E26" s="4">
        <f t="shared" ref="E26" ca="1" si="10">SUM(E27:E36)</f>
        <v>733.0161681390108</v>
      </c>
      <c r="F26" s="4">
        <f t="shared" ref="F26" ca="1" si="11">SUM(F27:F36)</f>
        <v>786.17841024454424</v>
      </c>
      <c r="G26" s="4">
        <f t="shared" ref="G26" ca="1" si="12">SUM(G27:G36)</f>
        <v>833.34156064400167</v>
      </c>
      <c r="H26" s="4">
        <f t="shared" ref="H26:K26" ca="1" si="13">SUM(H27:H36)</f>
        <v>875.25724319473409</v>
      </c>
      <c r="I26" s="1">
        <f t="shared" ca="1" si="13"/>
        <v>922.86970206188278</v>
      </c>
      <c r="J26" s="1">
        <f t="shared" ca="1" si="13"/>
        <v>983.52145270537903</v>
      </c>
      <c r="K26" s="1">
        <f t="shared" ca="1" si="13"/>
        <v>1046.7040529629157</v>
      </c>
    </row>
    <row r="27" spans="1:11" x14ac:dyDescent="0.2">
      <c r="A27" t="str">
        <f ca="1">OFFSET(Waikato_Reference,0,2)</f>
        <v>Pedestrian</v>
      </c>
      <c r="B27" s="4">
        <f ca="1">'Total Trip Tables Sup #2'!B27</f>
        <v>68.689195601999998</v>
      </c>
      <c r="C27" s="4">
        <f ca="1">'Total Trip Tables Sup #2'!C27</f>
        <v>78.464705213388797</v>
      </c>
      <c r="D27" s="4">
        <f ca="1">'Total Trip Tables Sup #2'!D27</f>
        <v>87.342401754542223</v>
      </c>
      <c r="E27" s="4">
        <f ca="1">'Total Trip Tables Sup #2'!E27</f>
        <v>94.384456427597655</v>
      </c>
      <c r="F27" s="4">
        <f ca="1">'Total Trip Tables Sup #2'!F27</f>
        <v>100.70894219530624</v>
      </c>
      <c r="G27" s="4">
        <f ca="1">'Total Trip Tables Sup #2'!G27</f>
        <v>106.73669175536988</v>
      </c>
      <c r="H27" s="4">
        <f ca="1">'Total Trip Tables Sup #2'!H27</f>
        <v>112.1642645054162</v>
      </c>
      <c r="I27" s="1">
        <f ca="1">'Total Trip Tables Sup #2'!I27</f>
        <v>118.3653585839031</v>
      </c>
      <c r="J27" s="1">
        <f ca="1">'Total Trip Tables Sup #2'!J27</f>
        <v>126.29599682257069</v>
      </c>
      <c r="K27" s="1">
        <f ca="1">'Total Trip Tables Sup #2'!K27</f>
        <v>134.57406709100491</v>
      </c>
    </row>
    <row r="28" spans="1:11" x14ac:dyDescent="0.2">
      <c r="A28" t="str">
        <f ca="1">OFFSET(Waikato_Reference,7,2)</f>
        <v>Cyclist</v>
      </c>
      <c r="B28" s="4">
        <f ca="1">'Total Trip Tables Sup #2'!B28</f>
        <v>5.8956498267999997</v>
      </c>
      <c r="C28" s="4">
        <f ca="1">'Total Trip Tables Sup #2'!C28</f>
        <v>6.5828190062288776</v>
      </c>
      <c r="D28" s="4">
        <f ca="1">'Total Trip Tables Sup #2'!D28</f>
        <v>8.0986869624186362</v>
      </c>
      <c r="E28" s="4">
        <f ca="1">'Total Trip Tables Sup #2'!E28</f>
        <v>9.3451813254218816</v>
      </c>
      <c r="F28" s="4">
        <f ca="1">'Total Trip Tables Sup #2'!F28</f>
        <v>10.692833781906016</v>
      </c>
      <c r="G28" s="4">
        <f ca="1">'Total Trip Tables Sup #2'!G28</f>
        <v>12.135801126707113</v>
      </c>
      <c r="H28" s="4">
        <f ca="1">'Total Trip Tables Sup #2'!H28</f>
        <v>13.663354704470922</v>
      </c>
      <c r="I28" s="1">
        <f ca="1">'Total Trip Tables Sup #2'!I28</f>
        <v>14.514188774033563</v>
      </c>
      <c r="J28" s="1">
        <f ca="1">'Total Trip Tables Sup #2'!J28</f>
        <v>15.635443078377275</v>
      </c>
      <c r="K28" s="1">
        <f ca="1">'Total Trip Tables Sup #2'!K28</f>
        <v>16.824539238073843</v>
      </c>
    </row>
    <row r="29" spans="1:11" x14ac:dyDescent="0.2">
      <c r="A29" t="str">
        <f ca="1">OFFSET(Waikato_Reference,14,2)</f>
        <v>Light Vehicle Driver</v>
      </c>
      <c r="B29" s="4">
        <f ca="1">'Total Trip Tables Sup #2'!B29</f>
        <v>305.41478153000003</v>
      </c>
      <c r="C29" s="4">
        <f ca="1">'Total Trip Tables Sup #2'!C29*(1-'Other Assumptions'!G8)</f>
        <v>359.60084277711979</v>
      </c>
      <c r="D29" s="4">
        <f ca="1">'Total Trip Tables Sup #2'!D29*(1-'Other Assumptions'!H8)</f>
        <v>398.24803037348175</v>
      </c>
      <c r="E29" s="4">
        <f ca="1">'Total Trip Tables Sup #2'!E29*(1-'Other Assumptions'!I8)</f>
        <v>369.76495106536163</v>
      </c>
      <c r="F29" s="4">
        <f ca="1">'Total Trip Tables Sup #2'!F29*(1-'Other Assumptions'!J8)</f>
        <v>328.16792141482915</v>
      </c>
      <c r="G29" s="4">
        <f ca="1">'Total Trip Tables Sup #2'!G29*(1-'Other Assumptions'!K8)</f>
        <v>273.93455540034955</v>
      </c>
      <c r="H29" s="4">
        <f ca="1">'Total Trip Tables Sup #2'!H29*(1-'Other Assumptions'!L8)</f>
        <v>209.52839509444038</v>
      </c>
      <c r="I29" s="1">
        <f ca="1">'Total Trip Tables Sup #2'!I29*(1-'Other Assumptions'!M8)</f>
        <v>220.87218182671205</v>
      </c>
      <c r="J29" s="1">
        <f ca="1">'Total Trip Tables Sup #2'!J29*(1-'Other Assumptions'!N8)</f>
        <v>235.30884641266096</v>
      </c>
      <c r="K29" s="1">
        <f ca="1">'Total Trip Tables Sup #2'!K29*(1-'Other Assumptions'!O8)</f>
        <v>250.3388918729396</v>
      </c>
    </row>
    <row r="30" spans="1:11" x14ac:dyDescent="0.2">
      <c r="A30" t="str">
        <f ca="1">OFFSET(Waikato_Reference,21,2)</f>
        <v>Light Vehicle Passenger</v>
      </c>
      <c r="B30" s="4">
        <f ca="1">'Total Trip Tables Sup #2'!B30</f>
        <v>139.07206360000004</v>
      </c>
      <c r="C30" s="4">
        <f ca="1">'Total Trip Tables Sup #2'!C30*(1-'Other Assumptions'!G8)</f>
        <v>155.83405130334671</v>
      </c>
      <c r="D30" s="4">
        <f ca="1">'Total Trip Tables Sup #2'!D30*(1-'Other Assumptions'!H8)</f>
        <v>169.01990504973756</v>
      </c>
      <c r="E30" s="4">
        <f ca="1">'Total Trip Tables Sup #2'!E30*(1-'Other Assumptions'!I8)</f>
        <v>153.60461006816098</v>
      </c>
      <c r="F30" s="4">
        <f ca="1">'Total Trip Tables Sup #2'!F30*(1-'Other Assumptions'!J8)</f>
        <v>134.1232560069453</v>
      </c>
      <c r="G30" s="4">
        <f ca="1">'Total Trip Tables Sup #2'!G30*(1-'Other Assumptions'!K8)</f>
        <v>110.71637217714404</v>
      </c>
      <c r="H30" s="4">
        <f ca="1">'Total Trip Tables Sup #2'!H30*(1-'Other Assumptions'!L8)</f>
        <v>83.954248816649169</v>
      </c>
      <c r="I30" s="1">
        <f ca="1">'Total Trip Tables Sup #2'!I30*(1-'Other Assumptions'!M8)</f>
        <v>88.4849100440955</v>
      </c>
      <c r="J30" s="1">
        <f ca="1">'Total Trip Tables Sup #2'!J30*(1-'Other Assumptions'!N8)</f>
        <v>94.242594928951405</v>
      </c>
      <c r="K30" s="1">
        <f ca="1">'Total Trip Tables Sup #2'!K30*(1-'Other Assumptions'!O8)</f>
        <v>100.23365904024278</v>
      </c>
    </row>
    <row r="31" spans="1:11" x14ac:dyDescent="0.2">
      <c r="A31" t="str">
        <f ca="1">OFFSET(Waikato_Reference,28,2)</f>
        <v>Taxi/Vehicle Share</v>
      </c>
      <c r="B31" s="4">
        <f ca="1">'Total Trip Tables Sup #2'!B31</f>
        <v>0.69122996950000004</v>
      </c>
      <c r="C31" s="4">
        <f ca="1">'Total Trip Tables Sup #2'!C31+((C29+C30)*'Other Assumptions'!G8/(1-'Other Assumptions'!G8))</f>
        <v>0.86683388134008243</v>
      </c>
      <c r="D31" s="4">
        <f ca="1">'Total Trip Tables Sup #2'!D31+((D29+D30)*'Other Assumptions'!H8/(1-'Other Assumptions'!H8))</f>
        <v>1.0225998966913687</v>
      </c>
      <c r="E31" s="4">
        <f ca="1">'Total Trip Tables Sup #2'!E31+((E29+E30)*'Other Assumptions'!I8/(1-'Other Assumptions'!I8))</f>
        <v>93.51415565886397</v>
      </c>
      <c r="F31" s="4">
        <f ca="1">'Total Trip Tables Sup #2'!F31+((F29+F30)*'Other Assumptions'!J8/(1-'Other Assumptions'!J8))</f>
        <v>199.40013258896647</v>
      </c>
      <c r="G31" s="4">
        <f ca="1">'Total Trip Tables Sup #2'!G31+((G29+G30)*'Other Assumptions'!K8/(1-'Other Assumptions'!K8))</f>
        <v>316.0946479510452</v>
      </c>
      <c r="H31" s="4">
        <f ca="1">'Total Trip Tables Sup #2'!H31+((H29+H30)*'Other Assumptions'!L8/(1-'Other Assumptions'!L8))</f>
        <v>441.70001375070643</v>
      </c>
      <c r="I31" s="1">
        <f ca="1">'Total Trip Tables Sup #2'!I31+((I29+I30)*'Other Assumptions'!M8/(1-'Other Assumptions'!M8))</f>
        <v>465.59384660710805</v>
      </c>
      <c r="J31" s="1">
        <f ca="1">'Total Trip Tables Sup #2'!J31+((J29+J30)*'Other Assumptions'!N8/(1-'Other Assumptions'!N8))</f>
        <v>495.9903164364942</v>
      </c>
      <c r="K31" s="1">
        <f ca="1">'Total Trip Tables Sup #2'!K31+((K29+K30)*'Other Assumptions'!O8/(1-'Other Assumptions'!O8))</f>
        <v>527.63150647768623</v>
      </c>
    </row>
    <row r="32" spans="1:11" x14ac:dyDescent="0.2">
      <c r="A32" t="str">
        <f ca="1">OFFSET(Waikato_Reference,35,2)</f>
        <v>Motorcyclist</v>
      </c>
      <c r="B32" s="4">
        <f ca="1">'Total Trip Tables Sup #2'!B32</f>
        <v>1.8680965575999999</v>
      </c>
      <c r="C32" s="4">
        <f ca="1">'Total Trip Tables Sup #2'!C32</f>
        <v>2.1190460859419975</v>
      </c>
      <c r="D32" s="4">
        <f ca="1">'Total Trip Tables Sup #2'!D32</f>
        <v>2.3187032773298184</v>
      </c>
      <c r="E32" s="4">
        <f ca="1">'Total Trip Tables Sup #2'!E32</f>
        <v>2.4670690147106389</v>
      </c>
      <c r="F32" s="4">
        <f ca="1">'Total Trip Tables Sup #2'!F32</f>
        <v>2.5821054335535361</v>
      </c>
      <c r="G32" s="4">
        <f ca="1">'Total Trip Tables Sup #2'!G32</f>
        <v>2.6345225806183259</v>
      </c>
      <c r="H32" s="4">
        <f ca="1">'Total Trip Tables Sup #2'!H32</f>
        <v>2.6581747003517178</v>
      </c>
      <c r="I32" s="1">
        <f ca="1">'Total Trip Tables Sup #2'!I32</f>
        <v>2.8199257439826066</v>
      </c>
      <c r="J32" s="1">
        <f ca="1">'Total Trip Tables Sup #2'!J32</f>
        <v>3.0278697004963386</v>
      </c>
      <c r="K32" s="1">
        <f ca="1">'Total Trip Tables Sup #2'!K32</f>
        <v>3.2465630987256069</v>
      </c>
    </row>
    <row r="33" spans="1:11" x14ac:dyDescent="0.2">
      <c r="A33" t="str">
        <f ca="1">OFFSET(Waikato_Reference,42,2)</f>
        <v>Local Train</v>
      </c>
      <c r="B33" s="4">
        <f ca="1">'Total Trip Tables Sup #2'!B33</f>
        <v>0</v>
      </c>
      <c r="C33" s="4">
        <f ca="1">'Total Trip Tables Sup #2'!C33</f>
        <v>0</v>
      </c>
      <c r="D33" s="4">
        <f ca="1">'Total Trip Tables Sup #2'!D33</f>
        <v>0</v>
      </c>
      <c r="E33" s="4">
        <f ca="1">'Total Trip Tables Sup #2'!E33</f>
        <v>0</v>
      </c>
      <c r="F33" s="4">
        <f ca="1">'Total Trip Tables Sup #2'!F33</f>
        <v>0</v>
      </c>
      <c r="G33" s="4">
        <f ca="1">'Total Trip Tables Sup #2'!G33</f>
        <v>0</v>
      </c>
      <c r="H33" s="4">
        <f ca="1">'Total Trip Tables Sup #2'!H33</f>
        <v>0</v>
      </c>
      <c r="I33" s="1">
        <f ca="1">'Total Trip Tables Sup #2'!I33</f>
        <v>0</v>
      </c>
      <c r="J33" s="1">
        <f ca="1">'Total Trip Tables Sup #2'!J33</f>
        <v>0</v>
      </c>
      <c r="K33" s="1">
        <f ca="1">'Total Trip Tables Sup #2'!K33</f>
        <v>0</v>
      </c>
    </row>
    <row r="34" spans="1:11" x14ac:dyDescent="0.2">
      <c r="A34" t="str">
        <f ca="1">OFFSET(Waikato_Reference,49,2)</f>
        <v>Local Bus</v>
      </c>
      <c r="B34" s="4">
        <f ca="1">'Total Trip Tables Sup #2'!B34</f>
        <v>5.7199103379</v>
      </c>
      <c r="C34" s="4">
        <f ca="1">'Total Trip Tables Sup #2'!C34</f>
        <v>5.9358961242356063</v>
      </c>
      <c r="D34" s="4">
        <f ca="1">'Total Trip Tables Sup #2'!D34</f>
        <v>6.4803499585722655</v>
      </c>
      <c r="E34" s="4">
        <f ca="1">'Total Trip Tables Sup #2'!E34</f>
        <v>6.8885431163252555</v>
      </c>
      <c r="F34" s="4">
        <f ca="1">'Total Trip Tables Sup #2'!F34</f>
        <v>7.2584816633678493</v>
      </c>
      <c r="G34" s="4">
        <f ca="1">'Total Trip Tables Sup #2'!G34</f>
        <v>7.6789481296361668</v>
      </c>
      <c r="H34" s="4">
        <f ca="1">'Total Trip Tables Sup #2'!H34</f>
        <v>8.0850724485280203</v>
      </c>
      <c r="I34" s="1">
        <f ca="1">'Total Trip Tables Sup #2'!I34</f>
        <v>8.5291217558820325</v>
      </c>
      <c r="J34" s="1">
        <f ca="1">'Total Trip Tables Sup #2'!J34</f>
        <v>9.0935187662400008</v>
      </c>
      <c r="K34" s="1">
        <f ca="1">'Total Trip Tables Sup #2'!K34</f>
        <v>9.681614157115197</v>
      </c>
    </row>
    <row r="35" spans="1:11" x14ac:dyDescent="0.2">
      <c r="A35" t="str">
        <f ca="1">OFFSET(Waikato_Reference,56,2)</f>
        <v>Local Ferry</v>
      </c>
      <c r="B35" s="4">
        <f ca="1">'Total Trip Tables Sup #2'!B35</f>
        <v>0.2446181519</v>
      </c>
      <c r="C35" s="4">
        <f ca="1">'Total Trip Tables Sup #2'!C35</f>
        <v>0.31251082199208874</v>
      </c>
      <c r="D35" s="4">
        <f ca="1">'Total Trip Tables Sup #2'!D35</f>
        <v>0.33962153566739739</v>
      </c>
      <c r="E35" s="4">
        <f ca="1">'Total Trip Tables Sup #2'!E35</f>
        <v>0.36577827787191231</v>
      </c>
      <c r="F35" s="4">
        <f ca="1">'Total Trip Tables Sup #2'!F35</f>
        <v>0.3844849255368224</v>
      </c>
      <c r="G35" s="4">
        <f ca="1">'Total Trip Tables Sup #2'!G35</f>
        <v>0.40855979183447405</v>
      </c>
      <c r="H35" s="4">
        <f ca="1">'Total Trip Tables Sup #2'!H35</f>
        <v>0.42604952951977354</v>
      </c>
      <c r="I35" s="1">
        <f ca="1">'Total Trip Tables Sup #2'!I35</f>
        <v>0.44217513152373511</v>
      </c>
      <c r="J35" s="1">
        <f ca="1">'Total Trip Tables Sup #2'!J35</f>
        <v>0.46180079082535719</v>
      </c>
      <c r="K35" s="1">
        <f ca="1">'Total Trip Tables Sup #2'!K35</f>
        <v>0.48182152761523472</v>
      </c>
    </row>
    <row r="36" spans="1:11" x14ac:dyDescent="0.2">
      <c r="A36" t="str">
        <f ca="1">OFFSET(Waikato_Reference,63,2)</f>
        <v>Other Household Travel</v>
      </c>
      <c r="B36" s="4">
        <f ca="1">'Total Trip Tables Sup #2'!B36</f>
        <v>1.8854250596</v>
      </c>
      <c r="C36" s="4">
        <f ca="1">'Total Trip Tables Sup #2'!C36</f>
        <v>2.186151622678087</v>
      </c>
      <c r="D36" s="4">
        <f ca="1">'Total Trip Tables Sup #2'!D36</f>
        <v>2.4657909173139143</v>
      </c>
      <c r="E36" s="4">
        <f ca="1">'Total Trip Tables Sup #2'!E36</f>
        <v>2.6814231846969077</v>
      </c>
      <c r="F36" s="4">
        <f ca="1">'Total Trip Tables Sup #2'!F36</f>
        <v>2.8602522341327297</v>
      </c>
      <c r="G36" s="4">
        <f ca="1">'Total Trip Tables Sup #2'!G36</f>
        <v>3.0014617312969873</v>
      </c>
      <c r="H36" s="4">
        <f ca="1">'Total Trip Tables Sup #2'!H36</f>
        <v>3.0776696446513951</v>
      </c>
      <c r="I36" s="1">
        <f ca="1">'Total Trip Tables Sup #2'!I36</f>
        <v>3.2479935946421663</v>
      </c>
      <c r="J36" s="1">
        <f ca="1">'Total Trip Tables Sup #2'!J36</f>
        <v>3.4650657687629116</v>
      </c>
      <c r="K36" s="1">
        <f ca="1">'Total Trip Tables Sup #2'!K36</f>
        <v>3.6913904595120983</v>
      </c>
    </row>
    <row r="37" spans="1:11" x14ac:dyDescent="0.2">
      <c r="A37" t="str">
        <f ca="1">OFFSET(BOP_Reference,0,0)</f>
        <v>04 BAY OF PLENTY</v>
      </c>
      <c r="B37" s="4">
        <f ca="1">SUM(B38:B47)</f>
        <v>334.99924989919998</v>
      </c>
      <c r="C37" s="4">
        <f t="shared" ref="C37" ca="1" si="14">SUM(C38:C47)</f>
        <v>385.89971404932072</v>
      </c>
      <c r="D37" s="4">
        <f t="shared" ref="D37" ca="1" si="15">SUM(D38:D47)</f>
        <v>425.65522106433775</v>
      </c>
      <c r="E37" s="4">
        <f t="shared" ref="E37" ca="1" si="16">SUM(E38:E47)</f>
        <v>461.61991219377995</v>
      </c>
      <c r="F37" s="4">
        <f t="shared" ref="F37" ca="1" si="17">SUM(F38:F47)</f>
        <v>494.82372903417229</v>
      </c>
      <c r="G37" s="4">
        <f t="shared" ref="G37" ca="1" si="18">SUM(G38:G47)</f>
        <v>524.4297125696221</v>
      </c>
      <c r="H37" s="4">
        <f t="shared" ref="H37:K37" ca="1" si="19">SUM(H38:H47)</f>
        <v>550.83180337076647</v>
      </c>
      <c r="I37" s="1">
        <f t="shared" ca="1" si="19"/>
        <v>580.82064462796552</v>
      </c>
      <c r="J37" s="1">
        <f t="shared" ca="1" si="19"/>
        <v>619.02825754355865</v>
      </c>
      <c r="K37" s="1">
        <f t="shared" ca="1" si="19"/>
        <v>658.83415364246559</v>
      </c>
    </row>
    <row r="38" spans="1:11" x14ac:dyDescent="0.2">
      <c r="A38" t="str">
        <f ca="1">OFFSET(BOP_Reference,0,2)</f>
        <v>Pedestrian</v>
      </c>
      <c r="B38" s="4">
        <f ca="1">'Total Trip Tables Sup #2'!B38</f>
        <v>43.402809341999998</v>
      </c>
      <c r="C38" s="4">
        <f ca="1">'Total Trip Tables Sup #2'!C38</f>
        <v>49.579684411878418</v>
      </c>
      <c r="D38" s="4">
        <f ca="1">'Total Trip Tables Sup #2'!D38</f>
        <v>55.189256150124201</v>
      </c>
      <c r="E38" s="4">
        <f ca="1">'Total Trip Tables Sup #2'!E38</f>
        <v>59.638936389816294</v>
      </c>
      <c r="F38" s="4">
        <f ca="1">'Total Trip Tables Sup #2'!F38</f>
        <v>63.635204617392617</v>
      </c>
      <c r="G38" s="4">
        <f ca="1">'Total Trip Tables Sup #2'!G38</f>
        <v>67.443973414637782</v>
      </c>
      <c r="H38" s="4">
        <f ca="1">'Total Trip Tables Sup #2'!H38</f>
        <v>70.873507028993245</v>
      </c>
      <c r="I38" s="1">
        <f ca="1">'Total Trip Tables Sup #2'!I38</f>
        <v>74.791807449336716</v>
      </c>
      <c r="J38" s="1">
        <f ca="1">'Total Trip Tables Sup #2'!J38</f>
        <v>79.802959151093447</v>
      </c>
      <c r="K38" s="1">
        <f ca="1">'Total Trip Tables Sup #2'!K38</f>
        <v>85.033643575793093</v>
      </c>
    </row>
    <row r="39" spans="1:11" x14ac:dyDescent="0.2">
      <c r="A39" t="str">
        <f ca="1">OFFSET(BOP_Reference,7,2)</f>
        <v>Cyclist</v>
      </c>
      <c r="B39" s="4">
        <f ca="1">'Total Trip Tables Sup #2'!B39</f>
        <v>5.1579391552000002</v>
      </c>
      <c r="C39" s="4">
        <f ca="1">'Total Trip Tables Sup #2'!C39</f>
        <v>5.7591242528479478</v>
      </c>
      <c r="D39" s="4">
        <f ca="1">'Total Trip Tables Sup #2'!D39</f>
        <v>7.085314734820308</v>
      </c>
      <c r="E39" s="4">
        <f ca="1">'Total Trip Tables Sup #2'!E39</f>
        <v>8.1758377934396496</v>
      </c>
      <c r="F39" s="4">
        <f ca="1">'Total Trip Tables Sup #2'!F39</f>
        <v>9.3548612390491837</v>
      </c>
      <c r="G39" s="4">
        <f ca="1">'Total Trip Tables Sup #2'!G39</f>
        <v>10.617273014862585</v>
      </c>
      <c r="H39" s="4">
        <f ca="1">'Total Trip Tables Sup #2'!H39</f>
        <v>11.953686920348948</v>
      </c>
      <c r="I39" s="1">
        <f ca="1">'Total Trip Tables Sup #2'!I39</f>
        <v>12.698057853308054</v>
      </c>
      <c r="J39" s="1">
        <f ca="1">'Total Trip Tables Sup #2'!J39</f>
        <v>13.679011887080787</v>
      </c>
      <c r="K39" s="1">
        <f ca="1">'Total Trip Tables Sup #2'!K39</f>
        <v>14.719318862830372</v>
      </c>
    </row>
    <row r="40" spans="1:11" x14ac:dyDescent="0.2">
      <c r="A40" t="str">
        <f ca="1">OFFSET(BOP_Reference,14,2)</f>
        <v>Light Vehicle Driver</v>
      </c>
      <c r="B40" s="4">
        <f ca="1">'Total Trip Tables Sup #2'!B40</f>
        <v>178.59124365</v>
      </c>
      <c r="C40" s="4">
        <f ca="1">'Total Trip Tables Sup #2'!C40*(1-'Other Assumptions'!G9)</f>
        <v>210.27653412002797</v>
      </c>
      <c r="D40" s="4">
        <f ca="1">'Total Trip Tables Sup #2'!D40*(1-'Other Assumptions'!H9)</f>
        <v>232.80189506276352</v>
      </c>
      <c r="E40" s="4">
        <f ca="1">'Total Trip Tables Sup #2'!E40*(1-'Other Assumptions'!I9)</f>
        <v>216.08762062732134</v>
      </c>
      <c r="F40" s="4">
        <f ca="1">'Total Trip Tables Sup #2'!F40*(1-'Other Assumptions'!J9)</f>
        <v>191.72384721528147</v>
      </c>
      <c r="G40" s="4">
        <f ca="1">'Total Trip Tables Sup #2'!G40*(1-'Other Assumptions'!K9)</f>
        <v>159.99363832001785</v>
      </c>
      <c r="H40" s="4">
        <f ca="1">'Total Trip Tables Sup #2'!H40*(1-'Other Assumptions'!L9)</f>
        <v>122.3415103403469</v>
      </c>
      <c r="I40" s="1">
        <f ca="1">'Total Trip Tables Sup #2'!I40*(1-'Other Assumptions'!M9)</f>
        <v>128.96390311579825</v>
      </c>
      <c r="J40" s="1">
        <f ca="1">'Total Trip Tables Sup #2'!J40*(1-'Other Assumptions'!N9)</f>
        <v>137.39149963292243</v>
      </c>
      <c r="K40" s="1">
        <f ca="1">'Total Trip Tables Sup #2'!K40*(1-'Other Assumptions'!O9)</f>
        <v>146.16527060306507</v>
      </c>
    </row>
    <row r="41" spans="1:11" x14ac:dyDescent="0.2">
      <c r="A41" t="str">
        <f ca="1">OFFSET(BOP_Reference,21,2)</f>
        <v>Light Vehicle Passenger</v>
      </c>
      <c r="B41" s="4">
        <f ca="1">'Total Trip Tables Sup #2'!B41</f>
        <v>98.719582360000032</v>
      </c>
      <c r="C41" s="4">
        <f ca="1">'Total Trip Tables Sup #2'!C41*(1-'Other Assumptions'!G9)</f>
        <v>110.61799231210372</v>
      </c>
      <c r="D41" s="4">
        <f ca="1">'Total Trip Tables Sup #2'!D41*(1-'Other Assumptions'!H9)</f>
        <v>119.98091084855805</v>
      </c>
      <c r="E41" s="4">
        <f ca="1">'Total Trip Tables Sup #2'!E41*(1-'Other Assumptions'!I9)</f>
        <v>109.04096389001073</v>
      </c>
      <c r="F41" s="4">
        <f ca="1">'Total Trip Tables Sup #2'!F41*(1-'Other Assumptions'!J9)</f>
        <v>95.213218286743043</v>
      </c>
      <c r="G41" s="4">
        <f ca="1">'Total Trip Tables Sup #2'!G41*(1-'Other Assumptions'!K9)</f>
        <v>78.597529371370968</v>
      </c>
      <c r="H41" s="4">
        <f ca="1">'Total Trip Tables Sup #2'!H41*(1-'Other Assumptions'!L9)</f>
        <v>59.598833316600476</v>
      </c>
      <c r="I41" s="1">
        <f ca="1">'Total Trip Tables Sup #2'!I41*(1-'Other Assumptions'!M9)</f>
        <v>62.814614890638168</v>
      </c>
      <c r="J41" s="1">
        <f ca="1">'Total Trip Tables Sup #2'!J41*(1-'Other Assumptions'!N9)</f>
        <v>66.901131250801143</v>
      </c>
      <c r="K41" s="1">
        <f ca="1">'Total Trip Tables Sup #2'!K41*(1-'Other Assumptions'!O9)</f>
        <v>71.153183725133388</v>
      </c>
    </row>
    <row r="42" spans="1:11" x14ac:dyDescent="0.2">
      <c r="A42" t="str">
        <f ca="1">OFFSET(BOP_Reference,28,2)</f>
        <v>Taxi/Vehicle Share</v>
      </c>
      <c r="B42" s="4">
        <f ca="1">'Total Trip Tables Sup #2'!B42</f>
        <v>0.15552198610000001</v>
      </c>
      <c r="C42" s="4">
        <f ca="1">'Total Trip Tables Sup #2'!C42+((C40+C41)*'Other Assumptions'!G9/(1-'Other Assumptions'!G9))</f>
        <v>0.19503165775971371</v>
      </c>
      <c r="D42" s="4">
        <f ca="1">'Total Trip Tables Sup #2'!D42+((D40+D41)*'Other Assumptions'!H9/(1-'Other Assumptions'!H9))</f>
        <v>0.23007793923364667</v>
      </c>
      <c r="E42" s="4">
        <f ca="1">'Total Trip Tables Sup #2'!E42+((E40+E41)*'Other Assumptions'!I9/(1-'Other Assumptions'!I9))</f>
        <v>57.635459416179891</v>
      </c>
      <c r="F42" s="4">
        <f ca="1">'Total Trip Tables Sup #2'!F42+((F40+F41)*'Other Assumptions'!J9/(1-'Other Assumptions'!J9))</f>
        <v>123.25997130510743</v>
      </c>
      <c r="G42" s="4">
        <f ca="1">'Total Trip Tables Sup #2'!G42+((G40+G41)*'Other Assumptions'!K9/(1-'Other Assumptions'!K9))</f>
        <v>195.52150273356202</v>
      </c>
      <c r="H42" s="4">
        <f ca="1">'Total Trip Tables Sup #2'!H42+((H40+H41)*'Other Assumptions'!L9/(1-'Other Assumptions'!L9))</f>
        <v>273.242616101191</v>
      </c>
      <c r="I42" s="1">
        <f ca="1">'Total Trip Tables Sup #2'!I42+((I40+I41)*'Other Assumptions'!M9/(1-'Other Assumptions'!M9))</f>
        <v>288.01836326627949</v>
      </c>
      <c r="J42" s="1">
        <f ca="1">'Total Trip Tables Sup #2'!J42+((J40+J41)*'Other Assumptions'!N9/(1-'Other Assumptions'!N9))</f>
        <v>306.81314462519083</v>
      </c>
      <c r="K42" s="1">
        <f ca="1">'Total Trip Tables Sup #2'!K42+((K40+K41)*'Other Assumptions'!O9/(1-'Other Assumptions'!O9))</f>
        <v>326.3765223170119</v>
      </c>
    </row>
    <row r="43" spans="1:11" x14ac:dyDescent="0.2">
      <c r="A43" t="str">
        <f ca="1">OFFSET(BOP_Reference,35,2)</f>
        <v>Motorcyclist</v>
      </c>
      <c r="B43" s="4">
        <f ca="1">'Total Trip Tables Sup #2'!B43</f>
        <v>0.90641599910000004</v>
      </c>
      <c r="C43" s="4">
        <f ca="1">'Total Trip Tables Sup #2'!C43</f>
        <v>1.0281787990636249</v>
      </c>
      <c r="D43" s="4">
        <f ca="1">'Total Trip Tables Sup #2'!D43</f>
        <v>1.1250541301984316</v>
      </c>
      <c r="E43" s="4">
        <f ca="1">'Total Trip Tables Sup #2'!E43</f>
        <v>1.1970424209177377</v>
      </c>
      <c r="F43" s="4">
        <f ca="1">'Total Trip Tables Sup #2'!F43</f>
        <v>1.2528590488613871</v>
      </c>
      <c r="G43" s="4">
        <f ca="1">'Total Trip Tables Sup #2'!G43</f>
        <v>1.2782922849183835</v>
      </c>
      <c r="H43" s="4">
        <f ca="1">'Total Trip Tables Sup #2'!H43</f>
        <v>1.2897684902846192</v>
      </c>
      <c r="I43" s="1">
        <f ca="1">'Total Trip Tables Sup #2'!I43</f>
        <v>1.3682514430108523</v>
      </c>
      <c r="J43" s="1">
        <f ca="1">'Total Trip Tables Sup #2'!J43</f>
        <v>1.4691475815607524</v>
      </c>
      <c r="K43" s="1">
        <f ca="1">'Total Trip Tables Sup #2'!K43</f>
        <v>1.5752594387054524</v>
      </c>
    </row>
    <row r="44" spans="1:11" x14ac:dyDescent="0.2">
      <c r="A44" t="str">
        <f ca="1">OFFSET(Auckland_Reference,42,2)</f>
        <v>Local Train</v>
      </c>
      <c r="B44" s="4">
        <f ca="1">'Total Trip Tables Sup #2'!B44</f>
        <v>0</v>
      </c>
      <c r="C44" s="4">
        <f ca="1">'Total Trip Tables Sup #2'!C44</f>
        <v>0</v>
      </c>
      <c r="D44" s="4">
        <f ca="1">'Total Trip Tables Sup #2'!D44</f>
        <v>0</v>
      </c>
      <c r="E44" s="4">
        <f ca="1">'Total Trip Tables Sup #2'!E44</f>
        <v>0</v>
      </c>
      <c r="F44" s="4">
        <f ca="1">'Total Trip Tables Sup #2'!F44</f>
        <v>0</v>
      </c>
      <c r="G44" s="4">
        <f ca="1">'Total Trip Tables Sup #2'!G44</f>
        <v>0</v>
      </c>
      <c r="H44" s="4">
        <f ca="1">'Total Trip Tables Sup #2'!H44</f>
        <v>0</v>
      </c>
      <c r="I44" s="1">
        <f ca="1">'Total Trip Tables Sup #2'!I44</f>
        <v>0</v>
      </c>
      <c r="J44" s="1">
        <f ca="1">'Total Trip Tables Sup #2'!J44</f>
        <v>0</v>
      </c>
      <c r="K44" s="1">
        <f ca="1">'Total Trip Tables Sup #2'!K44</f>
        <v>0</v>
      </c>
    </row>
    <row r="45" spans="1:11" x14ac:dyDescent="0.2">
      <c r="A45" t="str">
        <f ca="1">OFFSET(BOP_Reference,42,2)</f>
        <v>Local Bus</v>
      </c>
      <c r="B45" s="4">
        <f ca="1">'Total Trip Tables Sup #2'!B45</f>
        <v>7.4672006229000001</v>
      </c>
      <c r="C45" s="4">
        <f ca="1">'Total Trip Tables Sup #2'!C45</f>
        <v>7.7491646927869597</v>
      </c>
      <c r="D45" s="4">
        <f ca="1">'Total Trip Tables Sup #2'!D45</f>
        <v>8.459935626373241</v>
      </c>
      <c r="E45" s="4">
        <f ca="1">'Total Trip Tables Sup #2'!E45</f>
        <v>8.992821637127685</v>
      </c>
      <c r="F45" s="4">
        <f ca="1">'Total Trip Tables Sup #2'!F45</f>
        <v>9.4757672054537387</v>
      </c>
      <c r="G45" s="4">
        <f ca="1">'Total Trip Tables Sup #2'!G45</f>
        <v>10.024675715089586</v>
      </c>
      <c r="H45" s="4">
        <f ca="1">'Total Trip Tables Sup #2'!H45</f>
        <v>10.554860908187816</v>
      </c>
      <c r="I45" s="1">
        <f ca="1">'Total Trip Tables Sup #2'!I45</f>
        <v>11.134556230071052</v>
      </c>
      <c r="J45" s="1">
        <f ca="1">'Total Trip Tables Sup #2'!J45</f>
        <v>11.87136248372558</v>
      </c>
      <c r="K45" s="1">
        <f ca="1">'Total Trip Tables Sup #2'!K45</f>
        <v>12.639106383480511</v>
      </c>
    </row>
    <row r="46" spans="1:11" x14ac:dyDescent="0.2">
      <c r="A46" t="str">
        <f ca="1">OFFSET(Waikato_Reference,56,2)</f>
        <v>Local Ferry</v>
      </c>
      <c r="B46" s="4">
        <f ca="1">'Total Trip Tables Sup #2'!B46</f>
        <v>0</v>
      </c>
      <c r="C46" s="4">
        <f ca="1">'Total Trip Tables Sup #2'!C46</f>
        <v>0</v>
      </c>
      <c r="D46" s="4">
        <f ca="1">'Total Trip Tables Sup #2'!D46</f>
        <v>0</v>
      </c>
      <c r="E46" s="4">
        <f ca="1">'Total Trip Tables Sup #2'!E46</f>
        <v>0</v>
      </c>
      <c r="F46" s="4">
        <f ca="1">'Total Trip Tables Sup #2'!F46</f>
        <v>0</v>
      </c>
      <c r="G46" s="4">
        <f ca="1">'Total Trip Tables Sup #2'!G46</f>
        <v>0</v>
      </c>
      <c r="H46" s="4">
        <f ca="1">'Total Trip Tables Sup #2'!H46</f>
        <v>0</v>
      </c>
      <c r="I46" s="1">
        <f ca="1">'Total Trip Tables Sup #2'!I46</f>
        <v>0</v>
      </c>
      <c r="J46" s="1">
        <f ca="1">'Total Trip Tables Sup #2'!J46</f>
        <v>0</v>
      </c>
      <c r="K46" s="1">
        <f ca="1">'Total Trip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Trip Tables Sup #2'!B47</f>
        <v>0.59853678389999998</v>
      </c>
      <c r="C47" s="4">
        <f ca="1">'Total Trip Tables Sup #2'!C47</f>
        <v>0.69400380285234453</v>
      </c>
      <c r="D47" s="4">
        <f ca="1">'Total Trip Tables Sup #2'!D47</f>
        <v>0.78277657226642128</v>
      </c>
      <c r="E47" s="4">
        <f ca="1">'Total Trip Tables Sup #2'!E47</f>
        <v>0.85123001896658501</v>
      </c>
      <c r="F47" s="4">
        <f ca="1">'Total Trip Tables Sup #2'!F47</f>
        <v>0.90800011628348365</v>
      </c>
      <c r="G47" s="4">
        <f ca="1">'Total Trip Tables Sup #2'!G47</f>
        <v>0.95282771516283749</v>
      </c>
      <c r="H47" s="4">
        <f ca="1">'Total Trip Tables Sup #2'!H47</f>
        <v>0.97702026481344761</v>
      </c>
      <c r="I47" s="1">
        <f ca="1">'Total Trip Tables Sup #2'!I47</f>
        <v>1.0310903795228852</v>
      </c>
      <c r="J47" s="1">
        <f ca="1">'Total Trip Tables Sup #2'!J47</f>
        <v>1.1000009311838332</v>
      </c>
      <c r="K47" s="1">
        <f ca="1">'Total Trip Tables Sup #2'!K47</f>
        <v>1.1718487364458037</v>
      </c>
    </row>
    <row r="48" spans="1:11" x14ac:dyDescent="0.2">
      <c r="A48" t="str">
        <f ca="1">OFFSET(Gisborne_Reference,0,0)</f>
        <v>05 GISBORNE</v>
      </c>
      <c r="B48" s="4">
        <f ca="1">SUM(B49:B58)</f>
        <v>61.908168304900002</v>
      </c>
      <c r="C48" s="4">
        <f t="shared" ref="C48" ca="1" si="20">SUM(C49:C58)</f>
        <v>62.65301151833161</v>
      </c>
      <c r="D48" s="4">
        <f t="shared" ref="D48" ca="1" si="21">SUM(D49:D58)</f>
        <v>62.61235531475613</v>
      </c>
      <c r="E48" s="4">
        <f t="shared" ref="E48" ca="1" si="22">SUM(E49:E58)</f>
        <v>62.295438812671954</v>
      </c>
      <c r="F48" s="4">
        <f t="shared" ref="F48" ca="1" si="23">SUM(F49:F58)</f>
        <v>61.489153761688648</v>
      </c>
      <c r="G48" s="4">
        <f t="shared" ref="G48" ca="1" si="24">SUM(G49:G58)</f>
        <v>60.095284649288601</v>
      </c>
      <c r="H48" s="4">
        <f t="shared" ref="H48:K48" ca="1" si="25">SUM(H49:H58)</f>
        <v>58.357905330786615</v>
      </c>
      <c r="I48" s="1">
        <f t="shared" ca="1" si="25"/>
        <v>57.877384298285186</v>
      </c>
      <c r="J48" s="1">
        <f t="shared" ca="1" si="25"/>
        <v>57.241326770717883</v>
      </c>
      <c r="K48" s="1">
        <f t="shared" ca="1" si="25"/>
        <v>56.491480041636208</v>
      </c>
    </row>
    <row r="49" spans="1:11" x14ac:dyDescent="0.2">
      <c r="A49" t="str">
        <f ca="1">OFFSET(Gisborne_Reference,0,2)</f>
        <v>Pedestrian</v>
      </c>
      <c r="B49" s="4">
        <f ca="1">'Total Trip Tables Sup #2'!B49</f>
        <v>12.564280467</v>
      </c>
      <c r="C49" s="4">
        <f ca="1">'Total Trip Tables Sup #2'!C49</f>
        <v>12.620071097805297</v>
      </c>
      <c r="D49" s="4">
        <f ca="1">'Total Trip Tables Sup #2'!D49</f>
        <v>12.7313358718869</v>
      </c>
      <c r="E49" s="4">
        <f ca="1">'Total Trip Tables Sup #2'!E49</f>
        <v>12.638553758966154</v>
      </c>
      <c r="F49" s="4">
        <f ca="1">'Total Trip Tables Sup #2'!F49</f>
        <v>12.432995264629163</v>
      </c>
      <c r="G49" s="4">
        <f ca="1">'Total Trip Tables Sup #2'!G49</f>
        <v>12.161489765954361</v>
      </c>
      <c r="H49" s="4">
        <f ca="1">'Total Trip Tables Sup #2'!H49</f>
        <v>11.823950086110946</v>
      </c>
      <c r="I49" s="1">
        <f ca="1">'Total Trip Tables Sup #2'!I49</f>
        <v>11.734964524266831</v>
      </c>
      <c r="J49" s="1">
        <f ca="1">'Total Trip Tables Sup #2'!J49</f>
        <v>11.617815220246333</v>
      </c>
      <c r="K49" s="1">
        <f ca="1">'Total Trip Tables Sup #2'!K49</f>
        <v>11.477506677197248</v>
      </c>
    </row>
    <row r="50" spans="1:11" x14ac:dyDescent="0.2">
      <c r="A50" t="str">
        <f ca="1">OFFSET(Gisborne_Reference,7,2)</f>
        <v>Cyclist</v>
      </c>
      <c r="B50" s="4">
        <f ca="1">'Total Trip Tables Sup #2'!B50</f>
        <v>1.1119455742</v>
      </c>
      <c r="C50" s="4">
        <f ca="1">'Total Trip Tables Sup #2'!C50</f>
        <v>1.0916967731216398</v>
      </c>
      <c r="D50" s="4">
        <f ca="1">'Total Trip Tables Sup #2'!D50</f>
        <v>1.2172116944909646</v>
      </c>
      <c r="E50" s="4">
        <f ca="1">'Total Trip Tables Sup #2'!E50</f>
        <v>1.2902898817429316</v>
      </c>
      <c r="F50" s="4">
        <f ca="1">'Total Trip Tables Sup #2'!F50</f>
        <v>1.361141288099506</v>
      </c>
      <c r="G50" s="4">
        <f ca="1">'Total Trip Tables Sup #2'!G50</f>
        <v>1.4257525260771078</v>
      </c>
      <c r="H50" s="4">
        <f ca="1">'Total Trip Tables Sup #2'!H50</f>
        <v>1.4851423270327044</v>
      </c>
      <c r="I50" s="1">
        <f ca="1">'Total Trip Tables Sup #2'!I50</f>
        <v>1.4837221777130827</v>
      </c>
      <c r="J50" s="1">
        <f ca="1">'Total Trip Tables Sup #2'!J50</f>
        <v>1.483022467920573</v>
      </c>
      <c r="K50" s="1">
        <f ca="1">'Total Trip Tables Sup #2'!K50</f>
        <v>1.4795580651453399</v>
      </c>
    </row>
    <row r="51" spans="1:11" x14ac:dyDescent="0.2">
      <c r="A51" t="str">
        <f ca="1">OFFSET(Gisborne_Reference,14,2)</f>
        <v>Light Vehicle Driver</v>
      </c>
      <c r="B51" s="4">
        <f ca="1">'Total Trip Tables Sup #2'!B51</f>
        <v>28.776347379000001</v>
      </c>
      <c r="C51" s="4">
        <f ca="1">'Total Trip Tables Sup #2'!C51*(1-'Other Assumptions'!G10)</f>
        <v>29.792337441443628</v>
      </c>
      <c r="D51" s="4">
        <f ca="1">'Total Trip Tables Sup #2'!D51*(1-'Other Assumptions'!H10)</f>
        <v>29.857802858234468</v>
      </c>
      <c r="E51" s="4">
        <f ca="1">'Total Trip Tables Sup #2'!E51*(1-'Other Assumptions'!I10)</f>
        <v>25.431676116651673</v>
      </c>
      <c r="F51" s="4">
        <f ca="1">'Total Trip Tables Sup #2'!F51*(1-'Other Assumptions'!J10)</f>
        <v>20.781708346460015</v>
      </c>
      <c r="G51" s="4">
        <f ca="1">'Total Trip Tables Sup #2'!G51*(1-'Other Assumptions'!K10)</f>
        <v>15.989324768201765</v>
      </c>
      <c r="H51" s="4">
        <f ca="1">'Total Trip Tables Sup #2'!H51*(1-'Other Assumptions'!L10)</f>
        <v>11.300618851417248</v>
      </c>
      <c r="I51" s="1">
        <f ca="1">'Total Trip Tables Sup #2'!I51*(1-'Other Assumptions'!M10)</f>
        <v>11.203144241699679</v>
      </c>
      <c r="J51" s="1">
        <f ca="1">'Total Trip Tables Sup #2'!J51*(1-'Other Assumptions'!N10)</f>
        <v>11.073912408026894</v>
      </c>
      <c r="K51" s="1">
        <f ca="1">'Total Trip Tables Sup #2'!K51*(1-'Other Assumptions'!O10)</f>
        <v>10.922654351843345</v>
      </c>
    </row>
    <row r="52" spans="1:11" x14ac:dyDescent="0.2">
      <c r="A52" t="str">
        <f ca="1">OFFSET(Gisborne_Reference,21,2)</f>
        <v>Light Vehicle Passenger</v>
      </c>
      <c r="B52" s="4">
        <f ca="1">'Total Trip Tables Sup #2'!B52</f>
        <v>18.791024854000003</v>
      </c>
      <c r="C52" s="4">
        <f ca="1">'Total Trip Tables Sup #2'!C52*(1-'Other Assumptions'!G10)</f>
        <v>18.514466051213397</v>
      </c>
      <c r="D52" s="4">
        <f ca="1">'Total Trip Tables Sup #2'!D52*(1-'Other Assumptions'!H10)</f>
        <v>18.174869658113643</v>
      </c>
      <c r="E52" s="4">
        <f ca="1">'Total Trip Tables Sup #2'!E52*(1-'Other Assumptions'!I10)</f>
        <v>15.15371228828578</v>
      </c>
      <c r="F52" s="4">
        <f ca="1">'Total Trip Tables Sup #2'!F52*(1-'Other Assumptions'!J10)</f>
        <v>12.183545013767816</v>
      </c>
      <c r="G52" s="4">
        <f ca="1">'Total Trip Tables Sup #2'!G52*(1-'Other Assumptions'!K10)</f>
        <v>9.2702529553039916</v>
      </c>
      <c r="H52" s="4">
        <f ca="1">'Total Trip Tables Sup #2'!H52*(1-'Other Assumptions'!L10)</f>
        <v>6.4953786872540746</v>
      </c>
      <c r="I52" s="1">
        <f ca="1">'Total Trip Tables Sup #2'!I52*(1-'Other Assumptions'!M10)</f>
        <v>6.4382872376389022</v>
      </c>
      <c r="J52" s="1">
        <f ca="1">'Total Trip Tables Sup #2'!J52*(1-'Other Assumptions'!N10)</f>
        <v>6.3622664690320505</v>
      </c>
      <c r="K52" s="1">
        <f ca="1">'Total Trip Tables Sup #2'!K52*(1-'Other Assumptions'!O10)</f>
        <v>6.2735703563384222</v>
      </c>
    </row>
    <row r="53" spans="1:11" x14ac:dyDescent="0.2">
      <c r="A53" t="str">
        <f ca="1">OFFSET(Gisborne_Reference,28,2)</f>
        <v>Taxi/Vehicle Share</v>
      </c>
      <c r="B53" s="4">
        <f ca="1">'Total Trip Tables Sup #2'!B53</f>
        <v>2.27015811E-2</v>
      </c>
      <c r="C53" s="4">
        <f ca="1">'Total Trip Tables Sup #2'!C53+((C51+C52)*'Other Assumptions'!G10/(1-'Other Assumptions'!G10))</f>
        <v>2.5032699518920707E-2</v>
      </c>
      <c r="D53" s="4">
        <f ca="1">'Total Trip Tables Sup #2'!D53+((D51+D52)*'Other Assumptions'!H10/(1-'Other Assumptions'!H10))</f>
        <v>2.6763255757164248E-2</v>
      </c>
      <c r="E53" s="4">
        <f ca="1">'Total Trip Tables Sup #2'!E53+((E51+E52)*'Other Assumptions'!I10/(1-'Other Assumptions'!I10))</f>
        <v>7.1898922619182679</v>
      </c>
      <c r="F53" s="4">
        <f ca="1">'Total Trip Tables Sup #2'!F53+((F51+F52)*'Other Assumptions'!J10/(1-'Other Assumptions'!J10))</f>
        <v>14.156235272257128</v>
      </c>
      <c r="G53" s="4">
        <f ca="1">'Total Trip Tables Sup #2'!G53+((G51+G52)*'Other Assumptions'!K10/(1-'Other Assumptions'!K10))</f>
        <v>20.695164061488526</v>
      </c>
      <c r="H53" s="4">
        <f ca="1">'Total Trip Tables Sup #2'!H53+((H51+H52)*'Other Assumptions'!L10/(1-'Other Assumptions'!L10))</f>
        <v>26.7219341512101</v>
      </c>
      <c r="I53" s="1">
        <f ca="1">'Total Trip Tables Sup #2'!I53+((I51+I52)*'Other Assumptions'!M10/(1-'Other Assumptions'!M10))</f>
        <v>26.489884709738202</v>
      </c>
      <c r="J53" s="1">
        <f ca="1">'Total Trip Tables Sup #2'!J53+((J51+J52)*'Other Assumptions'!N10/(1-'Other Assumptions'!N10))</f>
        <v>26.181737882313694</v>
      </c>
      <c r="K53" s="1">
        <f ca="1">'Total Trip Tables Sup #2'!K53+((K51+K52)*'Other Assumptions'!O10/(1-'Other Assumptions'!O10))</f>
        <v>25.8214827533102</v>
      </c>
    </row>
    <row r="54" spans="1:11" x14ac:dyDescent="0.2">
      <c r="A54" t="str">
        <f ca="1">OFFSET(Gisborne_Reference,35,2)</f>
        <v>Motorcyclist</v>
      </c>
      <c r="B54" s="4">
        <f ca="1">'Total Trip Tables Sup #2'!B54</f>
        <v>0.20072163900000001</v>
      </c>
      <c r="C54" s="4">
        <f ca="1">'Total Trip Tables Sup #2'!C54</f>
        <v>0.20020436345764836</v>
      </c>
      <c r="D54" s="4">
        <f ca="1">'Total Trip Tables Sup #2'!D54</f>
        <v>0.19853619944999143</v>
      </c>
      <c r="E54" s="4">
        <f ca="1">'Total Trip Tables Sup #2'!E54</f>
        <v>0.19405457335890117</v>
      </c>
      <c r="F54" s="4">
        <f ca="1">'Total Trip Tables Sup #2'!F54</f>
        <v>0.18725239796278825</v>
      </c>
      <c r="G54" s="4">
        <f ca="1">'Total Trip Tables Sup #2'!G54</f>
        <v>0.17632774298625561</v>
      </c>
      <c r="H54" s="4">
        <f ca="1">'Total Trip Tables Sup #2'!H54</f>
        <v>0.16460282236078511</v>
      </c>
      <c r="I54" s="1">
        <f ca="1">'Total Trip Tables Sup #2'!I54</f>
        <v>0.16422547164215739</v>
      </c>
      <c r="J54" s="1">
        <f ca="1">'Total Trip Tables Sup #2'!J54</f>
        <v>0.16361297605712413</v>
      </c>
      <c r="K54" s="1">
        <f ca="1">'Total Trip Tables Sup #2'!K54</f>
        <v>0.16265061391185487</v>
      </c>
    </row>
    <row r="55" spans="1:11" x14ac:dyDescent="0.2">
      <c r="A55" t="str">
        <f ca="1">OFFSET(Gisborne_Reference,42,2)</f>
        <v>Local Train</v>
      </c>
      <c r="B55" s="4">
        <f ca="1">'Total Trip Tables Sup #2'!B55</f>
        <v>0</v>
      </c>
      <c r="C55" s="4">
        <f ca="1">'Total Trip Tables Sup #2'!C55</f>
        <v>0</v>
      </c>
      <c r="D55" s="4">
        <f ca="1">'Total Trip Tables Sup #2'!D55</f>
        <v>0</v>
      </c>
      <c r="E55" s="4">
        <f ca="1">'Total Trip Tables Sup #2'!E55</f>
        <v>0</v>
      </c>
      <c r="F55" s="4">
        <f ca="1">'Total Trip Tables Sup #2'!F55</f>
        <v>0</v>
      </c>
      <c r="G55" s="4">
        <f ca="1">'Total Trip Tables Sup #2'!G55</f>
        <v>0</v>
      </c>
      <c r="H55" s="4">
        <f ca="1">'Total Trip Tables Sup #2'!H55</f>
        <v>0</v>
      </c>
      <c r="I55" s="1">
        <f ca="1">'Total Trip Tables Sup #2'!I55</f>
        <v>0</v>
      </c>
      <c r="J55" s="1">
        <f ca="1">'Total Trip Tables Sup #2'!J55</f>
        <v>0</v>
      </c>
      <c r="K55" s="1">
        <f ca="1">'Total Trip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Trip Tables Sup #2'!B56</f>
        <v>0.39415976190000002</v>
      </c>
      <c r="C56" s="4">
        <f ca="1">'Total Trip Tables Sup #2'!C56</f>
        <v>0.35967282036674991</v>
      </c>
      <c r="D56" s="4">
        <f ca="1">'Total Trip Tables Sup #2'!D56</f>
        <v>0.35586164277155036</v>
      </c>
      <c r="E56" s="4">
        <f ca="1">'Total Trip Tables Sup #2'!E56</f>
        <v>0.34750267823251157</v>
      </c>
      <c r="F56" s="4">
        <f ca="1">'Total Trip Tables Sup #2'!F56</f>
        <v>0.3375883040949838</v>
      </c>
      <c r="G56" s="4">
        <f ca="1">'Total Trip Tables Sup #2'!G56</f>
        <v>0.32961627618083861</v>
      </c>
      <c r="H56" s="4">
        <f ca="1">'Total Trip Tables Sup #2'!H56</f>
        <v>0.32108932313803723</v>
      </c>
      <c r="I56" s="1">
        <f ca="1">'Total Trip Tables Sup #2'!I56</f>
        <v>0.3185630135123434</v>
      </c>
      <c r="J56" s="1">
        <f ca="1">'Total Trip Tables Sup #2'!J56</f>
        <v>0.31513796127442256</v>
      </c>
      <c r="K56" s="1">
        <f ca="1">'Total Trip Tables Sup #2'!K56</f>
        <v>0.31107694187161639</v>
      </c>
    </row>
    <row r="57" spans="1:11" x14ac:dyDescent="0.2">
      <c r="A57" t="str">
        <f ca="1">OFFSET(Gisborne_Reference,56,2)</f>
        <v>Local Ferry</v>
      </c>
      <c r="B57" s="4">
        <f ca="1">'Total Trip Tables Sup #2'!B57</f>
        <v>1.5651153399999999E-2</v>
      </c>
      <c r="C57" s="4">
        <f ca="1">'Total Trip Tables Sup #2'!C57</f>
        <v>1.7581705078631393E-2</v>
      </c>
      <c r="D57" s="4">
        <f ca="1">'Total Trip Tables Sup #2'!D57</f>
        <v>1.7316197975246018E-2</v>
      </c>
      <c r="E57" s="4">
        <f ca="1">'Total Trip Tables Sup #2'!E57</f>
        <v>1.7132600473238935E-2</v>
      </c>
      <c r="F57" s="4">
        <f ca="1">'Total Trip Tables Sup #2'!F57</f>
        <v>1.6603342487984403E-2</v>
      </c>
      <c r="G57" s="4">
        <f ca="1">'Total Trip Tables Sup #2'!G57</f>
        <v>1.6283101863528434E-2</v>
      </c>
      <c r="H57" s="4">
        <f ca="1">'Total Trip Tables Sup #2'!H57</f>
        <v>1.5710016469412346E-2</v>
      </c>
      <c r="I57" s="1">
        <f ca="1">'Total Trip Tables Sup #2'!I57</f>
        <v>1.5334158642701951E-2</v>
      </c>
      <c r="J57" s="1">
        <f ca="1">'Total Trip Tables Sup #2'!J57</f>
        <v>1.4859288934662785E-2</v>
      </c>
      <c r="K57" s="1">
        <f ca="1">'Total Trip Tables Sup #2'!K57</f>
        <v>1.4374106289431483E-2</v>
      </c>
    </row>
    <row r="58" spans="1:11" x14ac:dyDescent="0.2">
      <c r="A58" t="str">
        <f ca="1">OFFSET(Gisborne_Reference,63,2)</f>
        <v>Other Household Travel</v>
      </c>
      <c r="B58" s="4">
        <f ca="1">'Total Trip Tables Sup #2'!B58</f>
        <v>3.13358953E-2</v>
      </c>
      <c r="C58" s="4">
        <f ca="1">'Total Trip Tables Sup #2'!C58</f>
        <v>3.1948566325686469E-2</v>
      </c>
      <c r="D58" s="4">
        <f ca="1">'Total Trip Tables Sup #2'!D58</f>
        <v>3.2657936076200655E-2</v>
      </c>
      <c r="E58" s="4">
        <f ca="1">'Total Trip Tables Sup #2'!E58</f>
        <v>3.2624653042496517E-2</v>
      </c>
      <c r="F58" s="4">
        <f ca="1">'Total Trip Tables Sup #2'!F58</f>
        <v>3.2084531929269293E-2</v>
      </c>
      <c r="G58" s="4">
        <f ca="1">'Total Trip Tables Sup #2'!G58</f>
        <v>3.1073451232234536E-2</v>
      </c>
      <c r="H58" s="4">
        <f ca="1">'Total Trip Tables Sup #2'!H58</f>
        <v>2.9479065793303463E-2</v>
      </c>
      <c r="I58" s="1">
        <f ca="1">'Total Trip Tables Sup #2'!I58</f>
        <v>2.9258763431285671E-2</v>
      </c>
      <c r="J58" s="1">
        <f ca="1">'Total Trip Tables Sup #2'!J58</f>
        <v>2.8962096912125371E-2</v>
      </c>
      <c r="K58" s="1">
        <f ca="1">'Total Trip Tables Sup #2'!K58</f>
        <v>2.8606175728747293E-2</v>
      </c>
    </row>
    <row r="59" spans="1:11" x14ac:dyDescent="0.2">
      <c r="A59" t="str">
        <f ca="1">OFFSET(Hawkes_Bay_Reference,0,0)</f>
        <v>06 HAWKE`S BAY</v>
      </c>
      <c r="B59" s="4">
        <f ca="1">SUM(B60:B69)</f>
        <v>205.37636075960003</v>
      </c>
      <c r="C59" s="4">
        <f t="shared" ref="C59" ca="1" si="26">SUM(C60:C69)</f>
        <v>209.49596224073076</v>
      </c>
      <c r="D59" s="4">
        <f t="shared" ref="D59" ca="1" si="27">SUM(D60:D69)</f>
        <v>209.7983454107827</v>
      </c>
      <c r="E59" s="4">
        <f t="shared" ref="E59" ca="1" si="28">SUM(E60:E69)</f>
        <v>209.63907501054152</v>
      </c>
      <c r="F59" s="4">
        <f t="shared" ref="F59" ca="1" si="29">SUM(F60:F69)</f>
        <v>207.5551790462176</v>
      </c>
      <c r="G59" s="4">
        <f t="shared" ref="G59" ca="1" si="30">SUM(G60:G69)</f>
        <v>203.68011764928656</v>
      </c>
      <c r="H59" s="4">
        <f t="shared" ref="H59:K59" ca="1" si="31">SUM(H60:H69)</f>
        <v>198.43669224034483</v>
      </c>
      <c r="I59" s="1">
        <f t="shared" ca="1" si="31"/>
        <v>197.27730413086925</v>
      </c>
      <c r="J59" s="1">
        <f t="shared" ca="1" si="31"/>
        <v>195.57228029355576</v>
      </c>
      <c r="K59" s="1">
        <f t="shared" ca="1" si="31"/>
        <v>193.46762387813251</v>
      </c>
    </row>
    <row r="60" spans="1:11" x14ac:dyDescent="0.2">
      <c r="A60" t="str">
        <f ca="1">OFFSET(Hawkes_Bay_Reference,0,2)</f>
        <v>Pedestrian</v>
      </c>
      <c r="B60" s="4">
        <f ca="1">'Total Trip Tables Sup #2'!B60</f>
        <v>26.538300281000001</v>
      </c>
      <c r="C60" s="4">
        <f ca="1">'Total Trip Tables Sup #2'!C60</f>
        <v>26.829025389136003</v>
      </c>
      <c r="D60" s="4">
        <f ca="1">'Total Trip Tables Sup #2'!D60</f>
        <v>27.106830041259304</v>
      </c>
      <c r="E60" s="4">
        <f ca="1">'Total Trip Tables Sup #2'!E60</f>
        <v>26.983420854904022</v>
      </c>
      <c r="F60" s="4">
        <f ca="1">'Total Trip Tables Sup #2'!F60</f>
        <v>26.588130145797304</v>
      </c>
      <c r="G60" s="4">
        <f ca="1">'Total Trip Tables Sup #2'!G60</f>
        <v>26.089762852681947</v>
      </c>
      <c r="H60" s="4">
        <f ca="1">'Total Trip Tables Sup #2'!H60</f>
        <v>25.42881726112654</v>
      </c>
      <c r="I60" s="1">
        <f ca="1">'Total Trip Tables Sup #2'!I60</f>
        <v>25.300294382280285</v>
      </c>
      <c r="J60" s="1">
        <f ca="1">'Total Trip Tables Sup #2'!J60</f>
        <v>25.110102094881562</v>
      </c>
      <c r="K60" s="1">
        <f ca="1">'Total Trip Tables Sup #2'!K60</f>
        <v>24.868625832512357</v>
      </c>
    </row>
    <row r="61" spans="1:11" x14ac:dyDescent="0.2">
      <c r="A61" t="str">
        <f ca="1">OFFSET(Hawkes_Bay_Reference,7,2)</f>
        <v>Cyclist</v>
      </c>
      <c r="B61" s="4">
        <f ca="1">'Total Trip Tables Sup #2'!B61</f>
        <v>3.1819840940000002</v>
      </c>
      <c r="C61" s="4">
        <f ca="1">'Total Trip Tables Sup #2'!C61</f>
        <v>3.1443010000095239</v>
      </c>
      <c r="D61" s="4">
        <f ca="1">'Total Trip Tables Sup #2'!D61</f>
        <v>3.5111538997927805</v>
      </c>
      <c r="E61" s="4">
        <f ca="1">'Total Trip Tables Sup #2'!E61</f>
        <v>3.7322086141827659</v>
      </c>
      <c r="F61" s="4">
        <f ca="1">'Total Trip Tables Sup #2'!F61</f>
        <v>3.9436124397823833</v>
      </c>
      <c r="G61" s="4">
        <f ca="1">'Total Trip Tables Sup #2'!G61</f>
        <v>4.1438735543679153</v>
      </c>
      <c r="H61" s="4">
        <f ca="1">'Total Trip Tables Sup #2'!H61</f>
        <v>4.3272365956356884</v>
      </c>
      <c r="I61" s="1">
        <f ca="1">'Total Trip Tables Sup #2'!I61</f>
        <v>4.3338649517451149</v>
      </c>
      <c r="J61" s="1">
        <f ca="1">'Total Trip Tables Sup #2'!J61</f>
        <v>4.3426090865405538</v>
      </c>
      <c r="K61" s="1">
        <f ca="1">'Total Trip Tables Sup #2'!K61</f>
        <v>4.3432541175280575</v>
      </c>
    </row>
    <row r="62" spans="1:11" x14ac:dyDescent="0.2">
      <c r="A62" t="str">
        <f ca="1">OFFSET(Hawkes_Bay_Reference,14,2)</f>
        <v>Light Vehicle Driver</v>
      </c>
      <c r="B62" s="4">
        <f ca="1">'Total Trip Tables Sup #2'!B62</f>
        <v>111.16933473</v>
      </c>
      <c r="C62" s="4">
        <f ca="1">'Total Trip Tables Sup #2'!C62*(1-'Other Assumptions'!G11)</f>
        <v>115.84079543268651</v>
      </c>
      <c r="D62" s="4">
        <f ca="1">'Total Trip Tables Sup #2'!D62*(1-'Other Assumptions'!H11)</f>
        <v>116.41043764559049</v>
      </c>
      <c r="E62" s="4">
        <f ca="1">'Total Trip Tables Sup #2'!E62*(1-'Other Assumptions'!I11)</f>
        <v>99.538058062456969</v>
      </c>
      <c r="F62" s="4">
        <f ca="1">'Total Trip Tables Sup #2'!F62*(1-'Other Assumptions'!J11)</f>
        <v>81.558464647781761</v>
      </c>
      <c r="G62" s="4">
        <f ca="1">'Total Trip Tables Sup #2'!G62*(1-'Other Assumptions'!K11)</f>
        <v>63.014786549006203</v>
      </c>
      <c r="H62" s="4">
        <f ca="1">'Total Trip Tables Sup #2'!H62*(1-'Other Assumptions'!L11)</f>
        <v>44.692933721063241</v>
      </c>
      <c r="I62" s="1">
        <f ca="1">'Total Trip Tables Sup #2'!I62*(1-'Other Assumptions'!M11)</f>
        <v>44.418372817358055</v>
      </c>
      <c r="J62" s="1">
        <f ca="1">'Total Trip Tables Sup #2'!J62*(1-'Other Assumptions'!N11)</f>
        <v>44.016193554111808</v>
      </c>
      <c r="K62" s="1">
        <f ca="1">'Total Trip Tables Sup #2'!K62*(1-'Other Assumptions'!O11)</f>
        <v>43.523974058724733</v>
      </c>
    </row>
    <row r="63" spans="1:11" x14ac:dyDescent="0.2">
      <c r="A63" t="str">
        <f ca="1">OFFSET(Hawkes_Bay_Reference,21,2)</f>
        <v>Light Vehicle Passenger</v>
      </c>
      <c r="B63" s="4">
        <f ca="1">'Total Trip Tables Sup #2'!B63</f>
        <v>58.497679762000011</v>
      </c>
      <c r="C63" s="4">
        <f ca="1">'Total Trip Tables Sup #2'!C63*(1-'Other Assumptions'!G11)</f>
        <v>58.010549438297559</v>
      </c>
      <c r="D63" s="4">
        <f ca="1">'Total Trip Tables Sup #2'!D63*(1-'Other Assumptions'!H11)</f>
        <v>57.103307869257371</v>
      </c>
      <c r="E63" s="4">
        <f ca="1">'Total Trip Tables Sup #2'!E63*(1-'Other Assumptions'!I11)</f>
        <v>47.799969830443914</v>
      </c>
      <c r="F63" s="4">
        <f ca="1">'Total Trip Tables Sup #2'!F63*(1-'Other Assumptions'!J11)</f>
        <v>38.539425507362196</v>
      </c>
      <c r="G63" s="4">
        <f ca="1">'Total Trip Tables Sup #2'!G63*(1-'Other Assumptions'!K11)</f>
        <v>29.451015789899053</v>
      </c>
      <c r="H63" s="4">
        <f ca="1">'Total Trip Tables Sup #2'!H63*(1-'Other Assumptions'!L11)</f>
        <v>20.710525243922515</v>
      </c>
      <c r="I63" s="1">
        <f ca="1">'Total Trip Tables Sup #2'!I63*(1-'Other Assumptions'!M11)</f>
        <v>20.579851401948716</v>
      </c>
      <c r="J63" s="1">
        <f ca="1">'Total Trip Tables Sup #2'!J63*(1-'Other Assumptions'!N11)</f>
        <v>20.387842994231669</v>
      </c>
      <c r="K63" s="1">
        <f ca="1">'Total Trip Tables Sup #2'!K63*(1-'Other Assumptions'!O11)</f>
        <v>20.154032886841144</v>
      </c>
    </row>
    <row r="64" spans="1:11" x14ac:dyDescent="0.2">
      <c r="A64" t="str">
        <f ca="1">OFFSET(Hawkes_Bay_Reference,28,2)</f>
        <v>Taxi/Vehicle Share</v>
      </c>
      <c r="B64" s="4">
        <f ca="1">'Total Trip Tables Sup #2'!B64</f>
        <v>0.32519619989999998</v>
      </c>
      <c r="C64" s="4">
        <f ca="1">'Total Trip Tables Sup #2'!C64+((C62+C63)*'Other Assumptions'!G11/(1-'Other Assumptions'!G11))</f>
        <v>0.36091477059930333</v>
      </c>
      <c r="D64" s="4">
        <f ca="1">'Total Trip Tables Sup #2'!D64+((D62+D63)*'Other Assumptions'!H11/(1-'Other Assumptions'!H11))</f>
        <v>0.38645379497848215</v>
      </c>
      <c r="E64" s="4">
        <f ca="1">'Total Trip Tables Sup #2'!E64+((E62+E63)*'Other Assumptions'!I11/(1-'Other Assumptions'!I11))</f>
        <v>26.402850209601937</v>
      </c>
      <c r="F64" s="4">
        <f ca="1">'Total Trip Tables Sup #2'!F64+((F62+F63)*'Other Assumptions'!J11/(1-'Other Assumptions'!J11))</f>
        <v>51.880525189270223</v>
      </c>
      <c r="G64" s="4">
        <f ca="1">'Total Trip Tables Sup #2'!G64+((G62+G63)*'Other Assumptions'!K11/(1-'Other Assumptions'!K11))</f>
        <v>76.064659826176893</v>
      </c>
      <c r="H64" s="4">
        <f ca="1">'Total Trip Tables Sup #2'!H64+((H62+H63)*'Other Assumptions'!L11/(1-'Other Assumptions'!L11))</f>
        <v>98.512672225108247</v>
      </c>
      <c r="I64" s="1">
        <f ca="1">'Total Trip Tables Sup #2'!I64+((I62+I63)*'Other Assumptions'!M11/(1-'Other Assumptions'!M11))</f>
        <v>97.902905409764941</v>
      </c>
      <c r="J64" s="1">
        <f ca="1">'Total Trip Tables Sup #2'!J64+((J62+J63)*'Other Assumptions'!N11/(1-'Other Assumptions'!N11))</f>
        <v>97.008706671798038</v>
      </c>
      <c r="K64" s="1">
        <f ca="1">'Total Trip Tables Sup #2'!K64+((K62+K63)*'Other Assumptions'!O11/(1-'Other Assumptions'!O11))</f>
        <v>95.915905802384643</v>
      </c>
    </row>
    <row r="65" spans="1:11" x14ac:dyDescent="0.2">
      <c r="A65" t="str">
        <f ca="1">OFFSET(Hawkes_Bay_Reference,35,2)</f>
        <v>Motorcyclist</v>
      </c>
      <c r="B65" s="4">
        <f ca="1">'Total Trip Tables Sup #2'!B65</f>
        <v>0.65061969099999994</v>
      </c>
      <c r="C65" s="4">
        <f ca="1">'Total Trip Tables Sup #2'!C65</f>
        <v>0.6531518490052548</v>
      </c>
      <c r="D65" s="4">
        <f ca="1">'Total Trip Tables Sup #2'!D65</f>
        <v>0.64869714746134965</v>
      </c>
      <c r="E65" s="4">
        <f ca="1">'Total Trip Tables Sup #2'!E65</f>
        <v>0.63580075074993825</v>
      </c>
      <c r="F65" s="4">
        <f ca="1">'Total Trip Tables Sup #2'!F65</f>
        <v>0.6145213030349439</v>
      </c>
      <c r="G65" s="4">
        <f ca="1">'Total Trip Tables Sup #2'!G65</f>
        <v>0.5804990701954349</v>
      </c>
      <c r="H65" s="4">
        <f ca="1">'Total Trip Tables Sup #2'!H65</f>
        <v>0.5432483022841148</v>
      </c>
      <c r="I65" s="1">
        <f ca="1">'Total Trip Tables Sup #2'!I65</f>
        <v>0.54335271103218863</v>
      </c>
      <c r="J65" s="1">
        <f ca="1">'Total Trip Tables Sup #2'!J65</f>
        <v>0.54267433801133691</v>
      </c>
      <c r="K65" s="1">
        <f ca="1">'Total Trip Tables Sup #2'!K65</f>
        <v>0.54082588284907107</v>
      </c>
    </row>
    <row r="66" spans="1:11" x14ac:dyDescent="0.2">
      <c r="A66" t="str">
        <f ca="1">OFFSET(Auckland_Reference,42,2)</f>
        <v>Local Train</v>
      </c>
      <c r="B66" s="4">
        <f ca="1">'Total Trip Tables Sup #2'!B66</f>
        <v>0</v>
      </c>
      <c r="C66" s="4">
        <f ca="1">'Total Trip Tables Sup #2'!C66</f>
        <v>0</v>
      </c>
      <c r="D66" s="4">
        <f ca="1">'Total Trip Tables Sup #2'!D66</f>
        <v>0</v>
      </c>
      <c r="E66" s="4">
        <f ca="1">'Total Trip Tables Sup #2'!E66</f>
        <v>0</v>
      </c>
      <c r="F66" s="4">
        <f ca="1">'Total Trip Tables Sup #2'!F66</f>
        <v>0</v>
      </c>
      <c r="G66" s="4">
        <f ca="1">'Total Trip Tables Sup #2'!G66</f>
        <v>0</v>
      </c>
      <c r="H66" s="4">
        <f ca="1">'Total Trip Tables Sup #2'!H66</f>
        <v>0</v>
      </c>
      <c r="I66" s="1">
        <f ca="1">'Total Trip Tables Sup #2'!I66</f>
        <v>0</v>
      </c>
      <c r="J66" s="1">
        <f ca="1">'Total Trip Tables Sup #2'!J66</f>
        <v>0</v>
      </c>
      <c r="K66" s="1">
        <f ca="1">'Total Trip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Trip Tables Sup #2'!B67</f>
        <v>4.5218645043999999</v>
      </c>
      <c r="C67" s="4">
        <f ca="1">'Total Trip Tables Sup #2'!C67</f>
        <v>4.1529862356539846</v>
      </c>
      <c r="D67" s="4">
        <f ca="1">'Total Trip Tables Sup #2'!D67</f>
        <v>4.1152451601649433</v>
      </c>
      <c r="E67" s="4">
        <f ca="1">'Total Trip Tables Sup #2'!E67</f>
        <v>4.0296521602816169</v>
      </c>
      <c r="F67" s="4">
        <f ca="1">'Total Trip Tables Sup #2'!F67</f>
        <v>3.9211115360956077</v>
      </c>
      <c r="G67" s="4">
        <f ca="1">'Total Trip Tables Sup #2'!G67</f>
        <v>3.8406238800964716</v>
      </c>
      <c r="H67" s="4">
        <f ca="1">'Total Trip Tables Sup #2'!H67</f>
        <v>3.7505867429340261</v>
      </c>
      <c r="I67" s="1">
        <f ca="1">'Total Trip Tables Sup #2'!I67</f>
        <v>3.7303443262910059</v>
      </c>
      <c r="J67" s="1">
        <f ca="1">'Total Trip Tables Sup #2'!J67</f>
        <v>3.6994274202158395</v>
      </c>
      <c r="K67" s="1">
        <f ca="1">'Total Trip Tables Sup #2'!K67</f>
        <v>3.6608491304735891</v>
      </c>
    </row>
    <row r="68" spans="1:11" x14ac:dyDescent="0.2">
      <c r="A68" t="str">
        <f ca="1">OFFSET(Waikato_Reference,56,2)</f>
        <v>Local Ferry</v>
      </c>
      <c r="B68" s="4">
        <f ca="1">'Total Trip Tables Sup #2'!B68</f>
        <v>0</v>
      </c>
      <c r="C68" s="4">
        <f ca="1">'Total Trip Tables Sup #2'!C68</f>
        <v>0</v>
      </c>
      <c r="D68" s="4">
        <f ca="1">'Total Trip Tables Sup #2'!D68</f>
        <v>0</v>
      </c>
      <c r="E68" s="4">
        <f ca="1">'Total Trip Tables Sup #2'!E68</f>
        <v>0</v>
      </c>
      <c r="F68" s="4">
        <f ca="1">'Total Trip Tables Sup #2'!F68</f>
        <v>0</v>
      </c>
      <c r="G68" s="4">
        <f ca="1">'Total Trip Tables Sup #2'!G68</f>
        <v>0</v>
      </c>
      <c r="H68" s="4">
        <f ca="1">'Total Trip Tables Sup #2'!H68</f>
        <v>0</v>
      </c>
      <c r="I68" s="1">
        <f ca="1">'Total Trip Tables Sup #2'!I68</f>
        <v>0</v>
      </c>
      <c r="J68" s="1">
        <f ca="1">'Total Trip Tables Sup #2'!J68</f>
        <v>0</v>
      </c>
      <c r="K68" s="1">
        <f ca="1">'Total Trip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Trip Tables Sup #2'!B69</f>
        <v>0.49138149730000003</v>
      </c>
      <c r="C69" s="4">
        <f ca="1">'Total Trip Tables Sup #2'!C69</f>
        <v>0.50423812534263512</v>
      </c>
      <c r="D69" s="4">
        <f ca="1">'Total Trip Tables Sup #2'!D69</f>
        <v>0.51621985227799594</v>
      </c>
      <c r="E69" s="4">
        <f ca="1">'Total Trip Tables Sup #2'!E69</f>
        <v>0.51711452792034207</v>
      </c>
      <c r="F69" s="4">
        <f ca="1">'Total Trip Tables Sup #2'!F69</f>
        <v>0.50938827709319168</v>
      </c>
      <c r="G69" s="4">
        <f ca="1">'Total Trip Tables Sup #2'!G69</f>
        <v>0.49489612686263784</v>
      </c>
      <c r="H69" s="4">
        <f ca="1">'Total Trip Tables Sup #2'!H69</f>
        <v>0.47067214827042442</v>
      </c>
      <c r="I69" s="1">
        <f ca="1">'Total Trip Tables Sup #2'!I69</f>
        <v>0.46831813044893794</v>
      </c>
      <c r="J69" s="1">
        <f ca="1">'Total Trip Tables Sup #2'!J69</f>
        <v>0.46472413376496086</v>
      </c>
      <c r="K69" s="1">
        <f ca="1">'Total Trip Tables Sup #2'!K69</f>
        <v>0.46015616681893973</v>
      </c>
    </row>
    <row r="70" spans="1:11" x14ac:dyDescent="0.2">
      <c r="A70" t="str">
        <f ca="1">OFFSET(Taranaki_Reference,0,0)</f>
        <v>07 TARANAKI</v>
      </c>
      <c r="B70" s="4">
        <f ca="1">SUM(B71:B80)</f>
        <v>164.86299707219999</v>
      </c>
      <c r="C70" s="4">
        <f t="shared" ref="C70" ca="1" si="32">SUM(C71:C80)</f>
        <v>170.08697263948775</v>
      </c>
      <c r="D70" s="4">
        <f t="shared" ref="D70" ca="1" si="33">SUM(D71:D80)</f>
        <v>171.77935557184094</v>
      </c>
      <c r="E70" s="4">
        <f t="shared" ref="E70" ca="1" si="34">SUM(E71:E80)</f>
        <v>173.30589286314193</v>
      </c>
      <c r="F70" s="4">
        <f t="shared" ref="F70" ca="1" si="35">SUM(F71:F80)</f>
        <v>173.41764165830426</v>
      </c>
      <c r="G70" s="4">
        <f t="shared" ref="G70" ca="1" si="36">SUM(G71:G80)</f>
        <v>172.21537519206871</v>
      </c>
      <c r="H70" s="4">
        <f t="shared" ref="H70:K70" ca="1" si="37">SUM(H71:H80)</f>
        <v>170.02297067649084</v>
      </c>
      <c r="I70" s="1">
        <f t="shared" ca="1" si="37"/>
        <v>171.32671587072281</v>
      </c>
      <c r="J70" s="1">
        <f t="shared" ca="1" si="37"/>
        <v>172.15436083909756</v>
      </c>
      <c r="K70" s="1">
        <f t="shared" ca="1" si="37"/>
        <v>172.61622247281005</v>
      </c>
    </row>
    <row r="71" spans="1:11" x14ac:dyDescent="0.2">
      <c r="A71" t="str">
        <f ca="1">OFFSET(Taranaki_Reference,0,2)</f>
        <v>Pedestrian</v>
      </c>
      <c r="B71" s="4">
        <f ca="1">'Total Trip Tables Sup #2'!B71</f>
        <v>23.308571313000002</v>
      </c>
      <c r="C71" s="4">
        <f ca="1">'Total Trip Tables Sup #2'!C71</f>
        <v>23.786436437049691</v>
      </c>
      <c r="D71" s="4">
        <f ca="1">'Total Trip Tables Sup #2'!D71</f>
        <v>24.231520922849253</v>
      </c>
      <c r="E71" s="4">
        <f ca="1">'Total Trip Tables Sup #2'!E71</f>
        <v>24.348300900451925</v>
      </c>
      <c r="F71" s="4">
        <f ca="1">'Total Trip Tables Sup #2'!F71</f>
        <v>24.245781980427498</v>
      </c>
      <c r="G71" s="4">
        <f ca="1">'Total Trip Tables Sup #2'!G71</f>
        <v>24.079662112972958</v>
      </c>
      <c r="H71" s="4">
        <f ca="1">'Total Trip Tables Sup #2'!H71</f>
        <v>23.788515695629531</v>
      </c>
      <c r="I71" s="1">
        <f ca="1">'Total Trip Tables Sup #2'!I71</f>
        <v>23.989858431377382</v>
      </c>
      <c r="J71" s="1">
        <f ca="1">'Total Trip Tables Sup #2'!J71</f>
        <v>24.133011285546281</v>
      </c>
      <c r="K71" s="1">
        <f ca="1">'Total Trip Tables Sup #2'!K71</f>
        <v>24.225667510434537</v>
      </c>
    </row>
    <row r="72" spans="1:11" x14ac:dyDescent="0.2">
      <c r="A72" t="str">
        <f ca="1">OFFSET(Taranaki_Reference,7,2)</f>
        <v>Cyclist</v>
      </c>
      <c r="B72" s="4">
        <f ca="1">'Total Trip Tables Sup #2'!B72</f>
        <v>2.1611397319000001</v>
      </c>
      <c r="C72" s="4">
        <f ca="1">'Total Trip Tables Sup #2'!C72</f>
        <v>2.1557127642432437</v>
      </c>
      <c r="D72" s="4">
        <f ca="1">'Total Trip Tables Sup #2'!D72</f>
        <v>2.4271359322862458</v>
      </c>
      <c r="E72" s="4">
        <f ca="1">'Total Trip Tables Sup #2'!E72</f>
        <v>2.6042331140199653</v>
      </c>
      <c r="F72" s="4">
        <f ca="1">'Total Trip Tables Sup #2'!F72</f>
        <v>2.7808971073888089</v>
      </c>
      <c r="G72" s="4">
        <f ca="1">'Total Trip Tables Sup #2'!G72</f>
        <v>2.9575292244678137</v>
      </c>
      <c r="H72" s="4">
        <f ca="1">'Total Trip Tables Sup #2'!H72</f>
        <v>3.1303587922604796</v>
      </c>
      <c r="I72" s="1">
        <f ca="1">'Total Trip Tables Sup #2'!I72</f>
        <v>3.1777503666562654</v>
      </c>
      <c r="J72" s="1">
        <f ca="1">'Total Trip Tables Sup #2'!J72</f>
        <v>3.2274243178944539</v>
      </c>
      <c r="K72" s="1">
        <f ca="1">'Total Trip Tables Sup #2'!K72</f>
        <v>3.2717604414370247</v>
      </c>
    </row>
    <row r="73" spans="1:11" x14ac:dyDescent="0.2">
      <c r="A73" t="str">
        <f ca="1">OFFSET(Taranaki_Reference,14,2)</f>
        <v>Light Vehicle Driver</v>
      </c>
      <c r="B73" s="4">
        <f ca="1">'Total Trip Tables Sup #2'!B73</f>
        <v>90.801950900999998</v>
      </c>
      <c r="C73" s="4">
        <f ca="1">'Total Trip Tables Sup #2'!C73*(1-'Other Assumptions'!G12)</f>
        <v>95.511054467058472</v>
      </c>
      <c r="D73" s="4">
        <f ca="1">'Total Trip Tables Sup #2'!D73*(1-'Other Assumptions'!H12)</f>
        <v>96.777480244927077</v>
      </c>
      <c r="E73" s="4">
        <f ca="1">'Total Trip Tables Sup #2'!E73*(1-'Other Assumptions'!I12)</f>
        <v>83.532050136007598</v>
      </c>
      <c r="F73" s="4">
        <f ca="1">'Total Trip Tables Sup #2'!F73*(1-'Other Assumptions'!J12)</f>
        <v>69.170724670943713</v>
      </c>
      <c r="G73" s="4">
        <f ca="1">'Total Trip Tables Sup #2'!G73*(1-'Other Assumptions'!K12)</f>
        <v>54.093048274274537</v>
      </c>
      <c r="H73" s="4">
        <f ca="1">'Total Trip Tables Sup #2'!H73*(1-'Other Assumptions'!L12)</f>
        <v>38.887913360168938</v>
      </c>
      <c r="I73" s="1">
        <f ca="1">'Total Trip Tables Sup #2'!I73*(1-'Other Assumptions'!M12)</f>
        <v>39.174276721245676</v>
      </c>
      <c r="J73" s="1">
        <f ca="1">'Total Trip Tables Sup #2'!J73*(1-'Other Assumptions'!N12)</f>
        <v>39.347228484641725</v>
      </c>
      <c r="K73" s="1">
        <f ca="1">'Total Trip Tables Sup #2'!K73*(1-'Other Assumptions'!O12)</f>
        <v>39.436069414575911</v>
      </c>
    </row>
    <row r="74" spans="1:11" x14ac:dyDescent="0.2">
      <c r="A74" t="str">
        <f ca="1">OFFSET(Taranaki_Reference,21,2)</f>
        <v>Light Vehicle Passenger</v>
      </c>
      <c r="B74" s="4">
        <f ca="1">'Total Trip Tables Sup #2'!B74</f>
        <v>45.484067730000007</v>
      </c>
      <c r="C74" s="4">
        <f ca="1">'Total Trip Tables Sup #2'!C74*(1-'Other Assumptions'!G12)</f>
        <v>45.531249821384442</v>
      </c>
      <c r="D74" s="4">
        <f ca="1">'Total Trip Tables Sup #2'!D74*(1-'Other Assumptions'!H12)</f>
        <v>45.184254225552152</v>
      </c>
      <c r="E74" s="4">
        <f ca="1">'Total Trip Tables Sup #2'!E74*(1-'Other Assumptions'!I12)</f>
        <v>38.174171353431781</v>
      </c>
      <c r="F74" s="4">
        <f ca="1">'Total Trip Tables Sup #2'!F74*(1-'Other Assumptions'!J12)</f>
        <v>31.100983167761783</v>
      </c>
      <c r="G74" s="4">
        <f ca="1">'Total Trip Tables Sup #2'!G74*(1-'Other Assumptions'!K12)</f>
        <v>24.052180502821379</v>
      </c>
      <c r="H74" s="4">
        <f ca="1">'Total Trip Tables Sup #2'!H74*(1-'Other Assumptions'!L12)</f>
        <v>17.142128144001067</v>
      </c>
      <c r="I74" s="1">
        <f ca="1">'Total Trip Tables Sup #2'!I74*(1-'Other Assumptions'!M12)</f>
        <v>17.265494136983715</v>
      </c>
      <c r="J74" s="1">
        <f ca="1">'Total Trip Tables Sup #2'!J74*(1-'Other Assumptions'!N12)</f>
        <v>17.33693229770758</v>
      </c>
      <c r="K74" s="1">
        <f ca="1">'Total Trip Tables Sup #2'!K74*(1-'Other Assumptions'!O12)</f>
        <v>17.371097896891097</v>
      </c>
    </row>
    <row r="75" spans="1:11" x14ac:dyDescent="0.2">
      <c r="A75" t="str">
        <f ca="1">OFFSET(Taranaki_Reference,28,2)</f>
        <v>Taxi/Vehicle Share</v>
      </c>
      <c r="B75" s="4">
        <f ca="1">'Total Trip Tables Sup #2'!B75</f>
        <v>0.56194422089999996</v>
      </c>
      <c r="C75" s="4">
        <f ca="1">'Total Trip Tables Sup #2'!C75+((C73+C74)*'Other Assumptions'!G12/(1-'Other Assumptions'!G12))</f>
        <v>0.62955595948241205</v>
      </c>
      <c r="D75" s="4">
        <f ca="1">'Total Trip Tables Sup #2'!D75+((D73+D74)*'Other Assumptions'!H12/(1-'Other Assumptions'!H12))</f>
        <v>0.67968034991432291</v>
      </c>
      <c r="E75" s="4">
        <f ca="1">'Total Trip Tables Sup #2'!E75+((E73+E74)*'Other Assumptions'!I12/(1-'Other Assumptions'!I12))</f>
        <v>22.191286100831555</v>
      </c>
      <c r="F75" s="4">
        <f ca="1">'Total Trip Tables Sup #2'!F75+((F73+F74)*'Other Assumptions'!J12/(1-'Other Assumptions'!J12))</f>
        <v>43.70918334731666</v>
      </c>
      <c r="G75" s="4">
        <f ca="1">'Total Trip Tables Sup #2'!G75+((G73+G74)*'Other Assumptions'!K12/(1-'Other Assumptions'!K12))</f>
        <v>64.683005091405633</v>
      </c>
      <c r="H75" s="4">
        <f ca="1">'Total Trip Tables Sup #2'!H75+((H73+H74)*'Other Assumptions'!L12/(1-'Other Assumptions'!L12))</f>
        <v>84.795054382787455</v>
      </c>
      <c r="I75" s="1">
        <f ca="1">'Total Trip Tables Sup #2'!I75+((I73+I74)*'Other Assumptions'!M12/(1-'Other Assumptions'!M12))</f>
        <v>85.416266407115003</v>
      </c>
      <c r="J75" s="1">
        <f ca="1">'Total Trip Tables Sup #2'!J75+((J73+J74)*'Other Assumptions'!N12/(1-'Other Assumptions'!N12))</f>
        <v>85.787614980730126</v>
      </c>
      <c r="K75" s="1">
        <f ca="1">'Total Trip Tables Sup #2'!K75+((K73+K74)*'Other Assumptions'!O12/(1-'Other Assumptions'!O12))</f>
        <v>85.975269771034462</v>
      </c>
    </row>
    <row r="76" spans="1:11" x14ac:dyDescent="0.2">
      <c r="A76" t="str">
        <f ca="1">OFFSET(Taranaki_Reference,35,2)</f>
        <v>Motorcyclist</v>
      </c>
      <c r="B76" s="4">
        <f ca="1">'Total Trip Tables Sup #2'!B76</f>
        <v>1.091812341</v>
      </c>
      <c r="C76" s="4">
        <f ca="1">'Total Trip Tables Sup #2'!C76</f>
        <v>1.1064120383989606</v>
      </c>
      <c r="D76" s="4">
        <f ca="1">'Total Trip Tables Sup #2'!D76</f>
        <v>1.1079551351099921</v>
      </c>
      <c r="E76" s="4">
        <f ca="1">'Total Trip Tables Sup #2'!E76</f>
        <v>1.0961523891654952</v>
      </c>
      <c r="F76" s="4">
        <f ca="1">'Total Trip Tables Sup #2'!F76</f>
        <v>1.0706896085097548</v>
      </c>
      <c r="G76" s="4">
        <f ca="1">'Total Trip Tables Sup #2'!G76</f>
        <v>1.0236701292205796</v>
      </c>
      <c r="H76" s="4">
        <f ca="1">'Total Trip Tables Sup #2'!H76</f>
        <v>0.97099681831543128</v>
      </c>
      <c r="I76" s="1">
        <f ca="1">'Total Trip Tables Sup #2'!I76</f>
        <v>0.98437866897604775</v>
      </c>
      <c r="J76" s="1">
        <f ca="1">'Total Trip Tables Sup #2'!J76</f>
        <v>0.99650749118353465</v>
      </c>
      <c r="K76" s="1">
        <f ca="1">'Total Trip Tables Sup #2'!K76</f>
        <v>1.0066063770044915</v>
      </c>
    </row>
    <row r="77" spans="1:11" x14ac:dyDescent="0.2">
      <c r="A77" t="str">
        <f ca="1">OFFSET(Taranaki_Reference,42,2)</f>
        <v>Local Train</v>
      </c>
      <c r="B77" s="4">
        <f ca="1">'Total Trip Tables Sup #2'!B77</f>
        <v>0</v>
      </c>
      <c r="C77" s="4">
        <f ca="1">'Total Trip Tables Sup #2'!C77</f>
        <v>0</v>
      </c>
      <c r="D77" s="4">
        <f ca="1">'Total Trip Tables Sup #2'!D77</f>
        <v>0</v>
      </c>
      <c r="E77" s="4">
        <f ca="1">'Total Trip Tables Sup #2'!E77</f>
        <v>0</v>
      </c>
      <c r="F77" s="4">
        <f ca="1">'Total Trip Tables Sup #2'!F77</f>
        <v>0</v>
      </c>
      <c r="G77" s="4">
        <f ca="1">'Total Trip Tables Sup #2'!G77</f>
        <v>0</v>
      </c>
      <c r="H77" s="4">
        <f ca="1">'Total Trip Tables Sup #2'!H77</f>
        <v>0</v>
      </c>
      <c r="I77" s="1">
        <f ca="1">'Total Trip Tables Sup #2'!I77</f>
        <v>0</v>
      </c>
      <c r="J77" s="1">
        <f ca="1">'Total Trip Tables Sup #2'!J77</f>
        <v>0</v>
      </c>
      <c r="K77" s="1">
        <f ca="1">'Total Trip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Trip Tables Sup #2'!B78</f>
        <v>1.2787514622</v>
      </c>
      <c r="C78" s="4">
        <f ca="1">'Total Trip Tables Sup #2'!C78</f>
        <v>1.1855258451205593</v>
      </c>
      <c r="D78" s="4">
        <f ca="1">'Total Trip Tables Sup #2'!D78</f>
        <v>1.1844690086556691</v>
      </c>
      <c r="E78" s="4">
        <f ca="1">'Total Trip Tables Sup #2'!E78</f>
        <v>1.1707529493355679</v>
      </c>
      <c r="F78" s="4">
        <f ca="1">'Total Trip Tables Sup #2'!F78</f>
        <v>1.151287113564166</v>
      </c>
      <c r="G78" s="4">
        <f ca="1">'Total Trip Tables Sup #2'!G78</f>
        <v>1.1413217217679006</v>
      </c>
      <c r="H78" s="4">
        <f ca="1">'Total Trip Tables Sup #2'!H78</f>
        <v>1.1297086288670393</v>
      </c>
      <c r="I78" s="1">
        <f ca="1">'Total Trip Tables Sup #2'!I78</f>
        <v>1.1388776742001987</v>
      </c>
      <c r="J78" s="1">
        <f ca="1">'Total Trip Tables Sup #2'!J78</f>
        <v>1.1447841204712133</v>
      </c>
      <c r="K78" s="1">
        <f ca="1">'Total Trip Tables Sup #2'!K78</f>
        <v>1.1482378097952781</v>
      </c>
    </row>
    <row r="79" spans="1:11" x14ac:dyDescent="0.2">
      <c r="A79" t="str">
        <f ca="1">OFFSET(Waikato_Reference,56,2)</f>
        <v>Local Ferry</v>
      </c>
      <c r="B79" s="4">
        <f ca="1">'Total Trip Tables Sup #2'!B79</f>
        <v>0</v>
      </c>
      <c r="C79" s="4">
        <f ca="1">'Total Trip Tables Sup #2'!C79</f>
        <v>0</v>
      </c>
      <c r="D79" s="4">
        <f ca="1">'Total Trip Tables Sup #2'!D79</f>
        <v>0</v>
      </c>
      <c r="E79" s="4">
        <f ca="1">'Total Trip Tables Sup #2'!E79</f>
        <v>0</v>
      </c>
      <c r="F79" s="4">
        <f ca="1">'Total Trip Tables Sup #2'!F79</f>
        <v>0</v>
      </c>
      <c r="G79" s="4">
        <f ca="1">'Total Trip Tables Sup #2'!G79</f>
        <v>0</v>
      </c>
      <c r="H79" s="4">
        <f ca="1">'Total Trip Tables Sup #2'!H79</f>
        <v>0</v>
      </c>
      <c r="I79" s="1">
        <f ca="1">'Total Trip Tables Sup #2'!I79</f>
        <v>0</v>
      </c>
      <c r="J79" s="1">
        <f ca="1">'Total Trip Tables Sup #2'!J79</f>
        <v>0</v>
      </c>
      <c r="K79" s="1">
        <f ca="1">'Total Trip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Trip Tables Sup #2'!B80</f>
        <v>0.17475937220000001</v>
      </c>
      <c r="C80" s="4">
        <f ca="1">'Total Trip Tables Sup #2'!C80</f>
        <v>0.18102530674998546</v>
      </c>
      <c r="D80" s="4">
        <f ca="1">'Total Trip Tables Sup #2'!D80</f>
        <v>0.18685975254625148</v>
      </c>
      <c r="E80" s="4">
        <f ca="1">'Total Trip Tables Sup #2'!E80</f>
        <v>0.18894591989806853</v>
      </c>
      <c r="F80" s="4">
        <f ca="1">'Total Trip Tables Sup #2'!F80</f>
        <v>0.18809466239188399</v>
      </c>
      <c r="G80" s="4">
        <f ca="1">'Total Trip Tables Sup #2'!G80</f>
        <v>0.18495813513791967</v>
      </c>
      <c r="H80" s="4">
        <f ca="1">'Total Trip Tables Sup #2'!H80</f>
        <v>0.17829485446090457</v>
      </c>
      <c r="I80" s="1">
        <f ca="1">'Total Trip Tables Sup #2'!I80</f>
        <v>0.17981346416853694</v>
      </c>
      <c r="J80" s="1">
        <f ca="1">'Total Trip Tables Sup #2'!J80</f>
        <v>0.18085786092269215</v>
      </c>
      <c r="K80" s="1">
        <f ca="1">'Total Trip Tables Sup #2'!K80</f>
        <v>0.18151325163726989</v>
      </c>
    </row>
    <row r="81" spans="1:11" x14ac:dyDescent="0.2">
      <c r="A81" t="str">
        <f ca="1">OFFSET(Manawatu_Reference,0,0)</f>
        <v>08 MANAWATU-WANGANUI</v>
      </c>
      <c r="B81" s="4">
        <f ca="1">SUM(B82:B91)</f>
        <v>314.31283259870003</v>
      </c>
      <c r="C81" s="4">
        <f t="shared" ref="C81" ca="1" si="38">SUM(C82:C91)</f>
        <v>321.70805455497242</v>
      </c>
      <c r="D81" s="4">
        <f t="shared" ref="D81" ca="1" si="39">SUM(D82:D91)</f>
        <v>321.35744972378905</v>
      </c>
      <c r="E81" s="4">
        <f t="shared" ref="E81" ca="1" si="40">SUM(E82:E91)</f>
        <v>320.34004424433545</v>
      </c>
      <c r="F81" s="4">
        <f t="shared" ref="F81" ca="1" si="41">SUM(F82:F91)</f>
        <v>316.68373630037644</v>
      </c>
      <c r="G81" s="4">
        <f t="shared" ref="G81" ca="1" si="42">SUM(G82:G91)</f>
        <v>310.3730325307364</v>
      </c>
      <c r="H81" s="4">
        <f t="shared" ref="H81:K81" ca="1" si="43">SUM(H82:H91)</f>
        <v>302.04841973982661</v>
      </c>
      <c r="I81" s="1">
        <f t="shared" ca="1" si="43"/>
        <v>299.87934443414315</v>
      </c>
      <c r="J81" s="1">
        <f t="shared" ca="1" si="43"/>
        <v>296.88587368431286</v>
      </c>
      <c r="K81" s="1">
        <f t="shared" ca="1" si="43"/>
        <v>293.29412118851405</v>
      </c>
    </row>
    <row r="82" spans="1:11" x14ac:dyDescent="0.2">
      <c r="A82" t="str">
        <f ca="1">OFFSET(Manawatu_Reference,0,2)</f>
        <v>Pedestrian</v>
      </c>
      <c r="B82" s="4">
        <f ca="1">'Total Trip Tables Sup #2'!B82</f>
        <v>39.544031846000003</v>
      </c>
      <c r="C82" s="4">
        <f ca="1">'Total Trip Tables Sup #2'!C82</f>
        <v>40.039486279960073</v>
      </c>
      <c r="D82" s="4">
        <f ca="1">'Total Trip Tables Sup #2'!D82</f>
        <v>40.332656941890754</v>
      </c>
      <c r="E82" s="4">
        <f ca="1">'Total Trip Tables Sup #2'!E82</f>
        <v>40.027266432593926</v>
      </c>
      <c r="F82" s="4">
        <f ca="1">'Total Trip Tables Sup #2'!F82</f>
        <v>39.362804458073782</v>
      </c>
      <c r="G82" s="4">
        <f ca="1">'Total Trip Tables Sup #2'!G82</f>
        <v>38.564418799616682</v>
      </c>
      <c r="H82" s="4">
        <f ca="1">'Total Trip Tables Sup #2'!H82</f>
        <v>37.537559658004255</v>
      </c>
      <c r="I82" s="1">
        <f ca="1">'Total Trip Tables Sup #2'!I82</f>
        <v>37.298267950203993</v>
      </c>
      <c r="J82" s="1">
        <f ca="1">'Total Trip Tables Sup #2'!J82</f>
        <v>36.968751524357458</v>
      </c>
      <c r="K82" s="1">
        <f ca="1">'Total Trip Tables Sup #2'!K82</f>
        <v>36.564640627997697</v>
      </c>
    </row>
    <row r="83" spans="1:11" x14ac:dyDescent="0.2">
      <c r="A83" t="str">
        <f ca="1">OFFSET(Manawatu_Reference,7,2)</f>
        <v>Cyclist</v>
      </c>
      <c r="B83" s="4">
        <f ca="1">'Total Trip Tables Sup #2'!B83</f>
        <v>4.6745036201000003</v>
      </c>
      <c r="C83" s="4">
        <f ca="1">'Total Trip Tables Sup #2'!C83</f>
        <v>4.6263380813340129</v>
      </c>
      <c r="D83" s="4">
        <f ca="1">'Total Trip Tables Sup #2'!D83</f>
        <v>5.1505975634544114</v>
      </c>
      <c r="E83" s="4">
        <f ca="1">'Total Trip Tables Sup #2'!E83</f>
        <v>5.4582633869676496</v>
      </c>
      <c r="F83" s="4">
        <f ca="1">'Total Trip Tables Sup #2'!F83</f>
        <v>5.7560176561587104</v>
      </c>
      <c r="G83" s="4">
        <f ca="1">'Total Trip Tables Sup #2'!G83</f>
        <v>6.0388300382297189</v>
      </c>
      <c r="H83" s="4">
        <f ca="1">'Total Trip Tables Sup #2'!H83</f>
        <v>6.2976738985476137</v>
      </c>
      <c r="I83" s="1">
        <f ca="1">'Total Trip Tables Sup #2'!I83</f>
        <v>6.2989493604307327</v>
      </c>
      <c r="J83" s="1">
        <f ca="1">'Total Trip Tables Sup #2'!J83</f>
        <v>6.3032813884770622</v>
      </c>
      <c r="K83" s="1">
        <f ca="1">'Total Trip Tables Sup #2'!K83</f>
        <v>6.2958506044839986</v>
      </c>
    </row>
    <row r="84" spans="1:11" x14ac:dyDescent="0.2">
      <c r="A84" t="str">
        <f ca="1">OFFSET(Manawatu_Reference,14,2)</f>
        <v>Light Vehicle Driver</v>
      </c>
      <c r="B84" s="4">
        <f ca="1">'Total Trip Tables Sup #2'!B84</f>
        <v>178.69640117</v>
      </c>
      <c r="C84" s="4">
        <f ca="1">'Total Trip Tables Sup #2'!C84*(1-'Other Assumptions'!G13)</f>
        <v>186.49538416410687</v>
      </c>
      <c r="D84" s="4">
        <f ca="1">'Total Trip Tables Sup #2'!D84*(1-'Other Assumptions'!H13)</f>
        <v>186.87654303510325</v>
      </c>
      <c r="E84" s="4">
        <f ca="1">'Total Trip Tables Sup #2'!E84*(1-'Other Assumptions'!I13)</f>
        <v>159.32756635140689</v>
      </c>
      <c r="F84" s="4">
        <f ca="1">'Total Trip Tables Sup #2'!F84*(1-'Other Assumptions'!J13)</f>
        <v>130.30635276958719</v>
      </c>
      <c r="G84" s="4">
        <f ca="1">'Total Trip Tables Sup #2'!G84*(1-'Other Assumptions'!K13)</f>
        <v>100.53384866277216</v>
      </c>
      <c r="H84" s="4">
        <f ca="1">'Total Trip Tables Sup #2'!H84*(1-'Other Assumptions'!L13)</f>
        <v>71.217423043499466</v>
      </c>
      <c r="I84" s="1">
        <f ca="1">'Total Trip Tables Sup #2'!I84*(1-'Other Assumptions'!M13)</f>
        <v>70.686155666589414</v>
      </c>
      <c r="J84" s="1">
        <f ca="1">'Total Trip Tables Sup #2'!J84*(1-'Other Assumptions'!N13)</f>
        <v>69.953432310732069</v>
      </c>
      <c r="K84" s="1">
        <f ca="1">'Total Trip Tables Sup #2'!K84*(1-'Other Assumptions'!O13)</f>
        <v>69.079625114846763</v>
      </c>
    </row>
    <row r="85" spans="1:11" x14ac:dyDescent="0.2">
      <c r="A85" t="str">
        <f ca="1">OFFSET(Manawatu_Reference,21,2)</f>
        <v>Light Vehicle Passenger</v>
      </c>
      <c r="B85" s="4">
        <f ca="1">'Total Trip Tables Sup #2'!B85</f>
        <v>84.046137803000008</v>
      </c>
      <c r="C85" s="4">
        <f ca="1">'Total Trip Tables Sup #2'!C85*(1-'Other Assumptions'!G13)</f>
        <v>83.476043366790364</v>
      </c>
      <c r="D85" s="4">
        <f ca="1">'Total Trip Tables Sup #2'!D85*(1-'Other Assumptions'!H13)</f>
        <v>81.914253882742386</v>
      </c>
      <c r="E85" s="4">
        <f ca="1">'Total Trip Tables Sup #2'!E85*(1-'Other Assumptions'!I13)</f>
        <v>68.352818579941783</v>
      </c>
      <c r="F85" s="4">
        <f ca="1">'Total Trip Tables Sup #2'!F85*(1-'Other Assumptions'!J13)</f>
        <v>54.995125553095484</v>
      </c>
      <c r="G85" s="4">
        <f ca="1">'Total Trip Tables Sup #2'!G85*(1-'Other Assumptions'!K13)</f>
        <v>41.955483403338384</v>
      </c>
      <c r="H85" s="4">
        <f ca="1">'Total Trip Tables Sup #2'!H85*(1-'Other Assumptions'!L13)</f>
        <v>29.461457879173452</v>
      </c>
      <c r="I85" s="1">
        <f ca="1">'Total Trip Tables Sup #2'!I85*(1-'Other Assumptions'!M13)</f>
        <v>29.236663292444543</v>
      </c>
      <c r="J85" s="1">
        <f ca="1">'Total Trip Tables Sup #2'!J85*(1-'Other Assumptions'!N13)</f>
        <v>28.925371936729814</v>
      </c>
      <c r="K85" s="1">
        <f ca="1">'Total Trip Tables Sup #2'!K85*(1-'Other Assumptions'!O13)</f>
        <v>28.555626735774297</v>
      </c>
    </row>
    <row r="86" spans="1:11" x14ac:dyDescent="0.2">
      <c r="A86" t="str">
        <f ca="1">OFFSET(Manawatu_Reference,28,2)</f>
        <v>Taxi/Vehicle Share</v>
      </c>
      <c r="B86" s="4">
        <f ca="1">'Total Trip Tables Sup #2'!B86</f>
        <v>0.99874441920000001</v>
      </c>
      <c r="C86" s="4">
        <f ca="1">'Total Trip Tables Sup #2'!C86+((C84+C85)*'Other Assumptions'!G13/(1-'Other Assumptions'!G13))</f>
        <v>1.1101695636819526</v>
      </c>
      <c r="D86" s="4">
        <f ca="1">'Total Trip Tables Sup #2'!D86+((D84+D85)*'Other Assumptions'!H13/(1-'Other Assumptions'!H13))</f>
        <v>1.1851593204065018</v>
      </c>
      <c r="E86" s="4">
        <f ca="1">'Total Trip Tables Sup #2'!E86+((E84+E85)*'Other Assumptions'!I13/(1-'Other Assumptions'!I13))</f>
        <v>41.408054641681851</v>
      </c>
      <c r="F86" s="4">
        <f ca="1">'Total Trip Tables Sup #2'!F86+((F84+F85)*'Other Assumptions'!J13/(1-'Other Assumptions'!J13))</f>
        <v>80.66599628237762</v>
      </c>
      <c r="G86" s="4">
        <f ca="1">'Total Trip Tables Sup #2'!G86+((G84+G85)*'Other Assumptions'!K13/(1-'Other Assumptions'!K13))</f>
        <v>117.83379628731922</v>
      </c>
      <c r="H86" s="4">
        <f ca="1">'Total Trip Tables Sup #2'!H86+((H84+H85)*'Other Assumptions'!L13/(1-'Other Assumptions'!L13))</f>
        <v>152.25812031766611</v>
      </c>
      <c r="I86" s="1">
        <f ca="1">'Total Trip Tables Sup #2'!I86+((I84+I85)*'Other Assumptions'!M13/(1-'Other Assumptions'!M13))</f>
        <v>151.11656402198383</v>
      </c>
      <c r="J86" s="1">
        <f ca="1">'Total Trip Tables Sup #2'!J86+((J84+J85)*'Other Assumptions'!N13/(1-'Other Assumptions'!N13))</f>
        <v>149.54005403831397</v>
      </c>
      <c r="K86" s="1">
        <f ca="1">'Total Trip Tables Sup #2'!K86+((K84+K85)*'Other Assumptions'!O13/(1-'Other Assumptions'!O13))</f>
        <v>147.66171991930341</v>
      </c>
    </row>
    <row r="87" spans="1:11" x14ac:dyDescent="0.2">
      <c r="A87" t="str">
        <f ca="1">OFFSET(Manawatu_Reference,35,2)</f>
        <v>Motorcyclist</v>
      </c>
      <c r="B87" s="4">
        <f ca="1">'Total Trip Tables Sup #2'!B87</f>
        <v>0.79000583589999995</v>
      </c>
      <c r="C87" s="4">
        <f ca="1">'Total Trip Tables Sup #2'!C87</f>
        <v>0.79431545725365438</v>
      </c>
      <c r="D87" s="4">
        <f ca="1">'Total Trip Tables Sup #2'!D87</f>
        <v>0.78653008811818126</v>
      </c>
      <c r="E87" s="4">
        <f ca="1">'Total Trip Tables Sup #2'!E87</f>
        <v>0.76855546388711571</v>
      </c>
      <c r="F87" s="4">
        <f ca="1">'Total Trip Tables Sup #2'!F87</f>
        <v>0.7413621895704916</v>
      </c>
      <c r="G87" s="4">
        <f ca="1">'Total Trip Tables Sup #2'!G87</f>
        <v>0.69921935353248943</v>
      </c>
      <c r="H87" s="4">
        <f ca="1">'Total Trip Tables Sup #2'!H87</f>
        <v>0.65348181321845178</v>
      </c>
      <c r="I87" s="1">
        <f ca="1">'Total Trip Tables Sup #2'!I87</f>
        <v>0.65273993140406916</v>
      </c>
      <c r="J87" s="1">
        <f ca="1">'Total Trip Tables Sup #2'!J87</f>
        <v>0.65105974522211729</v>
      </c>
      <c r="K87" s="1">
        <f ca="1">'Total Trip Tables Sup #2'!K87</f>
        <v>0.6479809559726093</v>
      </c>
    </row>
    <row r="88" spans="1:11" x14ac:dyDescent="0.2">
      <c r="A88" t="str">
        <f ca="1">OFFSET(Taranaki_Reference,42,2)</f>
        <v>Local Train</v>
      </c>
      <c r="B88" s="4">
        <f ca="1">'Total Trip Tables Sup #2'!B88</f>
        <v>0</v>
      </c>
      <c r="C88" s="4">
        <f ca="1">'Total Trip Tables Sup #2'!C88</f>
        <v>0</v>
      </c>
      <c r="D88" s="4">
        <f ca="1">'Total Trip Tables Sup #2'!D88</f>
        <v>0</v>
      </c>
      <c r="E88" s="4">
        <f ca="1">'Total Trip Tables Sup #2'!E88</f>
        <v>0</v>
      </c>
      <c r="F88" s="4">
        <f ca="1">'Total Trip Tables Sup #2'!F88</f>
        <v>0</v>
      </c>
      <c r="G88" s="4">
        <f ca="1">'Total Trip Tables Sup #2'!G88</f>
        <v>0</v>
      </c>
      <c r="H88" s="4">
        <f ca="1">'Total Trip Tables Sup #2'!H88</f>
        <v>0</v>
      </c>
      <c r="I88" s="1">
        <f ca="1">'Total Trip Tables Sup #2'!I88</f>
        <v>0</v>
      </c>
      <c r="J88" s="1">
        <f ca="1">'Total Trip Tables Sup #2'!J88</f>
        <v>0</v>
      </c>
      <c r="K88" s="1">
        <f ca="1">'Total Trip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Trip Tables Sup #2'!B89</f>
        <v>5.2110099151</v>
      </c>
      <c r="C89" s="4">
        <f ca="1">'Total Trip Tables Sup #2'!C89</f>
        <v>4.7933661355229953</v>
      </c>
      <c r="D89" s="4">
        <f ca="1">'Total Trip Tables Sup #2'!D89</f>
        <v>4.7355488809425355</v>
      </c>
      <c r="E89" s="4">
        <f ca="1">'Total Trip Tables Sup #2'!E89</f>
        <v>4.6229904446829675</v>
      </c>
      <c r="F89" s="4">
        <f ca="1">'Total Trip Tables Sup #2'!F89</f>
        <v>4.4895616975500214</v>
      </c>
      <c r="G89" s="4">
        <f ca="1">'Total Trip Tables Sup #2'!G89</f>
        <v>4.3905097740459622</v>
      </c>
      <c r="H89" s="4">
        <f ca="1">'Total Trip Tables Sup #2'!H89</f>
        <v>4.281890925705345</v>
      </c>
      <c r="I89" s="1">
        <f ca="1">'Total Trip Tables Sup #2'!I89</f>
        <v>4.2531286770118513</v>
      </c>
      <c r="J89" s="1">
        <f ca="1">'Total Trip Tables Sup #2'!J89</f>
        <v>4.2122809337292217</v>
      </c>
      <c r="K89" s="1">
        <f ca="1">'Total Trip Tables Sup #2'!K89</f>
        <v>4.1628222186764994</v>
      </c>
    </row>
    <row r="90" spans="1:11" x14ac:dyDescent="0.2">
      <c r="A90" t="str">
        <f ca="1">OFFSET(Manawatu_Reference,49,2)</f>
        <v>Local Ferry</v>
      </c>
      <c r="B90" s="4">
        <f ca="1">'Total Trip Tables Sup #2'!B90</f>
        <v>0.1068619116</v>
      </c>
      <c r="C90" s="4">
        <f ca="1">'Total Trip Tables Sup #2'!C90</f>
        <v>0.12100991386347534</v>
      </c>
      <c r="D90" s="4">
        <f ca="1">'Total Trip Tables Sup #2'!D90</f>
        <v>0.11900594713801006</v>
      </c>
      <c r="E90" s="4">
        <f ca="1">'Total Trip Tables Sup #2'!E90</f>
        <v>0.1177104731075619</v>
      </c>
      <c r="F90" s="4">
        <f ca="1">'Total Trip Tables Sup #2'!F90</f>
        <v>0.11403523370333257</v>
      </c>
      <c r="G90" s="4">
        <f ca="1">'Total Trip Tables Sup #2'!G90</f>
        <v>0.11201351289969888</v>
      </c>
      <c r="H90" s="4">
        <f ca="1">'Total Trip Tables Sup #2'!H90</f>
        <v>0.10819653531878171</v>
      </c>
      <c r="I90" s="1">
        <f ca="1">'Total Trip Tables Sup #2'!I90</f>
        <v>0.10573045508908585</v>
      </c>
      <c r="J90" s="1">
        <f ca="1">'Total Trip Tables Sup #2'!J90</f>
        <v>0.10257502060043139</v>
      </c>
      <c r="K90" s="1">
        <f ca="1">'Total Trip Tables Sup #2'!K90</f>
        <v>9.9340850331026534E-2</v>
      </c>
    </row>
    <row r="91" spans="1:11" x14ac:dyDescent="0.2">
      <c r="A91" t="str">
        <f ca="1">OFFSET(Manawatu_Reference,56,2)</f>
        <v>Other Household Travel</v>
      </c>
      <c r="B91" s="4">
        <f ca="1">'Total Trip Tables Sup #2'!B91</f>
        <v>0.24513607779999999</v>
      </c>
      <c r="C91" s="4">
        <f ca="1">'Total Trip Tables Sup #2'!C91</f>
        <v>0.25194159245896319</v>
      </c>
      <c r="D91" s="4">
        <f ca="1">'Total Trip Tables Sup #2'!D91</f>
        <v>0.25715406399297752</v>
      </c>
      <c r="E91" s="4">
        <f ca="1">'Total Trip Tables Sup #2'!E91</f>
        <v>0.25681847006569569</v>
      </c>
      <c r="F91" s="4">
        <f ca="1">'Total Trip Tables Sup #2'!F91</f>
        <v>0.2524804602597836</v>
      </c>
      <c r="G91" s="4">
        <f ca="1">'Total Trip Tables Sup #2'!G91</f>
        <v>0.24491269898208887</v>
      </c>
      <c r="H91" s="4">
        <f ca="1">'Total Trip Tables Sup #2'!H91</f>
        <v>0.23261566869317804</v>
      </c>
      <c r="I91" s="1">
        <f ca="1">'Total Trip Tables Sup #2'!I91</f>
        <v>0.23114507898567099</v>
      </c>
      <c r="J91" s="1">
        <f ca="1">'Total Trip Tables Sup #2'!J91</f>
        <v>0.22906678615067994</v>
      </c>
      <c r="K91" s="1">
        <f ca="1">'Total Trip Tables Sup #2'!K91</f>
        <v>0.22651416112770276</v>
      </c>
    </row>
    <row r="92" spans="1:11" x14ac:dyDescent="0.2">
      <c r="A92" t="str">
        <f ca="1">OFFSET(Wellington_Reference,0,0)</f>
        <v>09 WELLINGTON</v>
      </c>
      <c r="B92" s="4">
        <f ca="1">SUM(B93:B102)</f>
        <v>793.10387762659991</v>
      </c>
      <c r="C92" s="4">
        <f t="shared" ref="C92" ca="1" si="44">SUM(C93:C102)</f>
        <v>823.72390835611259</v>
      </c>
      <c r="D92" s="4">
        <f t="shared" ref="D92" ca="1" si="45">SUM(D93:D102)</f>
        <v>837.37436628944306</v>
      </c>
      <c r="E92" s="4">
        <f t="shared" ref="E92" ca="1" si="46">SUM(E93:E102)</f>
        <v>843.20591394969006</v>
      </c>
      <c r="F92" s="4">
        <f t="shared" ref="F92" ca="1" si="47">SUM(F93:F102)</f>
        <v>842.55924600708579</v>
      </c>
      <c r="G92" s="4">
        <f t="shared" ref="G92" ca="1" si="48">SUM(G93:G102)</f>
        <v>835.52236210958449</v>
      </c>
      <c r="H92" s="4">
        <f t="shared" ref="H92:K92" ca="1" si="49">SUM(H93:H102)</f>
        <v>822.69132735504809</v>
      </c>
      <c r="I92" s="1">
        <f t="shared" ca="1" si="49"/>
        <v>829.22560686199552</v>
      </c>
      <c r="J92" s="1">
        <f t="shared" ca="1" si="49"/>
        <v>833.48569463489798</v>
      </c>
      <c r="K92" s="1">
        <f t="shared" ca="1" si="49"/>
        <v>835.99570528694994</v>
      </c>
    </row>
    <row r="93" spans="1:11" x14ac:dyDescent="0.2">
      <c r="A93" t="str">
        <f ca="1">OFFSET(Wellington_Reference,0,2)</f>
        <v>Pedestrian</v>
      </c>
      <c r="B93" s="4">
        <f ca="1">'Total Trip Tables Sup #2'!B93</f>
        <v>182.29561206</v>
      </c>
      <c r="C93" s="4">
        <f ca="1">'Total Trip Tables Sup #2'!C93+'Total Trip Tables Sup #2'!C95*'Other Assumptions'!G77*'Other Assumptions'!G84+'Total Trip Tables Sup #2'!C96*'Other Assumptions'!G77*'Other Assumptions'!G84</f>
        <v>187.8120279641804</v>
      </c>
      <c r="D93" s="4">
        <f ca="1">'Total Trip Tables Sup #2'!D93+'Total Trip Tables Sup #2'!D95*'Other Assumptions'!H77*'Other Assumptions'!H84+'Total Trip Tables Sup #2'!D96*'Other Assumptions'!H77*'Other Assumptions'!H84</f>
        <v>192.13056441742742</v>
      </c>
      <c r="E93" s="4">
        <f ca="1">'Total Trip Tables Sup #2'!E93+'Total Trip Tables Sup #2'!E95*'Other Assumptions'!I77*'Other Assumptions'!I84+'Total Trip Tables Sup #2'!E96*'Other Assumptions'!I77*'Other Assumptions'!I84</f>
        <v>193.19827243365123</v>
      </c>
      <c r="F93" s="4">
        <f ca="1">'Total Trip Tables Sup #2'!F93+'Total Trip Tables Sup #2'!F95*'Other Assumptions'!J77*'Other Assumptions'!J84+'Total Trip Tables Sup #2'!F96*'Other Assumptions'!J77*'Other Assumptions'!J84</f>
        <v>192.74867158653765</v>
      </c>
      <c r="G93" s="4">
        <f ca="1">'Total Trip Tables Sup #2'!G93+'Total Trip Tables Sup #2'!G95*'Other Assumptions'!K77*'Other Assumptions'!K84+'Total Trip Tables Sup #2'!G96*'Other Assumptions'!K77*'Other Assumptions'!K84</f>
        <v>191.63742806569243</v>
      </c>
      <c r="H93" s="4">
        <f ca="1">'Total Trip Tables Sup #2'!H93+'Total Trip Tables Sup #2'!H95*'Other Assumptions'!L77*'Other Assumptions'!L84+'Total Trip Tables Sup #2'!H96*'Other Assumptions'!L77*'Other Assumptions'!L84</f>
        <v>189.26231822632985</v>
      </c>
      <c r="I93" s="1">
        <f ca="1">'Total Trip Tables Sup #2'!I93+'Total Trip Tables Sup #2'!I95*'Other Assumptions'!M77*'Other Assumptions'!M84+'Total Trip Tables Sup #2'!I96*'Other Assumptions'!M77*'Other Assumptions'!M84</f>
        <v>190.83554441435766</v>
      </c>
      <c r="J93" s="1">
        <f ca="1">'Total Trip Tables Sup #2'!J93+'Total Trip Tables Sup #2'!J95*'Other Assumptions'!N77*'Other Assumptions'!N84+'Total Trip Tables Sup #2'!J96*'Other Assumptions'!N77*'Other Assumptions'!N84</f>
        <v>191.93977615471874</v>
      </c>
      <c r="K93" s="1">
        <f ca="1">'Total Trip Tables Sup #2'!K93+'Total Trip Tables Sup #2'!K95*'Other Assumptions'!O77*'Other Assumptions'!O84+'Total Trip Tables Sup #2'!K96*'Other Assumptions'!O77*'Other Assumptions'!O84</f>
        <v>192.63735074965999</v>
      </c>
    </row>
    <row r="94" spans="1:11" x14ac:dyDescent="0.2">
      <c r="A94" t="str">
        <f ca="1">OFFSET(Wellington_Reference,7,2)</f>
        <v>Cyclist</v>
      </c>
      <c r="B94" s="4">
        <f ca="1">'Total Trip Tables Sup #2'!B94</f>
        <v>8.1327913301999999</v>
      </c>
      <c r="C94" s="4">
        <f ca="1">'Total Trip Tables Sup #2'!C94+'Total Trip Tables Sup #2'!C95*'Other Assumptions'!G77*'Other Assumptions'!G83+'Total Trip Tables Sup #2'!C96*'Other Assumptions'!G77*'Other Assumptions'!G83</f>
        <v>8.1908458531369295</v>
      </c>
      <c r="D94" s="4">
        <f ca="1">'Total Trip Tables Sup #2'!D94+'Total Trip Tables Sup #2'!D95*'Other Assumptions'!H77*'Other Assumptions'!H83+'Total Trip Tables Sup #2'!D96*'Other Assumptions'!H77*'Other Assumptions'!H83</f>
        <v>9.2672609018261323</v>
      </c>
      <c r="E94" s="4">
        <f ca="1">'Total Trip Tables Sup #2'!E94+'Total Trip Tables Sup #2'!E95*'Other Assumptions'!I77*'Other Assumptions'!I83+'Total Trip Tables Sup #2'!E96*'Other Assumptions'!I77*'Other Assumptions'!I83</f>
        <v>9.9554660018641048</v>
      </c>
      <c r="F94" s="4">
        <f ca="1">'Total Trip Tables Sup #2'!F94+'Total Trip Tables Sup #2'!F95*'Other Assumptions'!J77*'Other Assumptions'!J83+'Total Trip Tables Sup #2'!F96*'Other Assumptions'!J77*'Other Assumptions'!J83</f>
        <v>10.653561018330949</v>
      </c>
      <c r="G94" s="4">
        <f ca="1">'Total Trip Tables Sup #2'!G94+'Total Trip Tables Sup #2'!G95*'Other Assumptions'!K77*'Other Assumptions'!K83+'Total Trip Tables Sup #2'!G96*'Other Assumptions'!K77*'Other Assumptions'!K83</f>
        <v>11.345991238307375</v>
      </c>
      <c r="H94" s="4">
        <f ca="1">'Total Trip Tables Sup #2'!H94+'Total Trip Tables Sup #2'!H95*'Other Assumptions'!L77*'Other Assumptions'!L83+'Total Trip Tables Sup #2'!H96*'Other Assumptions'!L77*'Other Assumptions'!L83</f>
        <v>12.009484465584084</v>
      </c>
      <c r="I94" s="1">
        <f ca="1">'Total Trip Tables Sup #2'!I94+'Total Trip Tables Sup #2'!I95*'Other Assumptions'!M77*'Other Assumptions'!M83+'Total Trip Tables Sup #2'!I96*'Other Assumptions'!M77*'Other Assumptions'!M83</f>
        <v>12.191773115550113</v>
      </c>
      <c r="J94" s="1">
        <f ca="1">'Total Trip Tables Sup #2'!J94+'Total Trip Tables Sup #2'!J95*'Other Assumptions'!N77*'Other Assumptions'!N83+'Total Trip Tables Sup #2'!J96*'Other Assumptions'!N77*'Other Assumptions'!N83</f>
        <v>12.382832809090601</v>
      </c>
      <c r="K94" s="1">
        <f ca="1">'Total Trip Tables Sup #2'!K94+'Total Trip Tables Sup #2'!K95*'Other Assumptions'!O77*'Other Assumptions'!O83+'Total Trip Tables Sup #2'!K96*'Other Assumptions'!O77*'Other Assumptions'!O83</f>
        <v>12.553426582550152</v>
      </c>
    </row>
    <row r="95" spans="1:11" x14ac:dyDescent="0.2">
      <c r="A95" t="str">
        <f ca="1">OFFSET(Wellington_Reference,14,2)</f>
        <v>Light Vehicle Driver</v>
      </c>
      <c r="B95" s="4">
        <f ca="1">'Total Trip Tables Sup #2'!B95</f>
        <v>377.93589692</v>
      </c>
      <c r="C95" s="4">
        <f ca="1">'Total Trip Tables Sup #2'!C95*(1-'Other Assumptions'!G14)*(1-'Other Assumptions'!G77)</f>
        <v>401.14491382585481</v>
      </c>
      <c r="D95" s="4">
        <f ca="1">'Total Trip Tables Sup #2'!D95*(1-'Other Assumptions'!H14)*(1-'Other Assumptions'!H77)</f>
        <v>406.73430830411587</v>
      </c>
      <c r="E95" s="4">
        <f ca="1">'Total Trip Tables Sup #2'!E95*(1-'Other Assumptions'!I14)*(1-'Other Assumptions'!I77)</f>
        <v>350.34296437080951</v>
      </c>
      <c r="F95" s="4">
        <f ca="1">'Total Trip Tables Sup #2'!F95*(1-'Other Assumptions'!J14)*(1-'Other Assumptions'!J77)</f>
        <v>290.07563580838428</v>
      </c>
      <c r="G95" s="4">
        <f ca="1">'Total Trip Tables Sup #2'!G95*(1-'Other Assumptions'!K14)*(1-'Other Assumptions'!K77)</f>
        <v>226.61078299123577</v>
      </c>
      <c r="H95" s="4">
        <f ca="1">'Total Trip Tables Sup #2'!H95*(1-'Other Assumptions'!L14)*(1-'Other Assumptions'!L77)</f>
        <v>162.48800040827359</v>
      </c>
      <c r="I95" s="1">
        <f ca="1">'Total Trip Tables Sup #2'!I95*(1-'Other Assumptions'!M14)*(1-'Other Assumptions'!M77)</f>
        <v>163.47134594849359</v>
      </c>
      <c r="J95" s="1">
        <f ca="1">'Total Trip Tables Sup #2'!J95*(1-'Other Assumptions'!N14)*(1-'Other Assumptions'!N77)</f>
        <v>163.94834704816455</v>
      </c>
      <c r="K95" s="1">
        <f ca="1">'Total Trip Tables Sup #2'!K95*(1-'Other Assumptions'!O14)*(1-'Other Assumptions'!O77)</f>
        <v>164.04671832776739</v>
      </c>
    </row>
    <row r="96" spans="1:11" x14ac:dyDescent="0.2">
      <c r="A96" t="str">
        <f ca="1">OFFSET(Wellington_Reference,21,2)</f>
        <v>Light Vehicle Passenger</v>
      </c>
      <c r="B96" s="4">
        <f ca="1">'Total Trip Tables Sup #2'!B96</f>
        <v>183.55442563000003</v>
      </c>
      <c r="C96" s="4">
        <f ca="1">'Total Trip Tables Sup #2'!C96*(1-'Other Assumptions'!G14)*(1-'Other Assumptions'!G77+'Other Assumptions'!G77*'Other Assumptions'!G80)+'Total Trip Tables Sup #2'!C95*(1-'Other Assumptions'!G14)*'Other Assumptions'!G77*'Other Assumptions'!G80</f>
        <v>185.28544791526676</v>
      </c>
      <c r="D96" s="4">
        <f ca="1">'Total Trip Tables Sup #2'!D96*(1-'Other Assumptions'!H14)*(1-'Other Assumptions'!H77+'Other Assumptions'!H77*'Other Assumptions'!H80)+'Total Trip Tables Sup #2'!D95*(1-'Other Assumptions'!H14)*'Other Assumptions'!H77*'Other Assumptions'!H80</f>
        <v>183.02755371601995</v>
      </c>
      <c r="E96" s="4">
        <f ca="1">'Total Trip Tables Sup #2'!E96*(1-'Other Assumptions'!I14)*(1-'Other Assumptions'!I77+'Other Assumptions'!I77*'Other Assumptions'!I80)+'Total Trip Tables Sup #2'!E95*(1-'Other Assumptions'!I14)*'Other Assumptions'!I77*'Other Assumptions'!I80</f>
        <v>153.6163524239484</v>
      </c>
      <c r="F96" s="4">
        <f ca="1">'Total Trip Tables Sup #2'!F96*(1-'Other Assumptions'!J14)*(1-'Other Assumptions'!J77+'Other Assumptions'!J77*'Other Assumptions'!J80)+'Total Trip Tables Sup #2'!F95*(1-'Other Assumptions'!J14)*'Other Assumptions'!J77*'Other Assumptions'!J80</f>
        <v>124.71310698341738</v>
      </c>
      <c r="G96" s="4">
        <f ca="1">'Total Trip Tables Sup #2'!G96*(1-'Other Assumptions'!K14)*(1-'Other Assumptions'!K77+'Other Assumptions'!K77*'Other Assumptions'!K80)+'Total Trip Tables Sup #2'!G95*(1-'Other Assumptions'!K14)*'Other Assumptions'!K77*'Other Assumptions'!K80</f>
        <v>95.994051347768561</v>
      </c>
      <c r="H96" s="4">
        <f ca="1">'Total Trip Tables Sup #2'!H96*(1-'Other Assumptions'!L14)*(1-'Other Assumptions'!L77+'Other Assumptions'!L77*'Other Assumptions'!L80)+'Total Trip Tables Sup #2'!H95*(1-'Other Assumptions'!L14)*'Other Assumptions'!L77*'Other Assumptions'!L80</f>
        <v>67.961416623860472</v>
      </c>
      <c r="I96" s="1">
        <f ca="1">'Total Trip Tables Sup #2'!I96*(1-'Other Assumptions'!M14)*(1-'Other Assumptions'!M77+'Other Assumptions'!M77*'Other Assumptions'!M80)+'Total Trip Tables Sup #2'!I95*(1-'Other Assumptions'!M14)*'Other Assumptions'!M77*'Other Assumptions'!M80</f>
        <v>68.233067142806036</v>
      </c>
      <c r="J96" s="1">
        <f ca="1">'Total Trip Tables Sup #2'!J96*(1-'Other Assumptions'!N14)*(1-'Other Assumptions'!N77+'Other Assumptions'!N77*'Other Assumptions'!N80)+'Total Trip Tables Sup #2'!J95*(1-'Other Assumptions'!N14)*'Other Assumptions'!N77*'Other Assumptions'!N80</f>
        <v>68.265990360149402</v>
      </c>
      <c r="K96" s="1">
        <f ca="1">'Total Trip Tables Sup #2'!K96*(1-'Other Assumptions'!O14)*(1-'Other Assumptions'!O77+'Other Assumptions'!O77*'Other Assumptions'!O80)+'Total Trip Tables Sup #2'!K95*(1-'Other Assumptions'!O14)*'Other Assumptions'!O77*'Other Assumptions'!O80</f>
        <v>68.123912345848865</v>
      </c>
    </row>
    <row r="97" spans="1:16" x14ac:dyDescent="0.2">
      <c r="A97" t="str">
        <f ca="1">OFFSET(Wellington_Reference,28,2)</f>
        <v>Taxi/Vehicle Share</v>
      </c>
      <c r="B97" s="4">
        <f ca="1">'Total Trip Tables Sup #2'!B97</f>
        <v>2.3579512121000001</v>
      </c>
      <c r="C97" s="4">
        <f ca="1">'Total Trip Tables Sup #2'!C97+((C95+C96)*'Other Assumptions'!G14/(1-'Other Assumptions'!G14))</f>
        <v>2.6672088475174727</v>
      </c>
      <c r="D97" s="4">
        <f ca="1">'Total Trip Tables Sup #2'!D97+((D95+D96)*'Other Assumptions'!H14/(1-'Other Assumptions'!H14))</f>
        <v>2.8936555200756127</v>
      </c>
      <c r="E97" s="4">
        <f ca="1">'Total Trip Tables Sup #2'!E97+((E95+E96)*'Other Assumptions'!I14/(1-'Other Assumptions'!I14))</f>
        <v>91.97623355555001</v>
      </c>
      <c r="F97" s="4">
        <f ca="1">'Total Trip Tables Sup #2'!F97+((F95+F96)*'Other Assumptions'!J14/(1-'Other Assumptions'!J14))</f>
        <v>180.90879838718936</v>
      </c>
      <c r="G97" s="4">
        <f ca="1">'Total Trip Tables Sup #2'!G97+((G95+G96)*'Other Assumptions'!K14/(1-'Other Assumptions'!K14))</f>
        <v>267.14048403913762</v>
      </c>
      <c r="H97" s="4">
        <f ca="1">'Total Trip Tables Sup #2'!H97+((H95+H96)*'Other Assumptions'!L14/(1-'Other Assumptions'!L14))</f>
        <v>348.88240193667474</v>
      </c>
      <c r="I97" s="1">
        <f ca="1">'Total Trip Tables Sup #2'!I97+((I95+I96)*'Other Assumptions'!M14/(1-'Other Assumptions'!M14))</f>
        <v>350.79333168474056</v>
      </c>
      <c r="J97" s="1">
        <f ca="1">'Total Trip Tables Sup #2'!J97+((J95+J96)*'Other Assumptions'!N14/(1-'Other Assumptions'!N14))</f>
        <v>351.57872315491886</v>
      </c>
      <c r="K97" s="1">
        <f ca="1">'Total Trip Tables Sup #2'!K97+((K95+K96)*'Other Assumptions'!O14/(1-'Other Assumptions'!O14))</f>
        <v>351.52674447834335</v>
      </c>
      <c r="L97" s="4"/>
      <c r="M97" s="4"/>
      <c r="N97" s="4"/>
      <c r="O97" s="4"/>
      <c r="P97" s="4"/>
    </row>
    <row r="98" spans="1:16" x14ac:dyDescent="0.2">
      <c r="A98" t="str">
        <f ca="1">OFFSET(Wellington_Reference,35,2)</f>
        <v>Motorcyclist</v>
      </c>
      <c r="B98" s="4">
        <f ca="1">'Total Trip Tables Sup #2'!B98</f>
        <v>2.4968267649999998</v>
      </c>
      <c r="C98" s="4">
        <f ca="1">'Total Trip Tables Sup #2'!C98</f>
        <v>2.5546910277337096</v>
      </c>
      <c r="D98" s="4">
        <f ca="1">'Total Trip Tables Sup #2'!D98</f>
        <v>2.5707692437576362</v>
      </c>
      <c r="E98" s="4">
        <f ca="1">'Total Trip Tables Sup #2'!E98</f>
        <v>2.5464567369293918</v>
      </c>
      <c r="F98" s="4">
        <f ca="1">'Total Trip Tables Sup #2'!F98</f>
        <v>2.4926258557178058</v>
      </c>
      <c r="G98" s="4">
        <f ca="1">'Total Trip Tables Sup #2'!G98</f>
        <v>2.3864759410920304</v>
      </c>
      <c r="H98" s="4">
        <f ca="1">'Total Trip Tables Sup #2'!H98</f>
        <v>2.263766789205969</v>
      </c>
      <c r="I98" s="1">
        <f ca="1">'Total Trip Tables Sup #2'!I98</f>
        <v>2.2950540573649794</v>
      </c>
      <c r="J98" s="1">
        <f ca="1">'Total Trip Tables Sup #2'!J98</f>
        <v>2.3234222320433733</v>
      </c>
      <c r="K98" s="1">
        <f ca="1">'Total Trip Tables Sup #2'!K98</f>
        <v>2.3470594915625353</v>
      </c>
    </row>
    <row r="99" spans="1:16" x14ac:dyDescent="0.2">
      <c r="A99" t="str">
        <f ca="1">OFFSET(Wellington_Reference,42,2)</f>
        <v>Local Train</v>
      </c>
      <c r="B99" s="4">
        <f ca="1">'Total Trip Tables Sup #2'!B99</f>
        <v>12.37</v>
      </c>
      <c r="C99" s="4">
        <f ca="1">'Total Trip Tables Sup #2'!C99+'Total Trip Tables Sup #2'!C95*'Other Assumptions'!G77*'Other Assumptions'!G82+'Total Trip Tables Sup #2'!C96*'Other Assumptions'!G77*'Other Assumptions'!G82</f>
        <v>12.592905548117583</v>
      </c>
      <c r="D99" s="4">
        <f ca="1">'Total Trip Tables Sup #2'!D99+'Total Trip Tables Sup #2'!D95*'Other Assumptions'!H77*'Other Assumptions'!H82+'Total Trip Tables Sup #2'!D96*'Other Assumptions'!H77*'Other Assumptions'!H82</f>
        <v>14.420490120867937</v>
      </c>
      <c r="E99" s="4">
        <f ca="1">'Total Trip Tables Sup #2'!E99+'Total Trip Tables Sup #2'!E95*'Other Assumptions'!I77*'Other Assumptions'!I82+'Total Trip Tables Sup #2'!E96*'Other Assumptions'!I77*'Other Assumptions'!I82</f>
        <v>14.996190706808681</v>
      </c>
      <c r="F99" s="4">
        <f ca="1">'Total Trip Tables Sup #2'!F99+'Total Trip Tables Sup #2'!F95*'Other Assumptions'!J77*'Other Assumptions'!J82+'Total Trip Tables Sup #2'!F96*'Other Assumptions'!J77*'Other Assumptions'!J82</f>
        <v>15.203680525767009</v>
      </c>
      <c r="G99" s="4">
        <f ca="1">'Total Trip Tables Sup #2'!G99+'Total Trip Tables Sup #2'!G95*'Other Assumptions'!K77*'Other Assumptions'!K82+'Total Trip Tables Sup #2'!G96*'Other Assumptions'!K77*'Other Assumptions'!K82</f>
        <v>15.338604401489459</v>
      </c>
      <c r="H99" s="4">
        <f ca="1">'Total Trip Tables Sup #2'!H99+'Total Trip Tables Sup #2'!H95*'Other Assumptions'!L77*'Other Assumptions'!L82+'Total Trip Tables Sup #2'!H96*'Other Assumptions'!L77*'Other Assumptions'!L82</f>
        <v>15.404008356372653</v>
      </c>
      <c r="I99" s="1">
        <f ca="1">'Total Trip Tables Sup #2'!I99+'Total Trip Tables Sup #2'!I95*'Other Assumptions'!M77*'Other Assumptions'!M82+'Total Trip Tables Sup #2'!I96*'Other Assumptions'!M77*'Other Assumptions'!M82</f>
        <v>16.290825676752757</v>
      </c>
      <c r="J99" s="1">
        <f ca="1">'Total Trip Tables Sup #2'!J99+'Total Trip Tables Sup #2'!J95*'Other Assumptions'!N77*'Other Assumptions'!N82+'Total Trip Tables Sup #2'!J96*'Other Assumptions'!N77*'Other Assumptions'!N82</f>
        <v>17.222187486236134</v>
      </c>
      <c r="K99" s="1">
        <f ca="1">'Total Trip Tables Sup #2'!K99+'Total Trip Tables Sup #2'!K95*'Other Assumptions'!O77*'Other Assumptions'!O82+'Total Trip Tables Sup #2'!K96*'Other Assumptions'!O77*'Other Assumptions'!O82</f>
        <v>18.206796125399972</v>
      </c>
    </row>
    <row r="100" spans="1:16" x14ac:dyDescent="0.2">
      <c r="A100" t="str">
        <f ca="1">OFFSET(Wellington_Reference,49,2)</f>
        <v>Local Bus</v>
      </c>
      <c r="B100" s="4">
        <f ca="1">'Total Trip Tables Sup #2'!B100</f>
        <v>23.4</v>
      </c>
      <c r="C100" s="4">
        <f ca="1">'Total Trip Tables Sup #2'!C100+'Total Trip Tables Sup #2'!C95*'Other Assumptions'!G77*'Other Assumptions'!G81+'Total Trip Tables Sup #2'!C96*'Other Assumptions'!G77*'Other Assumptions'!G81</f>
        <v>22.865706585342785</v>
      </c>
      <c r="D100" s="4">
        <f ca="1">'Total Trip Tables Sup #2'!D100+'Total Trip Tables Sup #2'!D95*'Other Assumptions'!H77*'Other Assumptions'!H81+'Total Trip Tables Sup #2'!D96*'Other Assumptions'!H77*'Other Assumptions'!H81</f>
        <v>25.70672181308932</v>
      </c>
      <c r="E100" s="4">
        <f ca="1">'Total Trip Tables Sup #2'!E100+'Total Trip Tables Sup #2'!E95*'Other Assumptions'!I77*'Other Assumptions'!I81+'Total Trip Tables Sup #2'!E96*'Other Assumptions'!I77*'Other Assumptions'!I81</f>
        <v>25.94574793536211</v>
      </c>
      <c r="F100" s="4">
        <f ca="1">'Total Trip Tables Sup #2'!F100+'Total Trip Tables Sup #2'!F95*'Other Assumptions'!J77*'Other Assumptions'!J81+'Total Trip Tables Sup #2'!F96*'Other Assumptions'!J77*'Other Assumptions'!J81</f>
        <v>25.140226345267081</v>
      </c>
      <c r="G100" s="4">
        <f ca="1">'Total Trip Tables Sup #2'!G100+'Total Trip Tables Sup #2'!G95*'Other Assumptions'!K77*'Other Assumptions'!K81+'Total Trip Tables Sup #2'!G96*'Other Assumptions'!K77*'Other Assumptions'!K81</f>
        <v>24.451949280921987</v>
      </c>
      <c r="H100" s="4">
        <f ca="1">'Total Trip Tables Sup #2'!H100+'Total Trip Tables Sup #2'!H95*'Other Assumptions'!L77*'Other Assumptions'!L81+'Total Trip Tables Sup #2'!H96*'Other Assumptions'!L77*'Other Assumptions'!L81</f>
        <v>23.821334062377371</v>
      </c>
      <c r="I100" s="1">
        <f ca="1">'Total Trip Tables Sup #2'!I100+'Total Trip Tables Sup #2'!I95*'Other Assumptions'!M77*'Other Assumptions'!M81+'Total Trip Tables Sup #2'!I96*'Other Assumptions'!M77*'Other Assumptions'!M81</f>
        <v>24.515142005036758</v>
      </c>
      <c r="J100" s="1">
        <f ca="1">'Total Trip Tables Sup #2'!J100+'Total Trip Tables Sup #2'!J95*'Other Assumptions'!N77*'Other Assumptions'!N81+'Total Trip Tables Sup #2'!J96*'Other Assumptions'!N77*'Other Assumptions'!N81</f>
        <v>25.226655534761591</v>
      </c>
      <c r="K100" s="1">
        <f ca="1">'Total Trip Tables Sup #2'!K100+'Total Trip Tables Sup #2'!K95*'Other Assumptions'!O77*'Other Assumptions'!O81+'Total Trip Tables Sup #2'!K96*'Other Assumptions'!O77*'Other Assumptions'!O81</f>
        <v>25.958819628243194</v>
      </c>
    </row>
    <row r="101" spans="1:16" x14ac:dyDescent="0.2">
      <c r="A101" t="str">
        <f ca="1">OFFSET(Wellington_Reference,56,2)</f>
        <v>Local Ferry</v>
      </c>
      <c r="B101" s="4">
        <f ca="1">'Total Trip Tables Sup #2'!B101</f>
        <v>0.22615005399999999</v>
      </c>
      <c r="C101" s="4">
        <f ca="1">'Total Trip Tables Sup #2'!C101</f>
        <v>0.26060453318062249</v>
      </c>
      <c r="D101" s="4">
        <f ca="1">'Total Trip Tables Sup #2'!D101</f>
        <v>0.26045461975144479</v>
      </c>
      <c r="E101" s="4">
        <f ca="1">'Total Trip Tables Sup #2'!E101</f>
        <v>0.26115108724673114</v>
      </c>
      <c r="F101" s="4">
        <f ca="1">'Total Trip Tables Sup #2'!F101</f>
        <v>0.25673280462847847</v>
      </c>
      <c r="G101" s="4">
        <f ca="1">'Total Trip Tables Sup #2'!G101</f>
        <v>0.25599393891626854</v>
      </c>
      <c r="H101" s="4">
        <f ca="1">'Total Trip Tables Sup #2'!H101</f>
        <v>0.25097310178909188</v>
      </c>
      <c r="I101" s="1">
        <f ca="1">'Total Trip Tables Sup #2'!I101</f>
        <v>0.24892498215373535</v>
      </c>
      <c r="J101" s="1">
        <f ca="1">'Total Trip Tables Sup #2'!J101</f>
        <v>0.24511198946227361</v>
      </c>
      <c r="K101" s="1">
        <f ca="1">'Total Trip Tables Sup #2'!K101</f>
        <v>0.24093804058818913</v>
      </c>
    </row>
    <row r="102" spans="1:16" x14ac:dyDescent="0.2">
      <c r="A102" t="str">
        <f ca="1">OFFSET(Wellington_Reference,63,2)</f>
        <v>Other Household Travel</v>
      </c>
      <c r="B102" s="4">
        <f ca="1">'Total Trip Tables Sup #2'!B102</f>
        <v>0.33422365529999998</v>
      </c>
      <c r="C102" s="4">
        <f ca="1">'Total Trip Tables Sup #2'!C102</f>
        <v>0.34955625578147015</v>
      </c>
      <c r="D102" s="4">
        <f ca="1">'Total Trip Tables Sup #2'!D102</f>
        <v>0.36258763251163389</v>
      </c>
      <c r="E102" s="4">
        <f ca="1">'Total Trip Tables Sup #2'!E102</f>
        <v>0.36707869752003564</v>
      </c>
      <c r="F102" s="4">
        <f ca="1">'Total Trip Tables Sup #2'!F102</f>
        <v>0.36620669184588056</v>
      </c>
      <c r="G102" s="4">
        <f ca="1">'Total Trip Tables Sup #2'!G102</f>
        <v>0.36060086502302102</v>
      </c>
      <c r="H102" s="4">
        <f ca="1">'Total Trip Tables Sup #2'!H102</f>
        <v>0.34762338458030784</v>
      </c>
      <c r="I102" s="1">
        <f ca="1">'Total Trip Tables Sup #2'!I102</f>
        <v>0.35059783473933753</v>
      </c>
      <c r="J102" s="1">
        <f ca="1">'Total Trip Tables Sup #2'!J102</f>
        <v>0.35264786535232273</v>
      </c>
      <c r="K102" s="1">
        <f ca="1">'Total Trip Tables Sup #2'!K102</f>
        <v>0.35393951698648174</v>
      </c>
    </row>
    <row r="103" spans="1:16" x14ac:dyDescent="0.2">
      <c r="A103" t="str">
        <f ca="1">OFFSET(Nelson_Reference,0,0)</f>
        <v>10 NELS-MARLB-TAS</v>
      </c>
      <c r="B103" s="4">
        <f ca="1">SUM(B104:B113)</f>
        <v>187.1494005328</v>
      </c>
      <c r="C103" s="4">
        <f t="shared" ref="C103" ca="1" si="50">SUM(C104:C113)</f>
        <v>192.98309226687857</v>
      </c>
      <c r="D103" s="4">
        <f t="shared" ref="D103" ca="1" si="51">SUM(D104:D113)</f>
        <v>195.29072428982144</v>
      </c>
      <c r="E103" s="4">
        <f t="shared" ref="E103" ca="1" si="52">SUM(E104:E113)</f>
        <v>196.46587978930538</v>
      </c>
      <c r="F103" s="4">
        <f t="shared" ref="F103" ca="1" si="53">SUM(F104:F113)</f>
        <v>195.88232341969729</v>
      </c>
      <c r="G103" s="4">
        <f t="shared" ref="G103" ca="1" si="54">SUM(G104:G113)</f>
        <v>193.46371009458596</v>
      </c>
      <c r="H103" s="4">
        <f t="shared" ref="H103:K103" ca="1" si="55">SUM(H104:H113)</f>
        <v>189.37678196695708</v>
      </c>
      <c r="I103" s="1">
        <f t="shared" ca="1" si="55"/>
        <v>189.31052952453862</v>
      </c>
      <c r="J103" s="1">
        <f t="shared" ca="1" si="55"/>
        <v>188.72695236477935</v>
      </c>
      <c r="K103" s="1">
        <f t="shared" ca="1" si="55"/>
        <v>187.75236726286943</v>
      </c>
    </row>
    <row r="104" spans="1:16" x14ac:dyDescent="0.2">
      <c r="A104" t="str">
        <f ca="1">OFFSET(Nelson_Reference,0,2)</f>
        <v>Pedestrian</v>
      </c>
      <c r="B104" s="4">
        <f ca="1">'Total Trip Tables Sup #2'!B104</f>
        <v>34.609993433</v>
      </c>
      <c r="C104" s="4">
        <f ca="1">'Total Trip Tables Sup #2'!C104</f>
        <v>35.323185537230195</v>
      </c>
      <c r="D104" s="4">
        <f ca="1">'Total Trip Tables Sup #2'!D104</f>
        <v>36.041295930552884</v>
      </c>
      <c r="E104" s="4">
        <f ca="1">'Total Trip Tables Sup #2'!E104</f>
        <v>36.131765603584448</v>
      </c>
      <c r="F104" s="4">
        <f ca="1">'Total Trip Tables Sup #2'!F104</f>
        <v>35.872220154759532</v>
      </c>
      <c r="G104" s="4">
        <f ca="1">'Total Trip Tables Sup #2'!G104</f>
        <v>35.445498968886298</v>
      </c>
      <c r="H104" s="4">
        <f ca="1">'Total Trip Tables Sup #2'!H104</f>
        <v>34.733622042176101</v>
      </c>
      <c r="I104" s="1">
        <f ca="1">'Total Trip Tables Sup #2'!I104</f>
        <v>34.745848191188834</v>
      </c>
      <c r="J104" s="1">
        <f ca="1">'Total Trip Tables Sup #2'!J104</f>
        <v>34.673665515341831</v>
      </c>
      <c r="K104" s="1">
        <f ca="1">'Total Trip Tables Sup #2'!K104</f>
        <v>34.530075202283655</v>
      </c>
    </row>
    <row r="105" spans="1:16" x14ac:dyDescent="0.2">
      <c r="A105" t="str">
        <f ca="1">OFFSET(Nelson_Reference,7,2)</f>
        <v>Cyclist</v>
      </c>
      <c r="B105" s="4">
        <f ca="1">'Total Trip Tables Sup #2'!B105</f>
        <v>2.9519642961999999</v>
      </c>
      <c r="C105" s="4">
        <f ca="1">'Total Trip Tables Sup #2'!C105</f>
        <v>2.9448539635786983</v>
      </c>
      <c r="D105" s="4">
        <f ca="1">'Total Trip Tables Sup #2'!D105</f>
        <v>3.3209031825559614</v>
      </c>
      <c r="E105" s="4">
        <f ca="1">'Total Trip Tables Sup #2'!E105</f>
        <v>3.5550259159746993</v>
      </c>
      <c r="F105" s="4">
        <f ca="1">'Total Trip Tables Sup #2'!F105</f>
        <v>3.7848560905079998</v>
      </c>
      <c r="G105" s="4">
        <f ca="1">'Total Trip Tables Sup #2'!G105</f>
        <v>4.0048120657336863</v>
      </c>
      <c r="H105" s="4">
        <f ca="1">'Total Trip Tables Sup #2'!H105</f>
        <v>4.2045472520123921</v>
      </c>
      <c r="I105" s="1">
        <f ca="1">'Total Trip Tables Sup #2'!I105</f>
        <v>4.2338688443967882</v>
      </c>
      <c r="J105" s="1">
        <f ca="1">'Total Trip Tables Sup #2'!J105</f>
        <v>4.2656645193449148</v>
      </c>
      <c r="K105" s="1">
        <f ca="1">'Total Trip Tables Sup #2'!K105</f>
        <v>4.2898850891487301</v>
      </c>
    </row>
    <row r="106" spans="1:16" x14ac:dyDescent="0.2">
      <c r="A106" t="str">
        <f ca="1">OFFSET(Nelson_Reference,14,2)</f>
        <v>Light Vehicle Driver</v>
      </c>
      <c r="B106" s="4">
        <f ca="1">'Total Trip Tables Sup #2'!B106</f>
        <v>98.206986838999995</v>
      </c>
      <c r="C106" s="4">
        <f ca="1">'Total Trip Tables Sup #2'!C106*(1-'Other Assumptions'!G15)</f>
        <v>103.31073791166777</v>
      </c>
      <c r="D106" s="4">
        <f ca="1">'Total Trip Tables Sup #2'!D106*(1-'Other Assumptions'!H15)</f>
        <v>104.78314770037994</v>
      </c>
      <c r="E106" s="4">
        <f ca="1">'Total Trip Tables Sup #2'!E106*(1-'Other Assumptions'!I15)</f>
        <v>90.182611572561498</v>
      </c>
      <c r="F106" s="4">
        <f ca="1">'Total Trip Tables Sup #2'!F106*(1-'Other Assumptions'!J15)</f>
        <v>74.414467615659277</v>
      </c>
      <c r="G106" s="4">
        <f ca="1">'Total Trip Tables Sup #2'!G106*(1-'Other Assumptions'!K15)</f>
        <v>57.867251726975503</v>
      </c>
      <c r="H106" s="4">
        <f ca="1">'Total Trip Tables Sup #2'!H106*(1-'Other Assumptions'!L15)</f>
        <v>41.242978732846453</v>
      </c>
      <c r="I106" s="1">
        <f ca="1">'Total Trip Tables Sup #2'!I106*(1-'Other Assumptions'!M15)</f>
        <v>41.212173164971816</v>
      </c>
      <c r="J106" s="1">
        <f ca="1">'Total Trip Tables Sup #2'!J106*(1-'Other Assumptions'!N15)</f>
        <v>41.062636252504994</v>
      </c>
      <c r="K106" s="1">
        <f ca="1">'Total Trip Tables Sup #2'!K106*(1-'Other Assumptions'!O15)</f>
        <v>40.827691135176906</v>
      </c>
    </row>
    <row r="107" spans="1:16" x14ac:dyDescent="0.2">
      <c r="A107" t="str">
        <f ca="1">OFFSET(Nelson_Reference,21,2)</f>
        <v>Light Vehicle Passenger</v>
      </c>
      <c r="B107" s="4">
        <f ca="1">'Total Trip Tables Sup #2'!B107</f>
        <v>45.895773311000006</v>
      </c>
      <c r="C107" s="4">
        <f ca="1">'Total Trip Tables Sup #2'!C107*(1-'Other Assumptions'!G15)</f>
        <v>45.948102682825152</v>
      </c>
      <c r="D107" s="4">
        <f ca="1">'Total Trip Tables Sup #2'!D107*(1-'Other Assumptions'!H15)</f>
        <v>45.594021042719987</v>
      </c>
      <c r="E107" s="4">
        <f ca="1">'Total Trip Tables Sup #2'!E107*(1-'Other Assumptions'!I15)</f>
        <v>38.368658955894681</v>
      </c>
      <c r="F107" s="4">
        <f ca="1">'Total Trip Tables Sup #2'!F107*(1-'Other Assumptions'!J15)</f>
        <v>31.11589977786717</v>
      </c>
      <c r="G107" s="4">
        <f ca="1">'Total Trip Tables Sup #2'!G107*(1-'Other Assumptions'!K15)</f>
        <v>23.903046280796769</v>
      </c>
      <c r="H107" s="4">
        <f ca="1">'Total Trip Tables Sup #2'!H107*(1-'Other Assumptions'!L15)</f>
        <v>16.871051978335206</v>
      </c>
      <c r="I107" s="1">
        <f ca="1">'Total Trip Tables Sup #2'!I107*(1-'Other Assumptions'!M15)</f>
        <v>16.855367706087435</v>
      </c>
      <c r="J107" s="1">
        <f ca="1">'Total Trip Tables Sup #2'!J107*(1-'Other Assumptions'!N15)</f>
        <v>16.789155496859944</v>
      </c>
      <c r="K107" s="1">
        <f ca="1">'Total Trip Tables Sup #2'!K107*(1-'Other Assumptions'!O15)</f>
        <v>16.687882758827751</v>
      </c>
    </row>
    <row r="108" spans="1:16" x14ac:dyDescent="0.2">
      <c r="A108" t="str">
        <f ca="1">OFFSET(Nelson_Reference,28,2)</f>
        <v>Taxi/Vehicle Share</v>
      </c>
      <c r="B108" s="4">
        <f ca="1">'Total Trip Tables Sup #2'!B108</f>
        <v>0.40359339709999997</v>
      </c>
      <c r="C108" s="4">
        <f ca="1">'Total Trip Tables Sup #2'!C108+((C106+C107)*'Other Assumptions'!G15/(1-'Other Assumptions'!G15))</f>
        <v>0.45219921026922338</v>
      </c>
      <c r="D108" s="4">
        <f ca="1">'Total Trip Tables Sup #2'!D108+((D106+D107)*'Other Assumptions'!H15/(1-'Other Assumptions'!H15))</f>
        <v>0.48897811216657466</v>
      </c>
      <c r="E108" s="4">
        <f ca="1">'Total Trip Tables Sup #2'!E108+((E106+E107)*'Other Assumptions'!I15/(1-'Other Assumptions'!I15))</f>
        <v>23.197803650779875</v>
      </c>
      <c r="F108" s="4">
        <f ca="1">'Total Trip Tables Sup #2'!F108+((F106+F107)*'Other Assumptions'!J15/(1-'Other Assumptions'!J15))</f>
        <v>45.753711827042473</v>
      </c>
      <c r="G108" s="4">
        <f ca="1">'Total Trip Tables Sup #2'!G108+((G106+G107)*'Other Assumptions'!K15/(1-'Other Assumptions'!K15))</f>
        <v>67.434117636179735</v>
      </c>
      <c r="H108" s="4">
        <f ca="1">'Total Trip Tables Sup #2'!H108+((H106+H107)*'Other Assumptions'!L15/(1-'Other Assumptions'!L15))</f>
        <v>87.700714894464781</v>
      </c>
      <c r="I108" s="1">
        <f ca="1">'Total Trip Tables Sup #2'!I108+((I106+I107)*'Other Assumptions'!M15/(1-'Other Assumptions'!M15))</f>
        <v>87.631355839341964</v>
      </c>
      <c r="J108" s="1">
        <f ca="1">'Total Trip Tables Sup #2'!J108+((J106+J107)*'Other Assumptions'!N15/(1-'Other Assumptions'!N15))</f>
        <v>87.306803938266597</v>
      </c>
      <c r="K108" s="1">
        <f ca="1">'Total Trip Tables Sup #2'!K108+((K106+K107)*'Other Assumptions'!O15/(1-'Other Assumptions'!O15))</f>
        <v>86.800438883373261</v>
      </c>
    </row>
    <row r="109" spans="1:16" x14ac:dyDescent="0.2">
      <c r="A109" t="str">
        <f ca="1">OFFSET(Nelson_Reference,35,2)</f>
        <v>Motorcyclist</v>
      </c>
      <c r="B109" s="4">
        <f ca="1">'Total Trip Tables Sup #2'!B109</f>
        <v>1.5095151791999999</v>
      </c>
      <c r="C109" s="4">
        <f ca="1">'Total Trip Tables Sup #2'!C109</f>
        <v>1.5298575531751364</v>
      </c>
      <c r="D109" s="4">
        <f ca="1">'Total Trip Tables Sup #2'!D109</f>
        <v>1.534424493005329</v>
      </c>
      <c r="E109" s="4">
        <f ca="1">'Total Trip Tables Sup #2'!E109</f>
        <v>1.5145899889921215</v>
      </c>
      <c r="F109" s="4">
        <f ca="1">'Total Trip Tables Sup #2'!F109</f>
        <v>1.4749906641502459</v>
      </c>
      <c r="G109" s="4">
        <f ca="1">'Total Trip Tables Sup #2'!G109</f>
        <v>1.4030539140159271</v>
      </c>
      <c r="H109" s="4">
        <f ca="1">'Total Trip Tables Sup #2'!H109</f>
        <v>1.3200918793106771</v>
      </c>
      <c r="I109" s="1">
        <f ca="1">'Total Trip Tables Sup #2'!I109</f>
        <v>1.327519930642558</v>
      </c>
      <c r="J109" s="1">
        <f ca="1">'Total Trip Tables Sup #2'!J109</f>
        <v>1.3331297812805223</v>
      </c>
      <c r="K109" s="1">
        <f ca="1">'Total Trip Tables Sup #2'!K109</f>
        <v>1.3359342135917465</v>
      </c>
    </row>
    <row r="110" spans="1:16" x14ac:dyDescent="0.2">
      <c r="A110" t="str">
        <f ca="1">OFFSET(Nelson_Reference,42,2)</f>
        <v>Local Train</v>
      </c>
      <c r="B110" s="4">
        <f ca="1">'Total Trip Tables Sup #2'!B110</f>
        <v>0</v>
      </c>
      <c r="C110" s="4">
        <f ca="1">'Total Trip Tables Sup #2'!C110</f>
        <v>0</v>
      </c>
      <c r="D110" s="4">
        <f ca="1">'Total Trip Tables Sup #2'!D110</f>
        <v>0</v>
      </c>
      <c r="E110" s="4">
        <f ca="1">'Total Trip Tables Sup #2'!E110</f>
        <v>0</v>
      </c>
      <c r="F110" s="4">
        <f ca="1">'Total Trip Tables Sup #2'!F110</f>
        <v>0</v>
      </c>
      <c r="G110" s="4">
        <f ca="1">'Total Trip Tables Sup #2'!G110</f>
        <v>0</v>
      </c>
      <c r="H110" s="4">
        <f ca="1">'Total Trip Tables Sup #2'!H110</f>
        <v>0</v>
      </c>
      <c r="I110" s="1">
        <f ca="1">'Total Trip Tables Sup #2'!I110</f>
        <v>0</v>
      </c>
      <c r="J110" s="1">
        <f ca="1">'Total Trip Tables Sup #2'!J110</f>
        <v>0</v>
      </c>
      <c r="K110" s="1">
        <f ca="1">'Total Trip Tables Sup #2'!K110</f>
        <v>0</v>
      </c>
    </row>
    <row r="111" spans="1:16" x14ac:dyDescent="0.2">
      <c r="A111" t="str">
        <f ca="1">OFFSET(Nelson_Reference,49,2)</f>
        <v>Local Bus</v>
      </c>
      <c r="B111" s="4">
        <f ca="1">'Total Trip Tables Sup #2'!B111</f>
        <v>2.0764681202999999</v>
      </c>
      <c r="C111" s="4">
        <f ca="1">'Total Trip Tables Sup #2'!C111</f>
        <v>1.9252838496968649</v>
      </c>
      <c r="D111" s="4">
        <f ca="1">'Total Trip Tables Sup #2'!D111</f>
        <v>1.9266227689276976</v>
      </c>
      <c r="E111" s="4">
        <f ca="1">'Total Trip Tables Sup #2'!E111</f>
        <v>1.8999363271267151</v>
      </c>
      <c r="F111" s="4">
        <f ca="1">'Total Trip Tables Sup #2'!F111</f>
        <v>1.862768847744535</v>
      </c>
      <c r="G111" s="4">
        <f ca="1">'Total Trip Tables Sup #2'!G111</f>
        <v>1.8372660531976266</v>
      </c>
      <c r="H111" s="4">
        <f ca="1">'Total Trip Tables Sup #2'!H111</f>
        <v>1.8038583767098741</v>
      </c>
      <c r="I111" s="1">
        <f ca="1">'Total Trip Tables Sup #2'!I111</f>
        <v>1.8038714052515923</v>
      </c>
      <c r="J111" s="1">
        <f ca="1">'Total Trip Tables Sup #2'!J111</f>
        <v>1.7987263554652926</v>
      </c>
      <c r="K111" s="1">
        <f ca="1">'Total Trip Tables Sup #2'!K111</f>
        <v>1.7898097821574377</v>
      </c>
    </row>
    <row r="112" spans="1:16" x14ac:dyDescent="0.2">
      <c r="A112" t="str">
        <f ca="1">OFFSET(Wellington_Reference,56,2)</f>
        <v>Local Ferry</v>
      </c>
      <c r="B112" s="4">
        <f ca="1">'Total Trip Tables Sup #2'!B112</f>
        <v>0</v>
      </c>
      <c r="C112" s="4">
        <f ca="1">'Total Trip Tables Sup #2'!C112</f>
        <v>0</v>
      </c>
      <c r="D112" s="4">
        <f ca="1">'Total Trip Tables Sup #2'!D112</f>
        <v>0</v>
      </c>
      <c r="E112" s="4">
        <f ca="1">'Total Trip Tables Sup #2'!E112</f>
        <v>0</v>
      </c>
      <c r="F112" s="4">
        <f ca="1">'Total Trip Tables Sup #2'!F112</f>
        <v>0</v>
      </c>
      <c r="G112" s="4">
        <f ca="1">'Total Trip Tables Sup #2'!G112</f>
        <v>0</v>
      </c>
      <c r="H112" s="4">
        <f ca="1">'Total Trip Tables Sup #2'!H112</f>
        <v>0</v>
      </c>
      <c r="I112" s="1">
        <f ca="1">'Total Trip Tables Sup #2'!I112</f>
        <v>0</v>
      </c>
      <c r="J112" s="1">
        <f ca="1">'Total Trip Tables Sup #2'!J112</f>
        <v>0</v>
      </c>
      <c r="K112" s="1">
        <f ca="1">'Total Trip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Trip Tables Sup #2'!B113</f>
        <v>1.495105957</v>
      </c>
      <c r="C113" s="4">
        <f ca="1">'Total Trip Tables Sup #2'!C113</f>
        <v>1.5488715584355688</v>
      </c>
      <c r="D113" s="4">
        <f ca="1">'Total Trip Tables Sup #2'!D113</f>
        <v>1.6013310595130681</v>
      </c>
      <c r="E113" s="4">
        <f ca="1">'Total Trip Tables Sup #2'!E113</f>
        <v>1.6154877743913016</v>
      </c>
      <c r="F113" s="4">
        <f ca="1">'Total Trip Tables Sup #2'!F113</f>
        <v>1.6034084419660164</v>
      </c>
      <c r="G113" s="4">
        <f ca="1">'Total Trip Tables Sup #2'!G113</f>
        <v>1.5686634488004445</v>
      </c>
      <c r="H113" s="4">
        <f ca="1">'Total Trip Tables Sup #2'!H113</f>
        <v>1.4999168111015868</v>
      </c>
      <c r="I113" s="1">
        <f ca="1">'Total Trip Tables Sup #2'!I113</f>
        <v>1.5005244426576487</v>
      </c>
      <c r="J113" s="1">
        <f ca="1">'Total Trip Tables Sup #2'!J113</f>
        <v>1.4971705057152358</v>
      </c>
      <c r="K113" s="1">
        <f ca="1">'Total Trip Tables Sup #2'!K113</f>
        <v>1.4906501983099456</v>
      </c>
    </row>
    <row r="114" spans="1:11" x14ac:dyDescent="0.2">
      <c r="A114" t="str">
        <f ca="1">OFFSET(West_Coast_Reference,0,0)</f>
        <v>12 WEST COAST</v>
      </c>
      <c r="B114" s="4">
        <f ca="1">SUM(B115:B124)</f>
        <v>39.320985915800001</v>
      </c>
      <c r="C114" s="4">
        <f t="shared" ref="C114" ca="1" si="56">SUM(C115:C124)</f>
        <v>38.087380079370398</v>
      </c>
      <c r="D114" s="4">
        <f t="shared" ref="D114" ca="1" si="57">SUM(D115:D124)</f>
        <v>37.418508027207181</v>
      </c>
      <c r="E114" s="4">
        <f t="shared" ref="E114" ca="1" si="58">SUM(E115:E124)</f>
        <v>36.632323428857873</v>
      </c>
      <c r="F114" s="4">
        <f t="shared" ref="F114" ca="1" si="59">SUM(F115:F124)</f>
        <v>35.563500073584692</v>
      </c>
      <c r="G114" s="4">
        <f t="shared" ref="G114" ca="1" si="60">SUM(G115:G124)</f>
        <v>34.215162779825064</v>
      </c>
      <c r="H114" s="4">
        <f t="shared" ref="H114:K114" ca="1" si="61">SUM(H115:H124)</f>
        <v>32.714534211229875</v>
      </c>
      <c r="I114" s="1">
        <f t="shared" ca="1" si="61"/>
        <v>31.908608718985935</v>
      </c>
      <c r="J114" s="1">
        <f t="shared" ca="1" si="61"/>
        <v>31.035358793491767</v>
      </c>
      <c r="K114" s="1">
        <f t="shared" ca="1" si="61"/>
        <v>30.121543824143018</v>
      </c>
    </row>
    <row r="115" spans="1:11" x14ac:dyDescent="0.2">
      <c r="A115" t="str">
        <f ca="1">OFFSET(West_Coast_Reference,0,2)</f>
        <v>Pedestrian</v>
      </c>
      <c r="B115" s="4">
        <f ca="1">'Total Trip Tables Sup #2'!B115</f>
        <v>5.2699511529</v>
      </c>
      <c r="C115" s="4">
        <f ca="1">'Total Trip Tables Sup #2'!C115</f>
        <v>5.051918194146884</v>
      </c>
      <c r="D115" s="4">
        <f ca="1">'Total Trip Tables Sup #2'!D115</f>
        <v>5.0036079411394923</v>
      </c>
      <c r="E115" s="4">
        <f ca="1">'Total Trip Tables Sup #2'!E115</f>
        <v>4.8773372162312043</v>
      </c>
      <c r="F115" s="4">
        <f ca="1">'Total Trip Tables Sup #2'!F115</f>
        <v>4.7103301878374344</v>
      </c>
      <c r="G115" s="4">
        <f ca="1">'Total Trip Tables Sup #2'!G115</f>
        <v>4.5298131114399887</v>
      </c>
      <c r="H115" s="4">
        <f ca="1">'Total Trip Tables Sup #2'!H115</f>
        <v>4.3314804043658972</v>
      </c>
      <c r="I115" s="1">
        <f ca="1">'Total Trip Tables Sup #2'!I115</f>
        <v>4.2280080718282402</v>
      </c>
      <c r="J115" s="1">
        <f ca="1">'Total Trip Tables Sup #2'!J115</f>
        <v>4.1167903607547469</v>
      </c>
      <c r="K115" s="1">
        <f ca="1">'Total Trip Tables Sup #2'!K115</f>
        <v>4.000019437666241</v>
      </c>
    </row>
    <row r="116" spans="1:11" x14ac:dyDescent="0.2">
      <c r="A116" t="str">
        <f ca="1">OFFSET(West_Coast_Reference,7,2)</f>
        <v>Cyclist</v>
      </c>
      <c r="B116" s="4">
        <f ca="1">'Total Trip Tables Sup #2'!B116</f>
        <v>0.73381292249999996</v>
      </c>
      <c r="C116" s="4">
        <f ca="1">'Total Trip Tables Sup #2'!C116</f>
        <v>0.68758974671079087</v>
      </c>
      <c r="D116" s="4">
        <f ca="1">'Total Trip Tables Sup #2'!D116</f>
        <v>0.75267635175897762</v>
      </c>
      <c r="E116" s="4">
        <f ca="1">'Total Trip Tables Sup #2'!E116</f>
        <v>0.78343965910538371</v>
      </c>
      <c r="F116" s="4">
        <f ca="1">'Total Trip Tables Sup #2'!F116</f>
        <v>0.81135636732540983</v>
      </c>
      <c r="G116" s="4">
        <f ca="1">'Total Trip Tables Sup #2'!G116</f>
        <v>0.83554628584923485</v>
      </c>
      <c r="H116" s="4">
        <f ca="1">'Total Trip Tables Sup #2'!H116</f>
        <v>0.85600184268660318</v>
      </c>
      <c r="I116" s="1">
        <f ca="1">'Total Trip Tables Sup #2'!I116</f>
        <v>0.84108419575189108</v>
      </c>
      <c r="J116" s="1">
        <f ca="1">'Total Trip Tables Sup #2'!J116</f>
        <v>0.8268274289534927</v>
      </c>
      <c r="K116" s="1">
        <f ca="1">'Total Trip Tables Sup #2'!K116</f>
        <v>0.81129615707455405</v>
      </c>
    </row>
    <row r="117" spans="1:11" x14ac:dyDescent="0.2">
      <c r="A117" t="str">
        <f ca="1">OFFSET(West_Coast_Reference,14,2)</f>
        <v>Light Vehicle Driver</v>
      </c>
      <c r="B117" s="4">
        <f ca="1">'Total Trip Tables Sup #2'!B117</f>
        <v>21.329902885999999</v>
      </c>
      <c r="C117" s="4">
        <f ca="1">'Total Trip Tables Sup #2'!C117*(1-'Other Assumptions'!G16)</f>
        <v>21.075764124839374</v>
      </c>
      <c r="D117" s="4">
        <f ca="1">'Total Trip Tables Sup #2'!D117*(1-'Other Assumptions'!H16)</f>
        <v>20.758185260359468</v>
      </c>
      <c r="E117" s="4">
        <f ca="1">'Total Trip Tables Sup #2'!E117*(1-'Other Assumptions'!I16)</f>
        <v>17.377815472935549</v>
      </c>
      <c r="F117" s="4">
        <f ca="1">'Total Trip Tables Sup #2'!F117*(1-'Other Assumptions'!J16)</f>
        <v>13.953482711983009</v>
      </c>
      <c r="G117" s="4">
        <f ca="1">'Total Trip Tables Sup #2'!G117*(1-'Other Assumptions'!K16)</f>
        <v>10.564094687088444</v>
      </c>
      <c r="H117" s="4">
        <f ca="1">'Total Trip Tables Sup #2'!H117*(1-'Other Assumptions'!L16)</f>
        <v>7.3494980257717275</v>
      </c>
      <c r="I117" s="1">
        <f ca="1">'Total Trip Tables Sup #2'!I117*(1-'Other Assumptions'!M16)</f>
        <v>7.1660399573429006</v>
      </c>
      <c r="J117" s="1">
        <f ca="1">'Total Trip Tables Sup #2'!J117*(1-'Other Assumptions'!N16)</f>
        <v>6.9666788630384389</v>
      </c>
      <c r="K117" s="1">
        <f ca="1">'Total Trip Tables Sup #2'!K117*(1-'Other Assumptions'!O16)</f>
        <v>6.7583154513903114</v>
      </c>
    </row>
    <row r="118" spans="1:11" x14ac:dyDescent="0.2">
      <c r="A118" t="str">
        <f ca="1">OFFSET(West_Coast_Reference,21,2)</f>
        <v>Light Vehicle Passenger</v>
      </c>
      <c r="B118" s="4">
        <f ca="1">'Total Trip Tables Sup #2'!B118</f>
        <v>11.090105215000001</v>
      </c>
      <c r="C118" s="4">
        <f ca="1">'Total Trip Tables Sup #2'!C118*(1-'Other Assumptions'!G16)</f>
        <v>10.428502068491744</v>
      </c>
      <c r="D118" s="4">
        <f ca="1">'Total Trip Tables Sup #2'!D118*(1-'Other Assumptions'!H16)</f>
        <v>10.058888456730605</v>
      </c>
      <c r="E118" s="4">
        <f ca="1">'Total Trip Tables Sup #2'!E118*(1-'Other Assumptions'!I16)</f>
        <v>8.2417941979820082</v>
      </c>
      <c r="F118" s="4">
        <f ca="1">'Total Trip Tables Sup #2'!F118*(1-'Other Assumptions'!J16)</f>
        <v>6.5103257403259525</v>
      </c>
      <c r="G118" s="4">
        <f ca="1">'Total Trip Tables Sup #2'!G118*(1-'Other Assumptions'!K16)</f>
        <v>4.8738015723201054</v>
      </c>
      <c r="H118" s="4">
        <f ca="1">'Total Trip Tables Sup #2'!H118*(1-'Other Assumptions'!L16)</f>
        <v>3.3610829051240643</v>
      </c>
      <c r="I118" s="1">
        <f ca="1">'Total Trip Tables Sup #2'!I118*(1-'Other Assumptions'!M16)</f>
        <v>3.2766112547633819</v>
      </c>
      <c r="J118" s="1">
        <f ca="1">'Total Trip Tables Sup #2'!J118*(1-'Other Assumptions'!N16)</f>
        <v>3.1845348711112029</v>
      </c>
      <c r="K118" s="1">
        <f ca="1">'Total Trip Tables Sup #2'!K118*(1-'Other Assumptions'!O16)</f>
        <v>3.0883637004983586</v>
      </c>
    </row>
    <row r="119" spans="1:11" x14ac:dyDescent="0.2">
      <c r="A119" t="str">
        <f ca="1">OFFSET(West_Coast_Reference,28,2)</f>
        <v>Taxi/Vehicle Share</v>
      </c>
      <c r="B119" s="4">
        <f ca="1">'Total Trip Tables Sup #2'!B119</f>
        <v>0.29973375209999997</v>
      </c>
      <c r="C119" s="4">
        <f ca="1">'Total Trip Tables Sup #2'!C119+((C117+C118)*'Other Assumptions'!G16/(1-'Other Assumptions'!G16))</f>
        <v>0.31543710004307279</v>
      </c>
      <c r="D119" s="4">
        <f ca="1">'Total Trip Tables Sup #2'!D119+((D117+D118)*'Other Assumptions'!H16/(1-'Other Assumptions'!H16))</f>
        <v>0.33109972429795559</v>
      </c>
      <c r="E119" s="4">
        <f ca="1">'Total Trip Tables Sup #2'!E119+((E117+E118)*'Other Assumptions'!I16/(1-'Other Assumptions'!I16))</f>
        <v>4.8583887134571855</v>
      </c>
      <c r="F119" s="4">
        <f ca="1">'Total Trip Tables Sup #2'!F119+((F117+F118)*'Other Assumptions'!J16/(1-'Other Assumptions'!J16))</f>
        <v>9.1073395228312464</v>
      </c>
      <c r="G119" s="4">
        <f ca="1">'Total Trip Tables Sup #2'!G119+((G117+G118)*'Other Assumptions'!K16/(1-'Other Assumptions'!K16))</f>
        <v>12.962076215022595</v>
      </c>
      <c r="H119" s="4">
        <f ca="1">'Total Trip Tables Sup #2'!H119+((H117+H118)*'Other Assumptions'!L16/(1-'Other Assumptions'!L16))</f>
        <v>16.388035552373633</v>
      </c>
      <c r="I119" s="1">
        <f ca="1">'Total Trip Tables Sup #2'!I119+((I117+I118)*'Other Assumptions'!M16/(1-'Other Assumptions'!M16))</f>
        <v>15.978557300601976</v>
      </c>
      <c r="J119" s="1">
        <f ca="1">'Total Trip Tables Sup #2'!J119+((J117+J118)*'Other Assumptions'!N16/(1-'Other Assumptions'!N16))</f>
        <v>15.53322618393597</v>
      </c>
      <c r="K119" s="1">
        <f ca="1">'Total Trip Tables Sup #2'!K119+((K117+K118)*'Other Assumptions'!O16/(1-'Other Assumptions'!O16))</f>
        <v>15.067819642113328</v>
      </c>
    </row>
    <row r="120" spans="1:11" x14ac:dyDescent="0.2">
      <c r="A120" t="str">
        <f ca="1">OFFSET(West_Coast_Reference,35,2)</f>
        <v>Motorcyclist</v>
      </c>
      <c r="B120" s="4">
        <f ca="1">'Total Trip Tables Sup #2'!B120</f>
        <v>6.1723256599999998E-2</v>
      </c>
      <c r="C120" s="4">
        <f ca="1">'Total Trip Tables Sup #2'!C120</f>
        <v>5.8756202172297184E-2</v>
      </c>
      <c r="D120" s="4">
        <f ca="1">'Total Trip Tables Sup #2'!D120</f>
        <v>5.7205089771354495E-2</v>
      </c>
      <c r="E120" s="4">
        <f ca="1">'Total Trip Tables Sup #2'!E120</f>
        <v>5.4902858419673767E-2</v>
      </c>
      <c r="F120" s="4">
        <f ca="1">'Total Trip Tables Sup #2'!F120</f>
        <v>5.2010214086036018E-2</v>
      </c>
      <c r="G120" s="4">
        <f ca="1">'Total Trip Tables Sup #2'!G120</f>
        <v>4.815039169289631E-2</v>
      </c>
      <c r="H120" s="4">
        <f ca="1">'Total Trip Tables Sup #2'!H120</f>
        <v>4.4207577184085654E-2</v>
      </c>
      <c r="I120" s="1">
        <f ca="1">'Total Trip Tables Sup #2'!I120</f>
        <v>4.3379067759479119E-2</v>
      </c>
      <c r="J120" s="1">
        <f ca="1">'Total Trip Tables Sup #2'!J120</f>
        <v>4.2504773042019522E-2</v>
      </c>
      <c r="K120" s="1">
        <f ca="1">'Total Trip Tables Sup #2'!K120</f>
        <v>4.1558123034368406E-2</v>
      </c>
    </row>
    <row r="121" spans="1:11" x14ac:dyDescent="0.2">
      <c r="A121" t="str">
        <f ca="1">OFFSET(Nelson_Reference,42,2)</f>
        <v>Local Train</v>
      </c>
      <c r="B121" s="4">
        <f ca="1">'Total Trip Tables Sup #2'!B121</f>
        <v>0</v>
      </c>
      <c r="C121" s="4">
        <f ca="1">'Total Trip Tables Sup #2'!C121</f>
        <v>0</v>
      </c>
      <c r="D121" s="4">
        <f ca="1">'Total Trip Tables Sup #2'!D121</f>
        <v>0</v>
      </c>
      <c r="E121" s="4">
        <f ca="1">'Total Trip Tables Sup #2'!E121</f>
        <v>0</v>
      </c>
      <c r="F121" s="4">
        <f ca="1">'Total Trip Tables Sup #2'!F121</f>
        <v>0</v>
      </c>
      <c r="G121" s="4">
        <f ca="1">'Total Trip Tables Sup #2'!G121</f>
        <v>0</v>
      </c>
      <c r="H121" s="4">
        <f ca="1">'Total Trip Tables Sup #2'!H121</f>
        <v>0</v>
      </c>
      <c r="I121" s="1">
        <f ca="1">'Total Trip Tables Sup #2'!I121</f>
        <v>0</v>
      </c>
      <c r="J121" s="1">
        <f ca="1">'Total Trip Tables Sup #2'!J121</f>
        <v>0</v>
      </c>
      <c r="K121" s="1">
        <f ca="1">'Total Trip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Trip Tables Sup #2'!B122</f>
        <v>0.50805546800000001</v>
      </c>
      <c r="C122" s="4">
        <f ca="1">'Total Trip Tables Sup #2'!C122</f>
        <v>0.44245795100750362</v>
      </c>
      <c r="D122" s="4">
        <f ca="1">'Total Trip Tables Sup #2'!D122</f>
        <v>0.42979400390861305</v>
      </c>
      <c r="E122" s="4">
        <f ca="1">'Total Trip Tables Sup #2'!E122</f>
        <v>0.41211026770095305</v>
      </c>
      <c r="F122" s="4">
        <f ca="1">'Total Trip Tables Sup #2'!F122</f>
        <v>0.39303647026102401</v>
      </c>
      <c r="G122" s="4">
        <f ca="1">'Total Trip Tables Sup #2'!G122</f>
        <v>0.37728716408844759</v>
      </c>
      <c r="H122" s="4">
        <f ca="1">'Total Trip Tables Sup #2'!H122</f>
        <v>0.36146770898082126</v>
      </c>
      <c r="I122" s="1">
        <f ca="1">'Total Trip Tables Sup #2'!I122</f>
        <v>0.35271120229996145</v>
      </c>
      <c r="J122" s="1">
        <f ca="1">'Total Trip Tables Sup #2'!J122</f>
        <v>0.34316649886546974</v>
      </c>
      <c r="K122" s="1">
        <f ca="1">'Total Trip Tables Sup #2'!K122</f>
        <v>0.33315953256340741</v>
      </c>
    </row>
    <row r="123" spans="1:11" x14ac:dyDescent="0.2">
      <c r="A123" t="str">
        <f ca="1">OFFSET(Wellington_Reference,56,2)</f>
        <v>Local Ferry</v>
      </c>
      <c r="B123" s="4">
        <f ca="1">'Total Trip Tables Sup #2'!B123</f>
        <v>0</v>
      </c>
      <c r="C123" s="4">
        <f ca="1">'Total Trip Tables Sup #2'!C123</f>
        <v>0</v>
      </c>
      <c r="D123" s="4">
        <f ca="1">'Total Trip Tables Sup #2'!D123</f>
        <v>0</v>
      </c>
      <c r="E123" s="4">
        <f ca="1">'Total Trip Tables Sup #2'!E123</f>
        <v>0</v>
      </c>
      <c r="F123" s="4">
        <f ca="1">'Total Trip Tables Sup #2'!F123</f>
        <v>0</v>
      </c>
      <c r="G123" s="4">
        <f ca="1">'Total Trip Tables Sup #2'!G123</f>
        <v>0</v>
      </c>
      <c r="H123" s="4">
        <f ca="1">'Total Trip Tables Sup #2'!H123</f>
        <v>0</v>
      </c>
      <c r="I123" s="1">
        <f ca="1">'Total Trip Tables Sup #2'!I123</f>
        <v>0</v>
      </c>
      <c r="J123" s="1">
        <f ca="1">'Total Trip Tables Sup #2'!J123</f>
        <v>0</v>
      </c>
      <c r="K123" s="1">
        <f ca="1">'Total Trip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Trip Tables Sup #2'!B124</f>
        <v>2.77012627E-2</v>
      </c>
      <c r="C124" s="4">
        <f ca="1">'Total Trip Tables Sup #2'!C124</f>
        <v>2.6954691958737224E-2</v>
      </c>
      <c r="D124" s="4">
        <f ca="1">'Total Trip Tables Sup #2'!D124</f>
        <v>2.705119924071785E-2</v>
      </c>
      <c r="E124" s="4">
        <f ca="1">'Total Trip Tables Sup #2'!E124</f>
        <v>2.6535043025918564E-2</v>
      </c>
      <c r="F124" s="4">
        <f ca="1">'Total Trip Tables Sup #2'!F124</f>
        <v>2.5618858934575089E-2</v>
      </c>
      <c r="G124" s="4">
        <f ca="1">'Total Trip Tables Sup #2'!G124</f>
        <v>2.4393352323357386E-2</v>
      </c>
      <c r="H124" s="4">
        <f ca="1">'Total Trip Tables Sup #2'!H124</f>
        <v>2.2760194743045872E-2</v>
      </c>
      <c r="I124" s="1">
        <f ca="1">'Total Trip Tables Sup #2'!I124</f>
        <v>2.2217668638110789E-2</v>
      </c>
      <c r="J124" s="1">
        <f ca="1">'Total Trip Tables Sup #2'!J124</f>
        <v>2.1629813790428134E-2</v>
      </c>
      <c r="K124" s="1">
        <f ca="1">'Total Trip Tables Sup #2'!K124</f>
        <v>2.1011779802450732E-2</v>
      </c>
    </row>
    <row r="125" spans="1:11" x14ac:dyDescent="0.2">
      <c r="A125" t="str">
        <f ca="1">OFFSET(Canterbury_Reference,0,0)</f>
        <v>13 CANTERBURY</v>
      </c>
      <c r="B125" s="4">
        <f ca="1">SUM(B126:B135)</f>
        <v>787.72987151590007</v>
      </c>
      <c r="C125" s="4">
        <f t="shared" ref="C125" ca="1" si="62">SUM(C126:C135)</f>
        <v>855.34393608464131</v>
      </c>
      <c r="D125" s="4">
        <f t="shared" ref="D125" ca="1" si="63">SUM(D126:D135)</f>
        <v>895.22385986511699</v>
      </c>
      <c r="E125" s="4">
        <f t="shared" ref="E125" ca="1" si="64">SUM(E126:E135)</f>
        <v>920.15897512242907</v>
      </c>
      <c r="F125" s="4">
        <f t="shared" ref="F125" ca="1" si="65">SUM(F126:F135)</f>
        <v>938.67884742840533</v>
      </c>
      <c r="G125" s="4">
        <f t="shared" ref="G125" ca="1" si="66">SUM(G126:G135)</f>
        <v>950.15784423672812</v>
      </c>
      <c r="H125" s="4">
        <f t="shared" ref="H125:K125" ca="1" si="67">SUM(H126:H135)</f>
        <v>955.3533988468663</v>
      </c>
      <c r="I125" s="1">
        <f t="shared" ca="1" si="67"/>
        <v>980.36634948105132</v>
      </c>
      <c r="J125" s="1">
        <f t="shared" ca="1" si="67"/>
        <v>1003.3315521004057</v>
      </c>
      <c r="K125" s="1">
        <f t="shared" ca="1" si="67"/>
        <v>1024.6875599041921</v>
      </c>
    </row>
    <row r="126" spans="1:11" x14ac:dyDescent="0.2">
      <c r="A126" t="str">
        <f ca="1">OFFSET(Canterbury_Reference,0,2)</f>
        <v>Pedestrian</v>
      </c>
      <c r="B126" s="4">
        <f ca="1">'Total Trip Tables Sup #2'!B126</f>
        <v>131.04676542000001</v>
      </c>
      <c r="C126" s="4">
        <f ca="1">'Total Trip Tables Sup #2'!C126+'Total Trip Tables Sup #2'!C128*'Other Assumptions'!G88*'Other Assumptions'!G95+'Total Trip Tables Sup #2'!C129*'Other Assumptions'!G88*'Other Assumptions'!G95</f>
        <v>141.22214395400169</v>
      </c>
      <c r="D126" s="4">
        <f ca="1">'Total Trip Tables Sup #2'!D126+'Total Trip Tables Sup #2'!D128*'Other Assumptions'!H88*'Other Assumptions'!H95+'Total Trip Tables Sup #2'!D129*'Other Assumptions'!H88*'Other Assumptions'!H95</f>
        <v>149.07375491005382</v>
      </c>
      <c r="E126" s="4">
        <f ca="1">'Total Trip Tables Sup #2'!E126+'Total Trip Tables Sup #2'!E128*'Other Assumptions'!I88*'Other Assumptions'!I95+'Total Trip Tables Sup #2'!E129*'Other Assumptions'!I88*'Other Assumptions'!I95</f>
        <v>152.83746781425049</v>
      </c>
      <c r="F126" s="4">
        <f ca="1">'Total Trip Tables Sup #2'!F126+'Total Trip Tables Sup #2'!F128*'Other Assumptions'!J88*'Other Assumptions'!J95+'Total Trip Tables Sup #2'!F129*'Other Assumptions'!J88*'Other Assumptions'!J95</f>
        <v>155.35304899349831</v>
      </c>
      <c r="G126" s="4">
        <f ca="1">'Total Trip Tables Sup #2'!G126+'Total Trip Tables Sup #2'!G128*'Other Assumptions'!K88*'Other Assumptions'!K95+'Total Trip Tables Sup #2'!G129*'Other Assumptions'!K88*'Other Assumptions'!K95</f>
        <v>157.34782109522649</v>
      </c>
      <c r="H126" s="4">
        <f ca="1">'Total Trip Tables Sup #2'!H126+'Total Trip Tables Sup #2'!H128*'Other Assumptions'!L88*'Other Assumptions'!L95+'Total Trip Tables Sup #2'!H129*'Other Assumptions'!L88*'Other Assumptions'!L95</f>
        <v>158.337044082174</v>
      </c>
      <c r="I126" s="1">
        <f ca="1">'Total Trip Tables Sup #2'!I126+'Total Trip Tables Sup #2'!I128*'Other Assumptions'!M88*'Other Assumptions'!M95+'Total Trip Tables Sup #2'!I129*'Other Assumptions'!M88*'Other Assumptions'!M95</f>
        <v>162.64762163453813</v>
      </c>
      <c r="J126" s="1">
        <f ca="1">'Total Trip Tables Sup #2'!J126+'Total Trip Tables Sup #2'!J128*'Other Assumptions'!N88*'Other Assumptions'!N95+'Total Trip Tables Sup #2'!J129*'Other Assumptions'!N88*'Other Assumptions'!N95</f>
        <v>166.66192414190635</v>
      </c>
      <c r="K126" s="1">
        <f ca="1">'Total Trip Tables Sup #2'!K126+'Total Trip Tables Sup #2'!K128*'Other Assumptions'!O88*'Other Assumptions'!O95+'Total Trip Tables Sup #2'!K129*'Other Assumptions'!O88*'Other Assumptions'!O95</f>
        <v>170.41407890270517</v>
      </c>
    </row>
    <row r="127" spans="1:11" x14ac:dyDescent="0.2">
      <c r="A127" t="str">
        <f ca="1">OFFSET(Canterbury_Reference,7,2)</f>
        <v>Cyclist</v>
      </c>
      <c r="B127" s="4">
        <f ca="1">'Total Trip Tables Sup #2'!B127</f>
        <v>23.740018446000001</v>
      </c>
      <c r="C127" s="4">
        <f ca="1">'Total Trip Tables Sup #2'!C127+'Total Trip Tables Sup #2'!C128*'Other Assumptions'!G88*'Other Assumptions'!G94+'Total Trip Tables Sup #2'!C129*'Other Assumptions'!G88*'Other Assumptions'!G94</f>
        <v>25.006439706055435</v>
      </c>
      <c r="D127" s="4">
        <f ca="1">'Total Trip Tables Sup #2'!D127+'Total Trip Tables Sup #2'!D128*'Other Assumptions'!H88*'Other Assumptions'!H94+'Total Trip Tables Sup #2'!D129*'Other Assumptions'!H88*'Other Assumptions'!H94</f>
        <v>29.174415867666792</v>
      </c>
      <c r="E127" s="4">
        <f ca="1">'Total Trip Tables Sup #2'!E127+'Total Trip Tables Sup #2'!E128*'Other Assumptions'!I88*'Other Assumptions'!I94+'Total Trip Tables Sup #2'!E129*'Other Assumptions'!I88*'Other Assumptions'!I94</f>
        <v>31.939534575594571</v>
      </c>
      <c r="F127" s="4">
        <f ca="1">'Total Trip Tables Sup #2'!F127+'Total Trip Tables Sup #2'!F128*'Other Assumptions'!J88*'Other Assumptions'!J94+'Total Trip Tables Sup #2'!F129*'Other Assumptions'!J88*'Other Assumptions'!J94</f>
        <v>34.814171053984801</v>
      </c>
      <c r="G127" s="4">
        <f ca="1">'Total Trip Tables Sup #2'!G127+'Total Trip Tables Sup #2'!G128*'Other Assumptions'!K88*'Other Assumptions'!K94+'Total Trip Tables Sup #2'!G129*'Other Assumptions'!K88*'Other Assumptions'!K94</f>
        <v>37.759561511984508</v>
      </c>
      <c r="H127" s="4">
        <f ca="1">'Total Trip Tables Sup #2'!H127+'Total Trip Tables Sup #2'!H128*'Other Assumptions'!L88*'Other Assumptions'!L94+'Total Trip Tables Sup #2'!H129*'Other Assumptions'!L88*'Other Assumptions'!L94</f>
        <v>40.709602246892175</v>
      </c>
      <c r="I127" s="1">
        <f ca="1">'Total Trip Tables Sup #2'!I127+'Total Trip Tables Sup #2'!I128*'Other Assumptions'!M88*'Other Assumptions'!M94+'Total Trip Tables Sup #2'!I129*'Other Assumptions'!M88*'Other Assumptions'!M94</f>
        <v>42.094694530623457</v>
      </c>
      <c r="J127" s="1">
        <f ca="1">'Total Trip Tables Sup #2'!J127+'Total Trip Tables Sup #2'!J128*'Other Assumptions'!N88*'Other Assumptions'!N94+'Total Trip Tables Sup #2'!J129*'Other Assumptions'!N88*'Other Assumptions'!N94</f>
        <v>43.54802819211649</v>
      </c>
      <c r="K127" s="1">
        <f ca="1">'Total Trip Tables Sup #2'!K127+'Total Trip Tables Sup #2'!K128*'Other Assumptions'!O88*'Other Assumptions'!O94+'Total Trip Tables Sup #2'!K129*'Other Assumptions'!O88*'Other Assumptions'!O94</f>
        <v>44.967502668957948</v>
      </c>
    </row>
    <row r="128" spans="1:11" x14ac:dyDescent="0.2">
      <c r="A128" t="str">
        <f ca="1">OFFSET(Canterbury_Reference,14,2)</f>
        <v>Light Vehicle Driver</v>
      </c>
      <c r="B128" s="4">
        <f ca="1">'Total Trip Tables Sup #2'!B128</f>
        <v>417.41567177000002</v>
      </c>
      <c r="C128" s="4">
        <f ca="1">'Total Trip Tables Sup #2'!C128*(1-'Other Assumptions'!G17)*(1-'Other Assumptions'!G88)</f>
        <v>463.64969314279847</v>
      </c>
      <c r="D128" s="4">
        <f ca="1">'Total Trip Tables Sup #2'!D128*(1-'Other Assumptions'!H17)*(1-'Other Assumptions'!H88)</f>
        <v>486.28920640806189</v>
      </c>
      <c r="E128" s="4">
        <f ca="1">'Total Trip Tables Sup #2'!E128*(1-'Other Assumptions'!I17)*(1-'Other Assumptions'!I88)</f>
        <v>427.83784125552052</v>
      </c>
      <c r="F128" s="4">
        <f ca="1">'Total Trip Tables Sup #2'!F128*(1-'Other Assumptions'!J17)*(1-'Other Assumptions'!J88)</f>
        <v>361.28562871717327</v>
      </c>
      <c r="G128" s="4">
        <f ca="1">'Total Trip Tables Sup #2'!G128*(1-'Other Assumptions'!K17)*(1-'Other Assumptions'!K88)</f>
        <v>287.85634789632485</v>
      </c>
      <c r="H128" s="4">
        <f ca="1">'Total Trip Tables Sup #2'!H128*(1-'Other Assumptions'!L17)*(1-'Other Assumptions'!L88)</f>
        <v>210.58595528381713</v>
      </c>
      <c r="I128" s="1">
        <f ca="1">'Total Trip Tables Sup #2'!I128*(1-'Other Assumptions'!M17)*(1-'Other Assumptions'!M88)</f>
        <v>216.07645213616948</v>
      </c>
      <c r="J128" s="1">
        <f ca="1">'Total Trip Tables Sup #2'!J128*(1-'Other Assumptions'!N17)*(1-'Other Assumptions'!N88)</f>
        <v>221.05802798242664</v>
      </c>
      <c r="K128" s="1">
        <f ca="1">'Total Trip Tables Sup #2'!K128*(1-'Other Assumptions'!O17)*(1-'Other Assumptions'!O88)</f>
        <v>225.66840460541576</v>
      </c>
    </row>
    <row r="129" spans="1:11" x14ac:dyDescent="0.2">
      <c r="A129" t="str">
        <f ca="1">OFFSET(Canterbury_Reference,21,2)</f>
        <v>Light Vehicle Passenger</v>
      </c>
      <c r="B129" s="4">
        <f ca="1">'Total Trip Tables Sup #2'!B129</f>
        <v>189.77500578000001</v>
      </c>
      <c r="C129" s="4">
        <f ca="1">'Total Trip Tables Sup #2'!C129*(1-'Other Assumptions'!G17)*(1-'Other Assumptions'!G88+'Other Assumptions'!G88*'Other Assumptions'!G91)+'Total Trip Tables Sup #2'!C128*(1-'Other Assumptions'!G17)*'Other Assumptions'!G88*'Other Assumptions'!G91</f>
        <v>200.60975771430768</v>
      </c>
      <c r="D129" s="4">
        <f ca="1">'Total Trip Tables Sup #2'!D129*(1-'Other Assumptions'!H17)*(1-'Other Assumptions'!H88+'Other Assumptions'!H88*'Other Assumptions'!H91)+'Total Trip Tables Sup #2'!D128*(1-'Other Assumptions'!H17)*'Other Assumptions'!H88*'Other Assumptions'!H91</f>
        <v>205.6896344223255</v>
      </c>
      <c r="E129" s="4">
        <f ca="1">'Total Trip Tables Sup #2'!E129*(1-'Other Assumptions'!I17)*(1-'Other Assumptions'!I88+'Other Assumptions'!I88*'Other Assumptions'!I91)+'Total Trip Tables Sup #2'!E128*(1-'Other Assumptions'!I17)*'Other Assumptions'!I88*'Other Assumptions'!I91</f>
        <v>176.80420109238949</v>
      </c>
      <c r="F129" s="4">
        <f ca="1">'Total Trip Tables Sup #2'!F129*(1-'Other Assumptions'!J17)*(1-'Other Assumptions'!J88+'Other Assumptions'!J88*'Other Assumptions'!J91)+'Total Trip Tables Sup #2'!F128*(1-'Other Assumptions'!J17)*'Other Assumptions'!J88*'Other Assumptions'!J91</f>
        <v>146.61709968672398</v>
      </c>
      <c r="G129" s="4">
        <f ca="1">'Total Trip Tables Sup #2'!G129*(1-'Other Assumptions'!K17)*(1-'Other Assumptions'!K88+'Other Assumptions'!K88*'Other Assumptions'!K91)+'Total Trip Tables Sup #2'!G128*(1-'Other Assumptions'!K17)*'Other Assumptions'!K88*'Other Assumptions'!K91</f>
        <v>115.30306075118072</v>
      </c>
      <c r="H129" s="4">
        <f ca="1">'Total Trip Tables Sup #2'!H129*(1-'Other Assumptions'!L17)*(1-'Other Assumptions'!L88+'Other Assumptions'!L88*'Other Assumptions'!L91)+'Total Trip Tables Sup #2'!H128*(1-'Other Assumptions'!L17)*'Other Assumptions'!L88*'Other Assumptions'!L91</f>
        <v>83.461004446125685</v>
      </c>
      <c r="I129" s="1">
        <f ca="1">'Total Trip Tables Sup #2'!I129*(1-'Other Assumptions'!M17)*(1-'Other Assumptions'!M88+'Other Assumptions'!M88*'Other Assumptions'!M91)+'Total Trip Tables Sup #2'!I128*(1-'Other Assumptions'!M17)*'Other Assumptions'!M88*'Other Assumptions'!M91</f>
        <v>85.618134325804135</v>
      </c>
      <c r="J129" s="1">
        <f ca="1">'Total Trip Tables Sup #2'!J129*(1-'Other Assumptions'!N17)*(1-'Other Assumptions'!N88+'Other Assumptions'!N88*'Other Assumptions'!N91)+'Total Trip Tables Sup #2'!J128*(1-'Other Assumptions'!N17)*'Other Assumptions'!N88*'Other Assumptions'!N91</f>
        <v>87.560813900223295</v>
      </c>
      <c r="K129" s="1">
        <f ca="1">'Total Trip Tables Sup #2'!K129*(1-'Other Assumptions'!O17)*(1-'Other Assumptions'!O88+'Other Assumptions'!O88*'Other Assumptions'!O91)+'Total Trip Tables Sup #2'!K128*(1-'Other Assumptions'!O17)*'Other Assumptions'!O88*'Other Assumptions'!O91</f>
        <v>89.353916588160502</v>
      </c>
    </row>
    <row r="130" spans="1:11" x14ac:dyDescent="0.2">
      <c r="A130" t="str">
        <f ca="1">OFFSET(Canterbury_Reference,28,2)</f>
        <v>Taxi/Vehicle Share</v>
      </c>
      <c r="B130" s="4">
        <f ca="1">'Total Trip Tables Sup #2'!B130</f>
        <v>2.2446435044999999</v>
      </c>
      <c r="C130" s="4">
        <f ca="1">'Total Trip Tables Sup #2'!C130+((C128+C129)*'Other Assumptions'!G17/(1-'Other Assumptions'!G17))</f>
        <v>2.6555303662252014</v>
      </c>
      <c r="D130" s="4">
        <f ca="1">'Total Trip Tables Sup #2'!D130+((D128+D129)*'Other Assumptions'!H17/(1-'Other Assumptions'!H17))</f>
        <v>2.9707680620486263</v>
      </c>
      <c r="E130" s="4">
        <f ca="1">'Total Trip Tables Sup #2'!E130+((E128+E129)*'Other Assumptions'!I17/(1-'Other Assumptions'!I17))</f>
        <v>109.88449626926642</v>
      </c>
      <c r="F130" s="4">
        <f ca="1">'Total Trip Tables Sup #2'!F130+((F128+F129)*'Other Assumptions'!J17/(1-'Other Assumptions'!J17))</f>
        <v>221.02121460125338</v>
      </c>
      <c r="G130" s="4">
        <f ca="1">'Total Trip Tables Sup #2'!G130+((G128+G129)*'Other Assumptions'!K17/(1-'Other Assumptions'!K17))</f>
        <v>333.32101725437548</v>
      </c>
      <c r="H130" s="4">
        <f ca="1">'Total Trip Tables Sup #2'!H130+((H128+H129)*'Other Assumptions'!L17/(1-'Other Assumptions'!L17))</f>
        <v>444.61706571139786</v>
      </c>
      <c r="I130" s="1">
        <f ca="1">'Total Trip Tables Sup #2'!I130+((I128+I129)*'Other Assumptions'!M17/(1-'Other Assumptions'!M17))</f>
        <v>456.18636071423578</v>
      </c>
      <c r="J130" s="1">
        <f ca="1">'Total Trip Tables Sup #2'!J130+((J128+J129)*'Other Assumptions'!N17/(1-'Other Assumptions'!N17))</f>
        <v>466.66391405703718</v>
      </c>
      <c r="K130" s="1">
        <f ca="1">'Total Trip Tables Sup #2'!K130+((K128+K129)*'Other Assumptions'!O17/(1-'Other Assumptions'!O17))</f>
        <v>476.35434426304505</v>
      </c>
    </row>
    <row r="131" spans="1:11" x14ac:dyDescent="0.2">
      <c r="A131" t="str">
        <f ca="1">OFFSET(Canterbury_Reference,35,2)</f>
        <v>Motorcyclist</v>
      </c>
      <c r="B131" s="4">
        <f ca="1">'Total Trip Tables Sup #2'!B131</f>
        <v>1.4451657518000001</v>
      </c>
      <c r="C131" s="4">
        <f ca="1">'Total Trip Tables Sup #2'!C131</f>
        <v>1.5464978493333583</v>
      </c>
      <c r="D131" s="4">
        <f ca="1">'Total Trip Tables Sup #2'!D131</f>
        <v>1.604729003191413</v>
      </c>
      <c r="E131" s="4">
        <f ca="1">'Total Trip Tables Sup #2'!E131</f>
        <v>1.6199108672822866</v>
      </c>
      <c r="F131" s="4">
        <f ca="1">'Total Trip Tables Sup #2'!F131</f>
        <v>1.6151251650058955</v>
      </c>
      <c r="G131" s="4">
        <f ca="1">'Total Trip Tables Sup #2'!G131</f>
        <v>1.5748144316611239</v>
      </c>
      <c r="H131" s="4">
        <f ca="1">'Total Trip Tables Sup #2'!H131</f>
        <v>1.5215702411782137</v>
      </c>
      <c r="I131" s="1">
        <f ca="1">'Total Trip Tables Sup #2'!I131</f>
        <v>1.5712353329360165</v>
      </c>
      <c r="J131" s="1">
        <f ca="1">'Total Trip Tables Sup #2'!J131</f>
        <v>1.6201844287725253</v>
      </c>
      <c r="K131" s="1">
        <f ca="1">'Total Trip Tables Sup #2'!K131</f>
        <v>1.6670491603340769</v>
      </c>
    </row>
    <row r="132" spans="1:11" x14ac:dyDescent="0.2">
      <c r="A132" t="str">
        <f ca="1">OFFSET(Canterbury_Reference,42,2)</f>
        <v>Local Train</v>
      </c>
      <c r="B132" s="4">
        <f ca="1">'Total Trip Tables Sup #2'!B132</f>
        <v>2.1901243099999999E-2</v>
      </c>
      <c r="C132" s="4">
        <f ca="1">'Total Trip Tables Sup #2'!C132+'Total Trip Tables Sup #2'!C128*'Other Assumptions'!G88*'Other Assumptions'!G93+'Total Trip Tables Sup #2'!C129*'Other Assumptions'!G88*'Other Assumptions'!G93</f>
        <v>1.99248107E-2</v>
      </c>
      <c r="D132" s="4">
        <f ca="1">'Total Trip Tables Sup #2'!D132+'Total Trip Tables Sup #2'!D128*'Other Assumptions'!H88*'Other Assumptions'!H93+'Total Trip Tables Sup #2'!D129*'Other Assumptions'!H88*'Other Assumptions'!H93</f>
        <v>1.6459804799999998E-2</v>
      </c>
      <c r="E132" s="4">
        <f ca="1">'Total Trip Tables Sup #2'!E132+'Total Trip Tables Sup #2'!E128*'Other Assumptions'!I88*'Other Assumptions'!I93+'Total Trip Tables Sup #2'!E129*'Other Assumptions'!I88*'Other Assumptions'!I93</f>
        <v>1.4009838300000001E-2</v>
      </c>
      <c r="F132" s="4">
        <f ca="1">'Total Trip Tables Sup #2'!F132+'Total Trip Tables Sup #2'!F128*'Other Assumptions'!J88*'Other Assumptions'!J93+'Total Trip Tables Sup #2'!F129*'Other Assumptions'!J88*'Other Assumptions'!J93</f>
        <v>1.22507378E-2</v>
      </c>
      <c r="G132" s="4">
        <f ca="1">'Total Trip Tables Sup #2'!G132+'Total Trip Tables Sup #2'!G128*'Other Assumptions'!K88*'Other Assumptions'!K93+'Total Trip Tables Sup #2'!G129*'Other Assumptions'!K88*'Other Assumptions'!K93</f>
        <v>9.6489904999999994E-3</v>
      </c>
      <c r="H132" s="4">
        <f ca="1">'Total Trip Tables Sup #2'!H132+'Total Trip Tables Sup #2'!H128*'Other Assumptions'!L88*'Other Assumptions'!L93+'Total Trip Tables Sup #2'!H129*'Other Assumptions'!L88*'Other Assumptions'!L93</f>
        <v>7.4421276E-3</v>
      </c>
      <c r="I132" s="1">
        <f ca="1">'Total Trip Tables Sup #2'!I132+'Total Trip Tables Sup #2'!I128*'Other Assumptions'!M88*'Other Assumptions'!M93+'Total Trip Tables Sup #2'!I129*'Other Assumptions'!M88*'Other Assumptions'!M93</f>
        <v>7.4421276E-3</v>
      </c>
      <c r="J132" s="1">
        <f ca="1">'Total Trip Tables Sup #2'!J132+'Total Trip Tables Sup #2'!J128*'Other Assumptions'!N88*'Other Assumptions'!N93+'Total Trip Tables Sup #2'!J129*'Other Assumptions'!N88*'Other Assumptions'!N93</f>
        <v>7.4421276E-3</v>
      </c>
      <c r="K132" s="1">
        <f ca="1">'Total Trip Tables Sup #2'!K132+'Total Trip Tables Sup #2'!K128*'Other Assumptions'!O88*'Other Assumptions'!O93+'Total Trip Tables Sup #2'!K129*'Other Assumptions'!O88*'Other Assumptions'!O93</f>
        <v>7.4421276E-3</v>
      </c>
    </row>
    <row r="133" spans="1:11" x14ac:dyDescent="0.2">
      <c r="A133" t="str">
        <f ca="1">OFFSET(Canterbury_Reference,49,2)</f>
        <v>Local Bus</v>
      </c>
      <c r="B133" s="4">
        <f ca="1">'Total Trip Tables Sup #2'!B133</f>
        <v>20.502079716000001</v>
      </c>
      <c r="C133" s="4">
        <f ca="1">'Total Trip Tables Sup #2'!C133+'Total Trip Tables Sup #2'!C128*'Other Assumptions'!G88*'Other Assumptions'!G92+'Total Trip Tables Sup #2'!C129*'Other Assumptions'!G88*'Other Assumptions'!G92</f>
        <v>18.950914411999999</v>
      </c>
      <c r="D133" s="4">
        <f ca="1">'Total Trip Tables Sup #2'!D133+'Total Trip Tables Sup #2'!D128*'Other Assumptions'!H88*'Other Assumptions'!H92+'Total Trip Tables Sup #2'!D129*'Other Assumptions'!H88*'Other Assumptions'!H92</f>
        <v>18.604709035999999</v>
      </c>
      <c r="E133" s="4">
        <f ca="1">'Total Trip Tables Sup #2'!E133+'Total Trip Tables Sup #2'!E128*'Other Assumptions'!I88*'Other Assumptions'!I92+'Total Trip Tables Sup #2'!E129*'Other Assumptions'!I88*'Other Assumptions'!I92</f>
        <v>17.364226896000002</v>
      </c>
      <c r="F133" s="4">
        <f ca="1">'Total Trip Tables Sup #2'!F133+'Total Trip Tables Sup #2'!F128*'Other Assumptions'!J88*'Other Assumptions'!J92+'Total Trip Tables Sup #2'!F129*'Other Assumptions'!J88*'Other Assumptions'!J92</f>
        <v>16.073011381000001</v>
      </c>
      <c r="G133" s="4">
        <f ca="1">'Total Trip Tables Sup #2'!G133+'Total Trip Tables Sup #2'!G128*'Other Assumptions'!K88*'Other Assumptions'!K92+'Total Trip Tables Sup #2'!G129*'Other Assumptions'!K88*'Other Assumptions'!K92</f>
        <v>15.092949816999999</v>
      </c>
      <c r="H133" s="4">
        <f ca="1">'Total Trip Tables Sup #2'!H133+'Total Trip Tables Sup #2'!H128*'Other Assumptions'!L88*'Other Assumptions'!L92+'Total Trip Tables Sup #2'!H129*'Other Assumptions'!L88*'Other Assumptions'!L92</f>
        <v>14.25533604</v>
      </c>
      <c r="I133" s="1">
        <f ca="1">'Total Trip Tables Sup #2'!I133+'Total Trip Tables Sup #2'!I128*'Other Assumptions'!M88*'Other Assumptions'!M92+'Total Trip Tables Sup #2'!I129*'Other Assumptions'!M88*'Other Assumptions'!M92</f>
        <v>14.25533604</v>
      </c>
      <c r="J133" s="1">
        <f ca="1">'Total Trip Tables Sup #2'!J133+'Total Trip Tables Sup #2'!J128*'Other Assumptions'!N88*'Other Assumptions'!N92+'Total Trip Tables Sup #2'!J129*'Other Assumptions'!N88*'Other Assumptions'!N92</f>
        <v>14.25533604</v>
      </c>
      <c r="K133" s="1">
        <f ca="1">'Total Trip Tables Sup #2'!K133+'Total Trip Tables Sup #2'!K128*'Other Assumptions'!O88*'Other Assumptions'!O92+'Total Trip Tables Sup #2'!K129*'Other Assumptions'!O88*'Other Assumptions'!O92</f>
        <v>14.25533604</v>
      </c>
    </row>
    <row r="134" spans="1:11" x14ac:dyDescent="0.2">
      <c r="A134" t="str">
        <f ca="1">OFFSET(Wellington_Reference,56,2)</f>
        <v>Local Ferry</v>
      </c>
      <c r="B134" s="4">
        <f ca="1">'Total Trip Tables Sup #2'!B156</f>
        <v>0</v>
      </c>
      <c r="C134" s="4">
        <f ca="1">'Total Trip Tables Sup #2'!C156</f>
        <v>0</v>
      </c>
      <c r="D134" s="4">
        <f ca="1">'Total Trip Tables Sup #2'!D156</f>
        <v>0</v>
      </c>
      <c r="E134" s="4">
        <f ca="1">'Total Trip Tables Sup #2'!E156</f>
        <v>0</v>
      </c>
      <c r="F134" s="4">
        <f ca="1">'Total Trip Tables Sup #2'!F156</f>
        <v>0</v>
      </c>
      <c r="G134" s="4">
        <f ca="1">'Total Trip Tables Sup #2'!G156</f>
        <v>0</v>
      </c>
      <c r="H134" s="4">
        <f ca="1">'Total Trip Tables Sup #2'!H156</f>
        <v>0</v>
      </c>
      <c r="I134" s="1">
        <f ca="1">'Total Trip Tables Sup #2'!I156</f>
        <v>0</v>
      </c>
      <c r="J134" s="1">
        <f ca="1">'Total Trip Tables Sup #2'!J156</f>
        <v>0</v>
      </c>
      <c r="K134" s="1">
        <f ca="1">'Total Trip Tables Sup #2'!K156</f>
        <v>0</v>
      </c>
    </row>
    <row r="135" spans="1:11" x14ac:dyDescent="0.2">
      <c r="A135" t="str">
        <f ca="1">OFFSET(Canterbury_Reference,56,2)</f>
        <v>Other Household Travel</v>
      </c>
      <c r="B135" s="4">
        <f ca="1">'Total Trip Tables Sup #2'!B135</f>
        <v>1.5386198845000001</v>
      </c>
      <c r="C135" s="4">
        <f ca="1">'Total Trip Tables Sup #2'!C135</f>
        <v>1.6830341292195463</v>
      </c>
      <c r="D135" s="4">
        <f ca="1">'Total Trip Tables Sup #2'!D135</f>
        <v>1.8001823509689239</v>
      </c>
      <c r="E135" s="4">
        <f ca="1">'Total Trip Tables Sup #2'!E135</f>
        <v>1.8572865138252888</v>
      </c>
      <c r="F135" s="4">
        <f ca="1">'Total Trip Tables Sup #2'!F135</f>
        <v>1.887297091965634</v>
      </c>
      <c r="G135" s="4">
        <f ca="1">'Total Trip Tables Sup #2'!G135</f>
        <v>1.8926224884748635</v>
      </c>
      <c r="H135" s="4">
        <f ca="1">'Total Trip Tables Sup #2'!H135</f>
        <v>1.8583786676812555</v>
      </c>
      <c r="I135" s="1">
        <f ca="1">'Total Trip Tables Sup #2'!I135</f>
        <v>1.909072639144324</v>
      </c>
      <c r="J135" s="1">
        <f ca="1">'Total Trip Tables Sup #2'!J135</f>
        <v>1.9558812303232955</v>
      </c>
      <c r="K135" s="1">
        <f ca="1">'Total Trip Tables Sup #2'!K135</f>
        <v>1.9994855479737452</v>
      </c>
    </row>
    <row r="136" spans="1:11" x14ac:dyDescent="0.2">
      <c r="A136" t="str">
        <f ca="1">OFFSET(Otago_Reference,0,0)</f>
        <v>14 OTAGO</v>
      </c>
      <c r="B136" s="4">
        <f ca="1">SUM(B137:B146)</f>
        <v>292.56009771480007</v>
      </c>
      <c r="C136" s="4">
        <f t="shared" ref="C136" ca="1" si="68">SUM(C137:C146)</f>
        <v>310.95960673919825</v>
      </c>
      <c r="D136" s="4">
        <f t="shared" ref="D136" ca="1" si="69">SUM(D137:D146)</f>
        <v>319.21268906230387</v>
      </c>
      <c r="E136" s="4">
        <f t="shared" ref="E136" ca="1" si="70">SUM(E137:E146)</f>
        <v>323.00733971078017</v>
      </c>
      <c r="F136" s="4">
        <f t="shared" ref="F136" ca="1" si="71">SUM(F137:F146)</f>
        <v>324.4431106880582</v>
      </c>
      <c r="G136" s="4">
        <f t="shared" ref="G136" ca="1" si="72">SUM(G137:G146)</f>
        <v>323.45833454699749</v>
      </c>
      <c r="H136" s="4">
        <f t="shared" ref="H136:K136" ca="1" si="73">SUM(H137:H146)</f>
        <v>320.30233970210031</v>
      </c>
      <c r="I136" s="1">
        <f t="shared" ca="1" si="73"/>
        <v>323.88060683208693</v>
      </c>
      <c r="J136" s="1">
        <f t="shared" ca="1" si="73"/>
        <v>326.58939073931623</v>
      </c>
      <c r="K136" s="1">
        <f t="shared" ca="1" si="73"/>
        <v>328.61790170284235</v>
      </c>
    </row>
    <row r="137" spans="1:11" x14ac:dyDescent="0.2">
      <c r="A137" t="str">
        <f ca="1">OFFSET(Otago_Reference,0,2)</f>
        <v>Pedestrian</v>
      </c>
      <c r="B137" s="4">
        <f ca="1">'Total Trip Tables Sup #2'!B137</f>
        <v>58.261736425999999</v>
      </c>
      <c r="C137" s="4">
        <f ca="1">'Total Trip Tables Sup #2'!C137</f>
        <v>61.327768980245622</v>
      </c>
      <c r="D137" s="4">
        <f ca="1">'Total Trip Tables Sup #2'!D137</f>
        <v>63.485156574296816</v>
      </c>
      <c r="E137" s="4">
        <f ca="1">'Total Trip Tables Sup #2'!E137</f>
        <v>64.033953667865305</v>
      </c>
      <c r="F137" s="4">
        <f ca="1">'Total Trip Tables Sup #2'!F137</f>
        <v>64.061583287723522</v>
      </c>
      <c r="G137" s="4">
        <f ca="1">'Total Trip Tables Sup #2'!G137</f>
        <v>63.900089847402704</v>
      </c>
      <c r="H137" s="4">
        <f ca="1">'Total Trip Tables Sup #2'!H137</f>
        <v>63.340981093338364</v>
      </c>
      <c r="I137" s="1">
        <f ca="1">'Total Trip Tables Sup #2'!I137</f>
        <v>64.093130935688237</v>
      </c>
      <c r="J137" s="1">
        <f ca="1">'Total Trip Tables Sup #2'!J137</f>
        <v>64.693653651848493</v>
      </c>
      <c r="K137" s="1">
        <f ca="1">'Total Trip Tables Sup #2'!K137</f>
        <v>65.161680559401091</v>
      </c>
    </row>
    <row r="138" spans="1:11" x14ac:dyDescent="0.2">
      <c r="A138" t="str">
        <f ca="1">OFFSET(Otago_Reference,7,2)</f>
        <v>Cyclist</v>
      </c>
      <c r="B138" s="4">
        <f ca="1">'Total Trip Tables Sup #2'!B138</f>
        <v>4.5847179276999999</v>
      </c>
      <c r="C138" s="4">
        <f ca="1">'Total Trip Tables Sup #2'!C138</f>
        <v>4.7171607874232118</v>
      </c>
      <c r="D138" s="4">
        <f ca="1">'Total Trip Tables Sup #2'!D138</f>
        <v>5.3969404291284633</v>
      </c>
      <c r="E138" s="4">
        <f ca="1">'Total Trip Tables Sup #2'!E138</f>
        <v>5.812775067522197</v>
      </c>
      <c r="F138" s="4">
        <f ca="1">'Total Trip Tables Sup #2'!F138</f>
        <v>6.2360328809296783</v>
      </c>
      <c r="G138" s="4">
        <f ca="1">'Total Trip Tables Sup #2'!G138</f>
        <v>6.6610413339454153</v>
      </c>
      <c r="H138" s="4">
        <f ca="1">'Total Trip Tables Sup #2'!H138</f>
        <v>7.0741385719763432</v>
      </c>
      <c r="I138" s="1">
        <f ca="1">'Total Trip Tables Sup #2'!I138</f>
        <v>7.2055242365619812</v>
      </c>
      <c r="J138" s="1">
        <f ca="1">'Total Trip Tables Sup #2'!J138</f>
        <v>7.3429104828809528</v>
      </c>
      <c r="K138" s="1">
        <f ca="1">'Total Trip Tables Sup #2'!K138</f>
        <v>7.4689581300724504</v>
      </c>
    </row>
    <row r="139" spans="1:11" x14ac:dyDescent="0.2">
      <c r="A139" t="str">
        <f ca="1">OFFSET(Otago_Reference,14,2)</f>
        <v>Light Vehicle Driver</v>
      </c>
      <c r="B139" s="4">
        <f ca="1">'Total Trip Tables Sup #2'!B139</f>
        <v>150.49144967999999</v>
      </c>
      <c r="C139" s="4">
        <f ca="1">'Total Trip Tables Sup #2'!C139*(1-'Other Assumptions'!G18)</f>
        <v>163.27898770764585</v>
      </c>
      <c r="D139" s="4">
        <f ca="1">'Total Trip Tables Sup #2'!D139*(1-'Other Assumptions'!H18)</f>
        <v>167.98650060701644</v>
      </c>
      <c r="E139" s="4">
        <f ca="1">'Total Trip Tables Sup #2'!E139*(1-'Other Assumptions'!I18)</f>
        <v>145.43975258839575</v>
      </c>
      <c r="F139" s="4">
        <f ca="1">'Total Trip Tables Sup #2'!F139*(1-'Other Assumptions'!J18)</f>
        <v>120.9115737277691</v>
      </c>
      <c r="G139" s="4">
        <f ca="1">'Total Trip Tables Sup #2'!G139*(1-'Other Assumptions'!K18)</f>
        <v>94.902519413411255</v>
      </c>
      <c r="H139" s="4">
        <f ca="1">'Total Trip Tables Sup #2'!H139*(1-'Other Assumptions'!L18)</f>
        <v>68.410782800548702</v>
      </c>
      <c r="I139" s="1">
        <f ca="1">'Total Trip Tables Sup #2'!I139*(1-'Other Assumptions'!M18)</f>
        <v>69.14700826046456</v>
      </c>
      <c r="J139" s="1">
        <f ca="1">'Total Trip Tables Sup #2'!J139*(1-'Other Assumptions'!N18)</f>
        <v>69.68628694812341</v>
      </c>
      <c r="K139" s="1">
        <f ca="1">'Total Trip Tables Sup #2'!K139*(1-'Other Assumptions'!O18)</f>
        <v>70.078918394997089</v>
      </c>
    </row>
    <row r="140" spans="1:11" x14ac:dyDescent="0.2">
      <c r="A140" t="str">
        <f ca="1">OFFSET(Otago_Reference,21,2)</f>
        <v>Light Vehicle Passenger</v>
      </c>
      <c r="B140" s="4">
        <f ca="1">'Total Trip Tables Sup #2'!B140</f>
        <v>71.232164202000021</v>
      </c>
      <c r="C140" s="4">
        <f ca="1">'Total Trip Tables Sup #2'!C140*(1-'Other Assumptions'!G18)</f>
        <v>73.550635035192343</v>
      </c>
      <c r="D140" s="4">
        <f ca="1">'Total Trip Tables Sup #2'!D140*(1-'Other Assumptions'!H18)</f>
        <v>74.021572759192551</v>
      </c>
      <c r="E140" s="4">
        <f ca="1">'Total Trip Tables Sup #2'!E140*(1-'Other Assumptions'!I18)</f>
        <v>62.652061549747003</v>
      </c>
      <c r="F140" s="4">
        <f ca="1">'Total Trip Tables Sup #2'!F140*(1-'Other Assumptions'!J18)</f>
        <v>51.182554569506735</v>
      </c>
      <c r="G140" s="4">
        <f ca="1">'Total Trip Tables Sup #2'!G140*(1-'Other Assumptions'!K18)</f>
        <v>39.678731585844091</v>
      </c>
      <c r="H140" s="4">
        <f ca="1">'Total Trip Tables Sup #2'!H140*(1-'Other Assumptions'!L18)</f>
        <v>28.320932938992531</v>
      </c>
      <c r="I140" s="1">
        <f ca="1">'Total Trip Tables Sup #2'!I140*(1-'Other Assumptions'!M18)</f>
        <v>28.620457896962865</v>
      </c>
      <c r="J140" s="1">
        <f ca="1">'Total Trip Tables Sup #2'!J140*(1-'Other Assumptions'!N18)</f>
        <v>28.834952594505786</v>
      </c>
      <c r="K140" s="1">
        <f ca="1">'Total Trip Tables Sup #2'!K140*(1-'Other Assumptions'!O18)</f>
        <v>28.988324505541314</v>
      </c>
    </row>
    <row r="141" spans="1:11" x14ac:dyDescent="0.2">
      <c r="A141" t="str">
        <f ca="1">OFFSET(Otago_Reference,28,2)</f>
        <v>Taxi/Vehicle Share</v>
      </c>
      <c r="B141" s="4">
        <f ca="1">'Total Trip Tables Sup #2'!B141</f>
        <v>0.85820748670000002</v>
      </c>
      <c r="C141" s="4">
        <f ca="1">'Total Trip Tables Sup #2'!C141+((C139+C140)*'Other Assumptions'!G18/(1-'Other Assumptions'!G18))</f>
        <v>0.9917299799847531</v>
      </c>
      <c r="D141" s="4">
        <f ca="1">'Total Trip Tables Sup #2'!D141+((D139+D140)*'Other Assumptions'!H18/(1-'Other Assumptions'!H18))</f>
        <v>1.087996642700563</v>
      </c>
      <c r="E141" s="4">
        <f ca="1">'Total Trip Tables Sup #2'!E141+((E139+E140)*'Other Assumptions'!I18/(1-'Other Assumptions'!I18))</f>
        <v>37.868915745918294</v>
      </c>
      <c r="F141" s="4">
        <f ca="1">'Total Trip Tables Sup #2'!F141+((F139+F140)*'Other Assumptions'!J18/(1-'Other Assumptions'!J18))</f>
        <v>74.942119615054565</v>
      </c>
      <c r="G141" s="4">
        <f ca="1">'Total Trip Tables Sup #2'!G141+((G139+G140)*'Other Assumptions'!K18/(1-'Other Assumptions'!K18))</f>
        <v>111.32147495914603</v>
      </c>
      <c r="H141" s="4">
        <f ca="1">'Total Trip Tables Sup #2'!H141+((H139+H140)*'Other Assumptions'!L18/(1-'Other Assumptions'!L18))</f>
        <v>146.31770181071349</v>
      </c>
      <c r="I141" s="1">
        <f ca="1">'Total Trip Tables Sup #2'!I141+((I139+I140)*'Other Assumptions'!M18/(1-'Other Assumptions'!M18))</f>
        <v>147.88625699363044</v>
      </c>
      <c r="J141" s="1">
        <f ca="1">'Total Trip Tables Sup #2'!J141+((J139+J140)*'Other Assumptions'!N18/(1-'Other Assumptions'!N18))</f>
        <v>149.02889653184249</v>
      </c>
      <c r="K141" s="1">
        <f ca="1">'Total Trip Tables Sup #2'!K141+((K139+K140)*'Other Assumptions'!O18/(1-'Other Assumptions'!O18))</f>
        <v>149.85728774926514</v>
      </c>
    </row>
    <row r="142" spans="1:11" x14ac:dyDescent="0.2">
      <c r="A142" t="str">
        <f ca="1">OFFSET(Otago_Reference,35,2)</f>
        <v>Motorcyclist</v>
      </c>
      <c r="B142" s="4">
        <f ca="1">'Total Trip Tables Sup #2'!B142</f>
        <v>2.0937246197000001</v>
      </c>
      <c r="C142" s="4">
        <f ca="1">'Total Trip Tables Sup #2'!C142</f>
        <v>2.1885096533110051</v>
      </c>
      <c r="D142" s="4">
        <f ca="1">'Total Trip Tables Sup #2'!D142</f>
        <v>2.2269860004561242</v>
      </c>
      <c r="E142" s="4">
        <f ca="1">'Total Trip Tables Sup #2'!E142</f>
        <v>2.2116499162803529</v>
      </c>
      <c r="F142" s="4">
        <f ca="1">'Total Trip Tables Sup #2'!F142</f>
        <v>2.1703453808943087</v>
      </c>
      <c r="G142" s="4">
        <f ca="1">'Total Trip Tables Sup #2'!G142</f>
        <v>2.084082477719662</v>
      </c>
      <c r="H142" s="4">
        <f ca="1">'Total Trip Tables Sup #2'!H142</f>
        <v>1.9835312146107518</v>
      </c>
      <c r="I142" s="1">
        <f ca="1">'Total Trip Tables Sup #2'!I142</f>
        <v>2.0176683782854017</v>
      </c>
      <c r="J142" s="1">
        <f ca="1">'Total Trip Tables Sup #2'!J142</f>
        <v>2.0494367624666756</v>
      </c>
      <c r="K142" s="1">
        <f ca="1">'Total Trip Tables Sup #2'!K142</f>
        <v>2.0772080298853952</v>
      </c>
    </row>
    <row r="143" spans="1:11" x14ac:dyDescent="0.2">
      <c r="A143" t="str">
        <f ca="1">OFFSET(Canterbury_Reference,42,2)</f>
        <v>Local Train</v>
      </c>
      <c r="B143" s="4">
        <f ca="1">'Total Trip Tables Sup #2'!B143</f>
        <v>0</v>
      </c>
      <c r="C143" s="4">
        <f ca="1">'Total Trip Tables Sup #2'!C143</f>
        <v>0</v>
      </c>
      <c r="D143" s="4">
        <f ca="1">'Total Trip Tables Sup #2'!D143</f>
        <v>0</v>
      </c>
      <c r="E143" s="4">
        <f ca="1">'Total Trip Tables Sup #2'!E143</f>
        <v>0</v>
      </c>
      <c r="F143" s="4">
        <f ca="1">'Total Trip Tables Sup #2'!F143</f>
        <v>0</v>
      </c>
      <c r="G143" s="4">
        <f ca="1">'Total Trip Tables Sup #2'!G143</f>
        <v>0</v>
      </c>
      <c r="H143" s="4">
        <f ca="1">'Total Trip Tables Sup #2'!H143</f>
        <v>0</v>
      </c>
      <c r="I143" s="1">
        <f ca="1">'Total Trip Tables Sup #2'!I143</f>
        <v>0</v>
      </c>
      <c r="J143" s="1">
        <f ca="1">'Total Trip Tables Sup #2'!J143</f>
        <v>0</v>
      </c>
      <c r="K143" s="1">
        <f ca="1">'Total Trip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Trip Tables Sup #2'!B144</f>
        <v>4.2627057848999996</v>
      </c>
      <c r="C144" s="4">
        <f ca="1">'Total Trip Tables Sup #2'!C144</f>
        <v>4.0763386288698085</v>
      </c>
      <c r="D144" s="4">
        <f ca="1">'Total Trip Tables Sup #2'!D144</f>
        <v>4.1385353423650608</v>
      </c>
      <c r="E144" s="4">
        <f ca="1">'Total Trip Tables Sup #2'!E144</f>
        <v>4.1061835907094926</v>
      </c>
      <c r="F144" s="4">
        <f ca="1">'Total Trip Tables Sup #2'!F144</f>
        <v>4.056734275200709</v>
      </c>
      <c r="G144" s="4">
        <f ca="1">'Total Trip Tables Sup #2'!G144</f>
        <v>4.0391558296860843</v>
      </c>
      <c r="H144" s="4">
        <f ca="1">'Total Trip Tables Sup #2'!H144</f>
        <v>4.0115788461957997</v>
      </c>
      <c r="I144" s="1">
        <f ca="1">'Total Trip Tables Sup #2'!I144</f>
        <v>4.0578157824428329</v>
      </c>
      <c r="J144" s="1">
        <f ca="1">'Total Trip Tables Sup #2'!J144</f>
        <v>4.0926556484843797</v>
      </c>
      <c r="K144" s="1">
        <f ca="1">'Total Trip Tables Sup #2'!K144</f>
        <v>4.118886388457784</v>
      </c>
    </row>
    <row r="145" spans="1:11" x14ac:dyDescent="0.2">
      <c r="A145" t="str">
        <f ca="1">OFFSET(Wellington_Reference,56,2)</f>
        <v>Local Ferry</v>
      </c>
      <c r="B145" s="4">
        <f ca="1">'Total Trip Tables Sup #2'!B145</f>
        <v>0</v>
      </c>
      <c r="C145" s="4">
        <f ca="1">'Total Trip Tables Sup #2'!C145</f>
        <v>0</v>
      </c>
      <c r="D145" s="4">
        <f ca="1">'Total Trip Tables Sup #2'!D145</f>
        <v>0</v>
      </c>
      <c r="E145" s="4">
        <f ca="1">'Total Trip Tables Sup #2'!E145</f>
        <v>0</v>
      </c>
      <c r="F145" s="4">
        <f ca="1">'Total Trip Tables Sup #2'!F145</f>
        <v>0</v>
      </c>
      <c r="G145" s="4">
        <f ca="1">'Total Trip Tables Sup #2'!G145</f>
        <v>0</v>
      </c>
      <c r="H145" s="4">
        <f ca="1">'Total Trip Tables Sup #2'!H145</f>
        <v>0</v>
      </c>
      <c r="I145" s="1">
        <f ca="1">'Total Trip Tables Sup #2'!I145</f>
        <v>0</v>
      </c>
      <c r="J145" s="1">
        <f ca="1">'Total Trip Tables Sup #2'!J145</f>
        <v>0</v>
      </c>
      <c r="K145" s="1">
        <f ca="1">'Total Trip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Trip Tables Sup #2'!B146</f>
        <v>0.77539158779999995</v>
      </c>
      <c r="C146" s="4">
        <f ca="1">'Total Trip Tables Sup #2'!C146</f>
        <v>0.82847596652562983</v>
      </c>
      <c r="D146" s="4">
        <f ca="1">'Total Trip Tables Sup #2'!D146</f>
        <v>0.86900070714786071</v>
      </c>
      <c r="E146" s="4">
        <f ca="1">'Total Trip Tables Sup #2'!E146</f>
        <v>0.88204758434175579</v>
      </c>
      <c r="F146" s="4">
        <f ca="1">'Total Trip Tables Sup #2'!F146</f>
        <v>0.88216695097952569</v>
      </c>
      <c r="G146" s="4">
        <f ca="1">'Total Trip Tables Sup #2'!G146</f>
        <v>0.87123909984220493</v>
      </c>
      <c r="H146" s="4">
        <f ca="1">'Total Trip Tables Sup #2'!H146</f>
        <v>0.84269242572432612</v>
      </c>
      <c r="I146" s="1">
        <f ca="1">'Total Trip Tables Sup #2'!I146</f>
        <v>0.85274434805056987</v>
      </c>
      <c r="J146" s="1">
        <f ca="1">'Total Trip Tables Sup #2'!J146</f>
        <v>0.86059811916409945</v>
      </c>
      <c r="K146" s="1">
        <f ca="1">'Total Trip Tables Sup #2'!K146</f>
        <v>0.86663794522204851</v>
      </c>
    </row>
    <row r="147" spans="1:11" x14ac:dyDescent="0.2">
      <c r="A147" t="str">
        <f ca="1">OFFSET(Southland_Reference,0,0)</f>
        <v>15 SOUTHLAND</v>
      </c>
      <c r="B147" s="4">
        <f ca="1">SUM(B148:B157)</f>
        <v>113.12186837359998</v>
      </c>
      <c r="C147" s="4">
        <f t="shared" ref="C147" ca="1" si="74">SUM(C148:C157)</f>
        <v>115.08823384603025</v>
      </c>
      <c r="D147" s="4">
        <f t="shared" ref="D147" ca="1" si="75">SUM(D148:D157)</f>
        <v>114.06776257551935</v>
      </c>
      <c r="E147" s="4">
        <f t="shared" ref="E147" ca="1" si="76">SUM(E148:E157)</f>
        <v>112.97235964198727</v>
      </c>
      <c r="F147" s="4">
        <f t="shared" ref="F147" ca="1" si="77">SUM(F148:F157)</f>
        <v>111.07255124696168</v>
      </c>
      <c r="G147" s="4">
        <f t="shared" ref="G147" ca="1" si="78">SUM(G148:G157)</f>
        <v>108.24785370729045</v>
      </c>
      <c r="H147" s="4">
        <f t="shared" ref="H147:K147" ca="1" si="79">SUM(H148:H157)</f>
        <v>104.77894265290411</v>
      </c>
      <c r="I147" s="1">
        <f t="shared" ca="1" si="79"/>
        <v>103.48187203228876</v>
      </c>
      <c r="J147" s="1">
        <f t="shared" ca="1" si="79"/>
        <v>101.91028478095802</v>
      </c>
      <c r="K147" s="1">
        <f t="shared" ca="1" si="79"/>
        <v>100.14773269250452</v>
      </c>
    </row>
    <row r="148" spans="1:11" x14ac:dyDescent="0.2">
      <c r="A148" t="str">
        <f ca="1">OFFSET(Southland_Reference,0,2)</f>
        <v>Pedestrian</v>
      </c>
      <c r="B148" s="4">
        <f ca="1">'Total Trip Tables Sup #2'!B148</f>
        <v>12.52065131</v>
      </c>
      <c r="C148" s="4">
        <f ca="1">'Total Trip Tables Sup #2'!C148</f>
        <v>12.593535148321868</v>
      </c>
      <c r="D148" s="4">
        <f ca="1">'Total Trip Tables Sup #2'!D148</f>
        <v>12.586269526981857</v>
      </c>
      <c r="E148" s="4">
        <f ca="1">'Total Trip Tables Sup #2'!E148</f>
        <v>12.406271467206283</v>
      </c>
      <c r="F148" s="4">
        <f ca="1">'Total Trip Tables Sup #2'!F148</f>
        <v>12.13170070078136</v>
      </c>
      <c r="G148" s="4">
        <f ca="1">'Total Trip Tables Sup #2'!G148</f>
        <v>11.819496734348924</v>
      </c>
      <c r="H148" s="4">
        <f ca="1">'Total Trip Tables Sup #2'!H148</f>
        <v>11.444930510729288</v>
      </c>
      <c r="I148" s="1">
        <f ca="1">'Total Trip Tables Sup #2'!I148</f>
        <v>11.312815898043882</v>
      </c>
      <c r="J148" s="1">
        <f ca="1">'Total Trip Tables Sup #2'!J148</f>
        <v>11.154542678177284</v>
      </c>
      <c r="K148" s="1">
        <f ca="1">'Total Trip Tables Sup #2'!K148</f>
        <v>10.975219756980456</v>
      </c>
    </row>
    <row r="149" spans="1:11" x14ac:dyDescent="0.2">
      <c r="A149" t="str">
        <f ca="1">OFFSET(Southland_Reference,7,2)</f>
        <v>Cyclist</v>
      </c>
      <c r="B149" s="4">
        <f ca="1">'Total Trip Tables Sup #2'!B149</f>
        <v>1.0312878256</v>
      </c>
      <c r="C149" s="4">
        <f ca="1">'Total Trip Tables Sup #2'!C149</f>
        <v>1.0138995851953603</v>
      </c>
      <c r="D149" s="4">
        <f ca="1">'Total Trip Tables Sup #2'!D149</f>
        <v>1.119943800430262</v>
      </c>
      <c r="E149" s="4">
        <f ca="1">'Total Trip Tables Sup #2'!E149</f>
        <v>1.1787949135534612</v>
      </c>
      <c r="F149" s="4">
        <f ca="1">'Total Trip Tables Sup #2'!F149</f>
        <v>1.2361073498054882</v>
      </c>
      <c r="G149" s="4">
        <f ca="1">'Total Trip Tables Sup #2'!G149</f>
        <v>1.2896249235230388</v>
      </c>
      <c r="H149" s="4">
        <f ca="1">'Total Trip Tables Sup #2'!H149</f>
        <v>1.3379063345721467</v>
      </c>
      <c r="I149" s="1">
        <f ca="1">'Total Trip Tables Sup #2'!I149</f>
        <v>1.3312161833029674</v>
      </c>
      <c r="J149" s="1">
        <f ca="1">'Total Trip Tables Sup #2'!J149</f>
        <v>1.3252020441297747</v>
      </c>
      <c r="K149" s="1">
        <f ca="1">'Total Trip Tables Sup #2'!K149</f>
        <v>1.3167543029475934</v>
      </c>
    </row>
    <row r="150" spans="1:11" x14ac:dyDescent="0.2">
      <c r="A150" t="str">
        <f ca="1">OFFSET(Southland_Reference,14,2)</f>
        <v>Light Vehicle Driver</v>
      </c>
      <c r="B150" s="4">
        <f ca="1">'Total Trip Tables Sup #2'!B150</f>
        <v>66.981547285000005</v>
      </c>
      <c r="C150" s="4">
        <f ca="1">'Total Trip Tables Sup #2'!C150*(1-'Other Assumptions'!G19)</f>
        <v>69.44174806962647</v>
      </c>
      <c r="D150" s="4">
        <f ca="1">'Total Trip Tables Sup #2'!D150*(1-'Other Assumptions'!H19)</f>
        <v>69.067163276603836</v>
      </c>
      <c r="E150" s="4">
        <f ca="1">'Total Trip Tables Sup #2'!E150*(1-'Other Assumptions'!I19)</f>
        <v>58.509285024501644</v>
      </c>
      <c r="F150" s="4">
        <f ca="1">'Total Trip Tables Sup #2'!F150*(1-'Other Assumptions'!J19)</f>
        <v>47.600868843750717</v>
      </c>
      <c r="G150" s="4">
        <f ca="1">'Total Trip Tables Sup #2'!G150*(1-'Other Assumptions'!K19)</f>
        <v>36.534443814518163</v>
      </c>
      <c r="H150" s="4">
        <f ca="1">'Total Trip Tables Sup #2'!H150*(1-'Other Assumptions'!L19)</f>
        <v>25.755843795364644</v>
      </c>
      <c r="I150" s="1">
        <f ca="1">'Total Trip Tables Sup #2'!I150*(1-'Other Assumptions'!M19)</f>
        <v>25.43098789359599</v>
      </c>
      <c r="J150" s="1">
        <f ca="1">'Total Trip Tables Sup #2'!J150*(1-'Other Assumptions'!N19)</f>
        <v>25.036824371855616</v>
      </c>
      <c r="K150" s="1">
        <f ca="1">'Total Trip Tables Sup #2'!K150*(1-'Other Assumptions'!O19)</f>
        <v>24.595845898116949</v>
      </c>
    </row>
    <row r="151" spans="1:11" x14ac:dyDescent="0.2">
      <c r="A151" t="str">
        <f ca="1">OFFSET(Southland_Reference,21,2)</f>
        <v>Light Vehicle Passenger</v>
      </c>
      <c r="B151" s="4">
        <f ca="1">'Total Trip Tables Sup #2'!B151</f>
        <v>28.419434702000007</v>
      </c>
      <c r="C151" s="4">
        <f ca="1">'Total Trip Tables Sup #2'!C151*(1-'Other Assumptions'!G19)</f>
        <v>28.039658385661507</v>
      </c>
      <c r="D151" s="4">
        <f ca="1">'Total Trip Tables Sup #2'!D151*(1-'Other Assumptions'!H19)</f>
        <v>27.317042529938288</v>
      </c>
      <c r="E151" s="4">
        <f ca="1">'Total Trip Tables Sup #2'!E151*(1-'Other Assumptions'!I19)</f>
        <v>22.654383912832518</v>
      </c>
      <c r="F151" s="4">
        <f ca="1">'Total Trip Tables Sup #2'!F151*(1-'Other Assumptions'!J19)</f>
        <v>18.136131968696905</v>
      </c>
      <c r="G151" s="4">
        <f ca="1">'Total Trip Tables Sup #2'!G151*(1-'Other Assumptions'!K19)</f>
        <v>13.767763619020071</v>
      </c>
      <c r="H151" s="4">
        <f ca="1">'Total Trip Tables Sup #2'!H151*(1-'Other Assumptions'!L19)</f>
        <v>9.6237955847509724</v>
      </c>
      <c r="I151" s="1">
        <f ca="1">'Total Trip Tables Sup #2'!I151*(1-'Other Assumptions'!M19)</f>
        <v>9.50087835157907</v>
      </c>
      <c r="J151" s="1">
        <f ca="1">'Total Trip Tables Sup #2'!J151*(1-'Other Assumptions'!N19)</f>
        <v>9.3511020778932235</v>
      </c>
      <c r="K151" s="1">
        <f ca="1">'Total Trip Tables Sup #2'!K151*(1-'Other Assumptions'!O19)</f>
        <v>9.1838317303382802</v>
      </c>
    </row>
    <row r="152" spans="1:11" x14ac:dyDescent="0.2">
      <c r="A152" t="str">
        <f ca="1">OFFSET(Southland_Reference,28,2)</f>
        <v>Taxi/Vehicle Share</v>
      </c>
      <c r="B152" s="4">
        <f ca="1">'Total Trip Tables Sup #2'!B152</f>
        <v>0.47613164409999997</v>
      </c>
      <c r="C152" s="4">
        <f ca="1">'Total Trip Tables Sup #2'!C152+((C150+C151)*'Other Assumptions'!G19/(1-'Other Assumptions'!G19))</f>
        <v>0.52574504123149568</v>
      </c>
      <c r="D152" s="4">
        <f ca="1">'Total Trip Tables Sup #2'!D152+((D150+D151)*'Other Assumptions'!H19/(1-'Other Assumptions'!H19))</f>
        <v>0.55685694209274561</v>
      </c>
      <c r="E152" s="4">
        <f ca="1">'Total Trip Tables Sup #2'!E152+((E150+E151)*'Other Assumptions'!I19/(1-'Other Assumptions'!I19))</f>
        <v>14.896616851576558</v>
      </c>
      <c r="F152" s="4">
        <f ca="1">'Total Trip Tables Sup #2'!F152+((F150+F151)*'Other Assumptions'!J19/(1-'Other Assumptions'!J19))</f>
        <v>28.753559401250609</v>
      </c>
      <c r="G152" s="4">
        <f ca="1">'Total Trip Tables Sup #2'!G152+((G150+G151)*'Other Assumptions'!K19/(1-'Other Assumptions'!K19))</f>
        <v>41.733928463864771</v>
      </c>
      <c r="H152" s="4">
        <f ca="1">'Total Trip Tables Sup #2'!H152+((H150+H151)*'Other Assumptions'!L19/(1-'Other Assumptions'!L19))</f>
        <v>53.638606907411976</v>
      </c>
      <c r="I152" s="1">
        <f ca="1">'Total Trip Tables Sup #2'!I152+((I150+I151)*'Other Assumptions'!M19/(1-'Other Assumptions'!M19))</f>
        <v>52.960578195465999</v>
      </c>
      <c r="J152" s="1">
        <f ca="1">'Total Trip Tables Sup #2'!J152+((J150+J151)*'Other Assumptions'!N19/(1-'Other Assumptions'!N19))</f>
        <v>52.136976290554578</v>
      </c>
      <c r="K152" s="1">
        <f ca="1">'Total Trip Tables Sup #2'!K152+((K150+K151)*'Other Assumptions'!O19/(1-'Other Assumptions'!O19))</f>
        <v>51.215837844932032</v>
      </c>
    </row>
    <row r="153" spans="1:11" x14ac:dyDescent="0.2">
      <c r="A153" t="str">
        <f ca="1">OFFSET(Southland_Reference,35,2)</f>
        <v>Motorcyclist</v>
      </c>
      <c r="B153" s="4">
        <f ca="1">'Total Trip Tables Sup #2'!B153</f>
        <v>0.62652592730000001</v>
      </c>
      <c r="C153" s="4">
        <f ca="1">'Total Trip Tables Sup #2'!C153</f>
        <v>0.62577030505513875</v>
      </c>
      <c r="D153" s="4">
        <f ca="1">'Total Trip Tables Sup #2'!D153</f>
        <v>0.61477799018628232</v>
      </c>
      <c r="E153" s="4">
        <f ca="1">'Total Trip Tables Sup #2'!E153</f>
        <v>0.59665507235245019</v>
      </c>
      <c r="F153" s="4">
        <f ca="1">'Total Trip Tables Sup #2'!F153</f>
        <v>0.57230674180293462</v>
      </c>
      <c r="G153" s="4">
        <f ca="1">'Total Trip Tables Sup #2'!G153</f>
        <v>0.53677021566235039</v>
      </c>
      <c r="H153" s="4">
        <f ca="1">'Total Trip Tables Sup #2'!H153</f>
        <v>0.49904924722169675</v>
      </c>
      <c r="I153" s="1">
        <f ca="1">'Total Trip Tables Sup #2'!I153</f>
        <v>0.49588961255136971</v>
      </c>
      <c r="J153" s="1">
        <f ca="1">'Total Trip Tables Sup #2'!J153</f>
        <v>0.49204021983209867</v>
      </c>
      <c r="K153" s="1">
        <f ca="1">'Total Trip Tables Sup #2'!K153</f>
        <v>0.48716595713437655</v>
      </c>
    </row>
    <row r="154" spans="1:11" x14ac:dyDescent="0.2">
      <c r="A154" t="str">
        <f ca="1">OFFSET(Canterbury_Reference,42,2)</f>
        <v>Local Train</v>
      </c>
      <c r="B154" s="4">
        <f ca="1">'Total Trip Tables Sup #2'!B154</f>
        <v>0</v>
      </c>
      <c r="C154" s="4">
        <f ca="1">'Total Trip Tables Sup #2'!C154</f>
        <v>0</v>
      </c>
      <c r="D154" s="4">
        <f ca="1">'Total Trip Tables Sup #2'!D154</f>
        <v>0</v>
      </c>
      <c r="E154" s="4">
        <f ca="1">'Total Trip Tables Sup #2'!E154</f>
        <v>0</v>
      </c>
      <c r="F154" s="4">
        <f ca="1">'Total Trip Tables Sup #2'!F154</f>
        <v>0</v>
      </c>
      <c r="G154" s="4">
        <f ca="1">'Total Trip Tables Sup #2'!G154</f>
        <v>0</v>
      </c>
      <c r="H154" s="4">
        <f ca="1">'Total Trip Tables Sup #2'!H154</f>
        <v>0</v>
      </c>
      <c r="I154" s="1">
        <f ca="1">'Total Trip Tables Sup #2'!I154</f>
        <v>0</v>
      </c>
      <c r="J154" s="1">
        <f ca="1">'Total Trip Tables Sup #2'!J154</f>
        <v>0</v>
      </c>
      <c r="K154" s="1">
        <f ca="1">'Total Trip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Trip Tables Sup #2'!B155</f>
        <v>2.6369167839999998</v>
      </c>
      <c r="C155" s="4">
        <f ca="1">'Total Trip Tables Sup #2'!C155</f>
        <v>2.4095076887824818</v>
      </c>
      <c r="D155" s="4">
        <f ca="1">'Total Trip Tables Sup #2'!D155</f>
        <v>2.3617779863066501</v>
      </c>
      <c r="E155" s="4">
        <f ca="1">'Total Trip Tables Sup #2'!E155</f>
        <v>2.2900074486202406</v>
      </c>
      <c r="F155" s="4">
        <f ca="1">'Total Trip Tables Sup #2'!F155</f>
        <v>2.2114043015397158</v>
      </c>
      <c r="G155" s="4">
        <f ca="1">'Total Trip Tables Sup #2'!G155</f>
        <v>2.150580452480511</v>
      </c>
      <c r="H155" s="4">
        <f ca="1">'Total Trip Tables Sup #2'!H155</f>
        <v>2.0864658272771708</v>
      </c>
      <c r="I155" s="1">
        <f ca="1">'Total Trip Tables Sup #2'!I155</f>
        <v>2.0616698915914258</v>
      </c>
      <c r="J155" s="1">
        <f ca="1">'Total Trip Tables Sup #2'!J155</f>
        <v>2.0312475982007054</v>
      </c>
      <c r="K155" s="1">
        <f ca="1">'Total Trip Tables Sup #2'!K155</f>
        <v>1.996955240097964</v>
      </c>
    </row>
    <row r="156" spans="1:11" x14ac:dyDescent="0.2">
      <c r="A156" t="str">
        <f ca="1">OFFSET(Wellington_Reference,56,2)</f>
        <v>Local Ferry</v>
      </c>
      <c r="B156" s="4">
        <f ca="1">'Total Trip Tables Sup #2'!B156</f>
        <v>0</v>
      </c>
      <c r="C156" s="4">
        <f ca="1">'Total Trip Tables Sup #2'!C156</f>
        <v>0</v>
      </c>
      <c r="D156" s="4">
        <f ca="1">'Total Trip Tables Sup #2'!D156</f>
        <v>0</v>
      </c>
      <c r="E156" s="4">
        <f ca="1">'Total Trip Tables Sup #2'!E156</f>
        <v>0</v>
      </c>
      <c r="F156" s="4">
        <f ca="1">'Total Trip Tables Sup #2'!F156</f>
        <v>0</v>
      </c>
      <c r="G156" s="4">
        <f ca="1">'Total Trip Tables Sup #2'!G156</f>
        <v>0</v>
      </c>
      <c r="H156" s="4">
        <f ca="1">'Total Trip Tables Sup #2'!H156</f>
        <v>0</v>
      </c>
      <c r="I156" s="1">
        <f ca="1">'Total Trip Tables Sup #2'!I156</f>
        <v>0</v>
      </c>
      <c r="J156" s="1">
        <f ca="1">'Total Trip Tables Sup #2'!J156</f>
        <v>0</v>
      </c>
      <c r="K156" s="1">
        <f ca="1">'Total Trip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Trip Tables Sup #2'!B157</f>
        <v>0.42937289560000003</v>
      </c>
      <c r="C157" s="4">
        <f ca="1">'Total Trip Tables Sup #2'!C157</f>
        <v>0.43836962215591069</v>
      </c>
      <c r="D157" s="4">
        <f ca="1">'Total Trip Tables Sup #2'!D157</f>
        <v>0.44393052297943153</v>
      </c>
      <c r="E157" s="4">
        <f ca="1">'Total Trip Tables Sup #2'!E157</f>
        <v>0.44034495134411389</v>
      </c>
      <c r="F157" s="4">
        <f ca="1">'Total Trip Tables Sup #2'!F157</f>
        <v>0.43047193933395689</v>
      </c>
      <c r="G157" s="4">
        <f ca="1">'Total Trip Tables Sup #2'!G157</f>
        <v>0.41524548387261978</v>
      </c>
      <c r="H157" s="4">
        <f ca="1">'Total Trip Tables Sup #2'!H157</f>
        <v>0.39234444557621134</v>
      </c>
      <c r="I157" s="1">
        <f ca="1">'Total Trip Tables Sup #2'!I157</f>
        <v>0.3878360061580623</v>
      </c>
      <c r="J157" s="1">
        <f ca="1">'Total Trip Tables Sup #2'!J157</f>
        <v>0.38234950031473047</v>
      </c>
      <c r="K157" s="1">
        <f ca="1">'Total Trip Tables Sup #2'!K157</f>
        <v>0.3761219619568561</v>
      </c>
    </row>
    <row r="158" spans="1:11" x14ac:dyDescent="0.2">
      <c r="A158" t="s">
        <v>19</v>
      </c>
      <c r="B158" s="4">
        <f ca="1">SUM(B159:B168)</f>
        <v>5872.3739973896008</v>
      </c>
      <c r="C158" s="4">
        <f t="shared" ref="C158" ca="1" si="80">SUM(C159:C168)</f>
        <v>6455.9112931977088</v>
      </c>
      <c r="D158" s="4">
        <f t="shared" ref="D158" ca="1" si="81">SUM(D159:D168)</f>
        <v>6848.7641349734276</v>
      </c>
      <c r="E158" s="4">
        <f t="shared" ref="E158" ca="1" si="82">SUM(E159:E168)</f>
        <v>7180.8798186371487</v>
      </c>
      <c r="F158" s="4">
        <f t="shared" ref="F158" ca="1" si="83">SUM(F159:F168)</f>
        <v>7456.875190656664</v>
      </c>
      <c r="G158" s="4">
        <f t="shared" ref="G158" ca="1" si="84">SUM(G159:G168)</f>
        <v>7675.7514635915095</v>
      </c>
      <c r="H158" s="4">
        <f t="shared" ref="H158:K158" ca="1" si="85">SUM(H159:H168)</f>
        <v>7843.6457687356487</v>
      </c>
      <c r="I158" s="1">
        <f t="shared" ca="1" si="85"/>
        <v>8122.6257857595901</v>
      </c>
      <c r="J158" s="1">
        <f t="shared" ca="1" si="85"/>
        <v>8461.6878310668963</v>
      </c>
      <c r="K158" s="1">
        <f t="shared" ca="1" si="85"/>
        <v>8808.2372088173124</v>
      </c>
    </row>
    <row r="159" spans="1:11" x14ac:dyDescent="0.2">
      <c r="A159" t="str">
        <f t="shared" ref="A159:A165" ca="1" si="86">A5</f>
        <v>Pedestrian</v>
      </c>
      <c r="B159" s="4">
        <f t="shared" ref="B159:H165" ca="1" si="87">B5+B16+B27+B38+B49+B60+B71+B82+B93+B104+B115+B126+B137+B148</f>
        <v>986.56972308989998</v>
      </c>
      <c r="C159" s="4">
        <f t="shared" ca="1" si="87"/>
        <v>1070.0654359146274</v>
      </c>
      <c r="D159" s="4">
        <f t="shared" ca="1" si="87"/>
        <v>1143.1641373782297</v>
      </c>
      <c r="E159" s="4">
        <f t="shared" ca="1" si="87"/>
        <v>1192.7364333048636</v>
      </c>
      <c r="F159" s="4">
        <f t="shared" ca="1" si="87"/>
        <v>1232.6756877309881</v>
      </c>
      <c r="G159" s="4">
        <f t="shared" ca="1" si="87"/>
        <v>1268.6442762180027</v>
      </c>
      <c r="H159" s="4">
        <f t="shared" ca="1" si="87"/>
        <v>1296.9761123418989</v>
      </c>
      <c r="I159" s="1">
        <f t="shared" ref="I159:K159" ca="1" si="88">I5+I16+I27+I38+I49+I60+I71+I82+I93+I104+I115+I126+I137+I148</f>
        <v>1342.5008328916947</v>
      </c>
      <c r="J159" s="1">
        <f t="shared" ca="1" si="88"/>
        <v>1397.6678531293383</v>
      </c>
      <c r="K159" s="1">
        <f t="shared" ca="1" si="88"/>
        <v>1453.8589526397889</v>
      </c>
    </row>
    <row r="160" spans="1:11" x14ac:dyDescent="0.2">
      <c r="A160" t="str">
        <f t="shared" ca="1" si="86"/>
        <v>Cyclist</v>
      </c>
      <c r="B160" s="4">
        <f t="shared" ca="1" si="87"/>
        <v>71.074316198400012</v>
      </c>
      <c r="C160" s="4">
        <f t="shared" ca="1" si="87"/>
        <v>74.470638479069336</v>
      </c>
      <c r="D160" s="4">
        <f t="shared" ca="1" si="87"/>
        <v>86.979375940531384</v>
      </c>
      <c r="E160" s="4">
        <f t="shared" ca="1" si="87"/>
        <v>95.838770166329198</v>
      </c>
      <c r="F160" s="4">
        <f t="shared" ca="1" si="87"/>
        <v>105.10330837353509</v>
      </c>
      <c r="G160" s="4">
        <f t="shared" ca="1" si="87"/>
        <v>114.67588430305598</v>
      </c>
      <c r="H160" s="4">
        <f t="shared" ca="1" si="87"/>
        <v>124.38970493117711</v>
      </c>
      <c r="I160" s="1">
        <f t="shared" ref="I160:K160" ca="1" si="89">I6+I17+I28+I39+I50+I61+I72+I83+I94+I105+I116+I127+I138+I149</f>
        <v>128.77608068238357</v>
      </c>
      <c r="J160" s="1">
        <f t="shared" ca="1" si="89"/>
        <v>134.08853070723274</v>
      </c>
      <c r="K160" s="1">
        <f t="shared" ca="1" si="89"/>
        <v>139.50264557250179</v>
      </c>
    </row>
    <row r="161" spans="1:11" x14ac:dyDescent="0.2">
      <c r="A161" t="str">
        <f t="shared" ca="1" si="86"/>
        <v>Light Vehicle Driver</v>
      </c>
      <c r="B161" s="4">
        <f t="shared" ca="1" si="87"/>
        <v>3093.3887589700003</v>
      </c>
      <c r="C161" s="4">
        <f t="shared" ca="1" si="87"/>
        <v>3462.0859917625976</v>
      </c>
      <c r="D161" s="4">
        <f t="shared" ca="1" si="87"/>
        <v>3679.463483782984</v>
      </c>
      <c r="E161" s="4">
        <f t="shared" ca="1" si="87"/>
        <v>3298.691866520785</v>
      </c>
      <c r="F161" s="4">
        <f t="shared" ca="1" si="87"/>
        <v>2837.2392337183501</v>
      </c>
      <c r="G161" s="4">
        <f t="shared" ca="1" si="87"/>
        <v>2300.910342424952</v>
      </c>
      <c r="H161" s="4">
        <f t="shared" ca="1" si="87"/>
        <v>1712.9109962805844</v>
      </c>
      <c r="I161" s="1">
        <f t="shared" ref="I161:K161" ca="1" si="90">I7+I18+I29+I40+I51+I62+I73+I84+I95+I106+I117+I128+I139+I150</f>
        <v>1771.9998296392653</v>
      </c>
      <c r="J161" s="1">
        <f t="shared" ca="1" si="90"/>
        <v>1843.7883765271895</v>
      </c>
      <c r="K161" s="1">
        <f t="shared" ca="1" si="90"/>
        <v>1916.7669863614674</v>
      </c>
    </row>
    <row r="162" spans="1:11" x14ac:dyDescent="0.2">
      <c r="A162" t="str">
        <f t="shared" ca="1" si="86"/>
        <v>Light Vehicle Passenger</v>
      </c>
      <c r="B162" s="4">
        <f t="shared" ca="1" si="87"/>
        <v>1512.9377645670002</v>
      </c>
      <c r="C162" s="4">
        <f t="shared" ca="1" si="87"/>
        <v>1608.8032326427776</v>
      </c>
      <c r="D162" s="4">
        <f t="shared" ca="1" si="87"/>
        <v>1670.4322316960429</v>
      </c>
      <c r="E162" s="4">
        <f t="shared" ca="1" si="87"/>
        <v>1462.6643016919413</v>
      </c>
      <c r="F162" s="4">
        <f t="shared" ca="1" si="87"/>
        <v>1235.9535180070034</v>
      </c>
      <c r="G162" s="4">
        <f t="shared" ca="1" si="87"/>
        <v>989.74252737043241</v>
      </c>
      <c r="H162" s="4">
        <f t="shared" ca="1" si="87"/>
        <v>729.32393185950275</v>
      </c>
      <c r="I162" s="1">
        <f t="shared" ref="I162:K162" ca="1" si="91">I8+I19+I30+I41+I52+I63+I74+I85+I96+I107+I118+I129+I140+I151</f>
        <v>753.72836387673772</v>
      </c>
      <c r="J162" s="1">
        <f t="shared" ca="1" si="91"/>
        <v>783.50975970890408</v>
      </c>
      <c r="K162" s="1">
        <f t="shared" ca="1" si="91"/>
        <v>813.67732380820723</v>
      </c>
    </row>
    <row r="163" spans="1:11" x14ac:dyDescent="0.2">
      <c r="A163" t="str">
        <f t="shared" ca="1" si="86"/>
        <v>Taxi/Vehicle Share</v>
      </c>
      <c r="B163" s="4">
        <f t="shared" ca="1" si="87"/>
        <v>15.600131729099999</v>
      </c>
      <c r="C163" s="4">
        <f t="shared" ca="1" si="87"/>
        <v>18.555944480229186</v>
      </c>
      <c r="D163" s="4">
        <f t="shared" ca="1" si="87"/>
        <v>20.997136788616572</v>
      </c>
      <c r="E163" s="4">
        <f t="shared" ca="1" si="87"/>
        <v>863.12341066196768</v>
      </c>
      <c r="F163" s="4">
        <f t="shared" ca="1" si="87"/>
        <v>1770.1233187015841</v>
      </c>
      <c r="G163" s="4">
        <f t="shared" ca="1" si="87"/>
        <v>2718.060905540186</v>
      </c>
      <c r="H163" s="4">
        <f t="shared" ca="1" si="87"/>
        <v>3690.0947447334042</v>
      </c>
      <c r="I163" s="1">
        <f t="shared" ref="I163:K163" ca="1" si="92">I9+I20+I31+I42+I53+I64+I75+I86+I97+I108+I119+I130+I141+I152</f>
        <v>3816.2776630150943</v>
      </c>
      <c r="J163" s="1">
        <f t="shared" ca="1" si="92"/>
        <v>3969.7746926055561</v>
      </c>
      <c r="K163" s="1">
        <f t="shared" ca="1" si="92"/>
        <v>4125.6579257848925</v>
      </c>
    </row>
    <row r="164" spans="1:11" x14ac:dyDescent="0.2">
      <c r="A164" t="str">
        <f t="shared" ca="1" si="86"/>
        <v>Motorcyclist</v>
      </c>
      <c r="B164" s="4">
        <f t="shared" ca="1" si="87"/>
        <v>19.272283824500001</v>
      </c>
      <c r="C164" s="4">
        <f t="shared" ca="1" si="87"/>
        <v>20.536920332786607</v>
      </c>
      <c r="D164" s="4">
        <f t="shared" ca="1" si="87"/>
        <v>21.385507495453247</v>
      </c>
      <c r="E164" s="4">
        <f t="shared" ca="1" si="87"/>
        <v>21.811507949859195</v>
      </c>
      <c r="F164" s="4">
        <f t="shared" ca="1" si="87"/>
        <v>21.957521868755759</v>
      </c>
      <c r="G164" s="4">
        <f t="shared" ca="1" si="87"/>
        <v>21.609734440299736</v>
      </c>
      <c r="H164" s="4">
        <f t="shared" ca="1" si="87"/>
        <v>21.075201973620949</v>
      </c>
      <c r="I164" s="1">
        <f t="shared" ref="I164:K164" ca="1" si="93">I10+I21+I32+I43+I54+I65+I76+I87+I98+I109+I120+I131+I142+I153</f>
        <v>21.818380478144423</v>
      </c>
      <c r="J164" s="1">
        <f t="shared" ca="1" si="93"/>
        <v>22.718462661878274</v>
      </c>
      <c r="K164" s="1">
        <f t="shared" ca="1" si="93"/>
        <v>23.635769800415687</v>
      </c>
    </row>
    <row r="165" spans="1:11" x14ac:dyDescent="0.2">
      <c r="A165" t="str">
        <f t="shared" ca="1" si="86"/>
        <v>Local Train</v>
      </c>
      <c r="B165" s="4">
        <f t="shared" ca="1" si="87"/>
        <v>22.430707243099999</v>
      </c>
      <c r="C165" s="4">
        <f t="shared" ca="1" si="87"/>
        <v>36.910397712847704</v>
      </c>
      <c r="D165" s="4">
        <f t="shared" ca="1" si="87"/>
        <v>54.028243454481114</v>
      </c>
      <c r="E165" s="4">
        <f t="shared" ca="1" si="87"/>
        <v>70.021228612762869</v>
      </c>
      <c r="F165" s="4">
        <f t="shared" ca="1" si="87"/>
        <v>76.396070634660489</v>
      </c>
      <c r="G165" s="4">
        <f t="shared" ca="1" si="87"/>
        <v>82.660353969553682</v>
      </c>
      <c r="H165" s="4">
        <f t="shared" ca="1" si="87"/>
        <v>88.437287099089332</v>
      </c>
      <c r="I165" s="1">
        <f t="shared" ref="I165:K165" ca="1" si="94">I11+I22+I33+I44+I55+I66+I77+I88+I99+I110+I121+I132+I143+I154</f>
        <v>97.636320364428755</v>
      </c>
      <c r="J165" s="1">
        <f t="shared" ca="1" si="94"/>
        <v>108.7143430866784</v>
      </c>
      <c r="K165" s="1">
        <f t="shared" ca="1" si="94"/>
        <v>121.1887436686204</v>
      </c>
    </row>
    <row r="166" spans="1:11" x14ac:dyDescent="0.2">
      <c r="A166" t="s">
        <v>20</v>
      </c>
      <c r="B166" s="4">
        <f t="shared" ref="B166:H166" ca="1" si="95">B12+B23+B34+B45+B56+B67+B78+B89+B100+B111+B122+B133+B144+B155</f>
        <v>135.14312241190001</v>
      </c>
      <c r="C166" s="4">
        <f t="shared" ca="1" si="95"/>
        <v>145.96613822121955</v>
      </c>
      <c r="D166" s="4">
        <f t="shared" ca="1" si="95"/>
        <v>152.26799337178619</v>
      </c>
      <c r="E166" s="4">
        <f t="shared" ca="1" si="95"/>
        <v>154.76383580685757</v>
      </c>
      <c r="F166" s="4">
        <f t="shared" ca="1" si="95"/>
        <v>155.37154696526696</v>
      </c>
      <c r="G166" s="4">
        <f t="shared" ca="1" si="95"/>
        <v>156.62271819277507</v>
      </c>
      <c r="H166" s="4">
        <f t="shared" ca="1" si="95"/>
        <v>157.28056811057201</v>
      </c>
      <c r="I166" s="1">
        <f t="shared" ref="I166:K166" ca="1" si="96">I12+I23+I34+I45+I56+I67+I78+I89+I100+I111+I122+I133+I144+I155</f>
        <v>165.91157583289296</v>
      </c>
      <c r="J166" s="1">
        <f t="shared" ca="1" si="96"/>
        <v>176.45628206528627</v>
      </c>
      <c r="K166" s="1">
        <f t="shared" ca="1" si="96"/>
        <v>187.96748817907348</v>
      </c>
    </row>
    <row r="167" spans="1:11" x14ac:dyDescent="0.2">
      <c r="A167" t="str">
        <f ca="1">A13</f>
        <v>Local Ferry</v>
      </c>
      <c r="B167" s="4">
        <f t="shared" ref="B167:H168" ca="1" si="97">B13+B24+B35+B46+B57+B68+B79+B90+B101+B112+B123+B134+B145+B156</f>
        <v>5.5972504476000005</v>
      </c>
      <c r="C167" s="4">
        <f t="shared" ca="1" si="97"/>
        <v>7.099176030727075</v>
      </c>
      <c r="D167" s="4">
        <f t="shared" ca="1" si="97"/>
        <v>7.6736054387572317</v>
      </c>
      <c r="E167" s="4">
        <f t="shared" ca="1" si="97"/>
        <v>8.229349728762605</v>
      </c>
      <c r="F167" s="4">
        <f t="shared" ca="1" si="97"/>
        <v>8.6175874419606355</v>
      </c>
      <c r="G167" s="4">
        <f t="shared" ca="1" si="97"/>
        <v>9.12622459491703</v>
      </c>
      <c r="H167" s="4">
        <f t="shared" ca="1" si="97"/>
        <v>9.4875629456120496</v>
      </c>
      <c r="I167" s="1">
        <f t="shared" ref="I167:K167" ca="1" si="98">I13+I24+I35+I46+I57+I68+I79+I90+I101+I112+I123+I134+I145+I156</f>
        <v>9.8250449802894515</v>
      </c>
      <c r="J167" s="1">
        <f t="shared" ca="1" si="98"/>
        <v>10.234031208463781</v>
      </c>
      <c r="K167" s="1">
        <f t="shared" ca="1" si="98"/>
        <v>10.650895931724325</v>
      </c>
    </row>
    <row r="168" spans="1:11" x14ac:dyDescent="0.2">
      <c r="A168" t="str">
        <f ca="1">A14</f>
        <v>Other Household Travel</v>
      </c>
      <c r="B168" s="4">
        <f t="shared" ca="1" si="97"/>
        <v>10.3599389081</v>
      </c>
      <c r="C168" s="4">
        <f t="shared" ca="1" si="97"/>
        <v>11.417417620825866</v>
      </c>
      <c r="D168" s="4">
        <f t="shared" ca="1" si="97"/>
        <v>12.372419626543747</v>
      </c>
      <c r="E168" s="4">
        <f t="shared" ca="1" si="97"/>
        <v>12.999114193018761</v>
      </c>
      <c r="F168" s="4">
        <f t="shared" ca="1" si="97"/>
        <v>13.437397214558693</v>
      </c>
      <c r="G168" s="4">
        <f t="shared" ca="1" si="97"/>
        <v>13.698496537335187</v>
      </c>
      <c r="H168" s="4">
        <f t="shared" ca="1" si="97"/>
        <v>13.669658460186428</v>
      </c>
      <c r="I168" s="1">
        <f t="shared" ref="I168:K168" ca="1" si="99">I14+I25+I36+I47+I58+I69+I80+I91+I102+I113+I124+I135+I146+I157</f>
        <v>14.151693998659736</v>
      </c>
      <c r="J168" s="1">
        <f t="shared" ca="1" si="99"/>
        <v>14.735499366368229</v>
      </c>
      <c r="K168" s="1">
        <f t="shared" ca="1" si="99"/>
        <v>15.330477070619521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O96"/>
  <sheetViews>
    <sheetView workbookViewId="0">
      <selection activeCell="A42" sqref="A42"/>
    </sheetView>
  </sheetViews>
  <sheetFormatPr defaultRowHeight="12.75" x14ac:dyDescent="0.2"/>
  <cols>
    <col min="1" max="1" width="49.42578125" customWidth="1"/>
    <col min="2" max="15" width="17.85546875" customWidth="1"/>
  </cols>
  <sheetData>
    <row r="2" spans="1:15" ht="13.5" thickBot="1" x14ac:dyDescent="0.25"/>
    <row r="3" spans="1:15" ht="16.5" thickTop="1" x14ac:dyDescent="0.25">
      <c r="A3" s="6" t="s">
        <v>57</v>
      </c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9"/>
    </row>
    <row r="4" spans="1:15" ht="13.5" thickBot="1" x14ac:dyDescent="0.25">
      <c r="A4" s="10"/>
      <c r="B4" s="11" t="s">
        <v>22</v>
      </c>
      <c r="C4" s="11" t="s">
        <v>23</v>
      </c>
      <c r="D4" s="11" t="s">
        <v>24</v>
      </c>
      <c r="E4" s="11" t="s">
        <v>118</v>
      </c>
      <c r="F4" s="11" t="s">
        <v>119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120</v>
      </c>
      <c r="N4" s="11" t="s">
        <v>121</v>
      </c>
      <c r="O4" s="12" t="s">
        <v>122</v>
      </c>
    </row>
    <row r="5" spans="1:15" ht="14.25" thickTop="1" thickBot="1" x14ac:dyDescent="0.25">
      <c r="A5" s="13"/>
      <c r="B5" s="14" t="s">
        <v>31</v>
      </c>
      <c r="C5" s="14" t="s">
        <v>31</v>
      </c>
      <c r="D5" s="14" t="s">
        <v>31</v>
      </c>
      <c r="E5" s="14" t="s">
        <v>31</v>
      </c>
      <c r="F5" s="14" t="s">
        <v>31</v>
      </c>
      <c r="G5" s="14" t="s">
        <v>32</v>
      </c>
      <c r="H5" s="14" t="s">
        <v>32</v>
      </c>
      <c r="I5" s="14" t="s">
        <v>32</v>
      </c>
      <c r="J5" s="14" t="s">
        <v>32</v>
      </c>
      <c r="K5" s="14" t="s">
        <v>32</v>
      </c>
      <c r="L5" s="14" t="s">
        <v>32</v>
      </c>
      <c r="M5" s="14" t="s">
        <v>32</v>
      </c>
      <c r="N5" s="14" t="s">
        <v>32</v>
      </c>
      <c r="O5" s="15" t="s">
        <v>32</v>
      </c>
    </row>
    <row r="6" spans="1:15" ht="16.5" thickTop="1" x14ac:dyDescent="0.25">
      <c r="A6" s="16" t="s">
        <v>33</v>
      </c>
      <c r="B6" s="17">
        <f>'[4]Other Assumptions'!D6</f>
        <v>0</v>
      </c>
      <c r="C6" s="18">
        <f>'[4]Other Assumptions'!E6</f>
        <v>0</v>
      </c>
      <c r="D6" s="18">
        <f>'[4]Other Assumptions'!F6</f>
        <v>0</v>
      </c>
      <c r="E6" s="18">
        <f>'[4]Other Assumptions'!G6</f>
        <v>0</v>
      </c>
      <c r="F6" s="18">
        <f>'[4]Other Assumptions'!H6</f>
        <v>0</v>
      </c>
      <c r="G6" s="36">
        <f>'[4]Other Assumptions'!I6</f>
        <v>0</v>
      </c>
      <c r="H6" s="36">
        <f>'[4]Other Assumptions'!J6</f>
        <v>0</v>
      </c>
      <c r="I6" s="36">
        <f>'[4]Other Assumptions'!K6</f>
        <v>0.15</v>
      </c>
      <c r="J6" s="36">
        <f>'[4]Other Assumptions'!L6</f>
        <v>0.3</v>
      </c>
      <c r="K6" s="36">
        <f>'[4]Other Assumptions'!M6</f>
        <v>0.45</v>
      </c>
      <c r="L6" s="36">
        <f>'[4]Other Assumptions'!N6</f>
        <v>0.6</v>
      </c>
      <c r="M6" s="36">
        <f>'[4]Other Assumptions'!O6</f>
        <v>0.6</v>
      </c>
      <c r="N6" s="36">
        <f>'[4]Other Assumptions'!P6</f>
        <v>0.6</v>
      </c>
      <c r="O6" s="36">
        <f>'[4]Other Assumptions'!Q6</f>
        <v>0.6</v>
      </c>
    </row>
    <row r="7" spans="1:15" ht="15.75" x14ac:dyDescent="0.25">
      <c r="A7" s="16" t="s">
        <v>34</v>
      </c>
      <c r="B7" s="19">
        <f>'[4]Other Assumptions'!D7</f>
        <v>0</v>
      </c>
      <c r="C7" s="20">
        <f>'[4]Other Assumptions'!E7</f>
        <v>0</v>
      </c>
      <c r="D7" s="20">
        <f>'[4]Other Assumptions'!F7</f>
        <v>0</v>
      </c>
      <c r="E7" s="20">
        <f>'[4]Other Assumptions'!G7</f>
        <v>0</v>
      </c>
      <c r="F7" s="20">
        <f>'[4]Other Assumptions'!H7</f>
        <v>0</v>
      </c>
      <c r="G7" s="40">
        <f>'[4]Other Assumptions'!I7</f>
        <v>0</v>
      </c>
      <c r="H7" s="40">
        <f>'[4]Other Assumptions'!J7</f>
        <v>0</v>
      </c>
      <c r="I7" s="40">
        <f>'[4]Other Assumptions'!K7</f>
        <v>0.15</v>
      </c>
      <c r="J7" s="40">
        <f>'[4]Other Assumptions'!L7</f>
        <v>0.3</v>
      </c>
      <c r="K7" s="40">
        <f>'[4]Other Assumptions'!M7</f>
        <v>0.45</v>
      </c>
      <c r="L7" s="40">
        <f>'[4]Other Assumptions'!N7</f>
        <v>0.6</v>
      </c>
      <c r="M7" s="40">
        <f>'[4]Other Assumptions'!O7</f>
        <v>0.6</v>
      </c>
      <c r="N7" s="40">
        <f>'[4]Other Assumptions'!P7</f>
        <v>0.6</v>
      </c>
      <c r="O7" s="41">
        <f>'[4]Other Assumptions'!Q7</f>
        <v>0.6</v>
      </c>
    </row>
    <row r="8" spans="1:15" ht="15.75" x14ac:dyDescent="0.25">
      <c r="A8" s="16" t="s">
        <v>35</v>
      </c>
      <c r="B8" s="19">
        <f>'[4]Other Assumptions'!D8</f>
        <v>0</v>
      </c>
      <c r="C8" s="20">
        <f>'[4]Other Assumptions'!E8</f>
        <v>0</v>
      </c>
      <c r="D8" s="20">
        <f>'[4]Other Assumptions'!F8</f>
        <v>0</v>
      </c>
      <c r="E8" s="20">
        <f>'[4]Other Assumptions'!G8</f>
        <v>0</v>
      </c>
      <c r="F8" s="20">
        <f>'[4]Other Assumptions'!H8</f>
        <v>0</v>
      </c>
      <c r="G8" s="40">
        <f>'[4]Other Assumptions'!I8</f>
        <v>0</v>
      </c>
      <c r="H8" s="40">
        <f>'[4]Other Assumptions'!J8</f>
        <v>0</v>
      </c>
      <c r="I8" s="40">
        <f>'[4]Other Assumptions'!K8</f>
        <v>0.15</v>
      </c>
      <c r="J8" s="40">
        <f>'[4]Other Assumptions'!L8</f>
        <v>0.3</v>
      </c>
      <c r="K8" s="40">
        <f>'[4]Other Assumptions'!M8</f>
        <v>0.45</v>
      </c>
      <c r="L8" s="40">
        <f>'[4]Other Assumptions'!N8</f>
        <v>0.6</v>
      </c>
      <c r="M8" s="40">
        <f>'[4]Other Assumptions'!O8</f>
        <v>0.6</v>
      </c>
      <c r="N8" s="40">
        <f>'[4]Other Assumptions'!P8</f>
        <v>0.6</v>
      </c>
      <c r="O8" s="41">
        <f>'[4]Other Assumptions'!Q8</f>
        <v>0.6</v>
      </c>
    </row>
    <row r="9" spans="1:15" ht="15.75" x14ac:dyDescent="0.25">
      <c r="A9" s="16" t="s">
        <v>36</v>
      </c>
      <c r="B9" s="19">
        <f>'[4]Other Assumptions'!D9</f>
        <v>0</v>
      </c>
      <c r="C9" s="20">
        <f>'[4]Other Assumptions'!E9</f>
        <v>0</v>
      </c>
      <c r="D9" s="20">
        <f>'[4]Other Assumptions'!F9</f>
        <v>0</v>
      </c>
      <c r="E9" s="20">
        <f>'[4]Other Assumptions'!G9</f>
        <v>0</v>
      </c>
      <c r="F9" s="20">
        <f>'[4]Other Assumptions'!H9</f>
        <v>0</v>
      </c>
      <c r="G9" s="40">
        <f>'[4]Other Assumptions'!I9</f>
        <v>0</v>
      </c>
      <c r="H9" s="40">
        <f>'[4]Other Assumptions'!J9</f>
        <v>0</v>
      </c>
      <c r="I9" s="40">
        <f>'[4]Other Assumptions'!K9</f>
        <v>0.15</v>
      </c>
      <c r="J9" s="40">
        <f>'[4]Other Assumptions'!L9</f>
        <v>0.3</v>
      </c>
      <c r="K9" s="40">
        <f>'[4]Other Assumptions'!M9</f>
        <v>0.45</v>
      </c>
      <c r="L9" s="40">
        <f>'[4]Other Assumptions'!N9</f>
        <v>0.6</v>
      </c>
      <c r="M9" s="40">
        <f>'[4]Other Assumptions'!O9</f>
        <v>0.6</v>
      </c>
      <c r="N9" s="40">
        <f>'[4]Other Assumptions'!P9</f>
        <v>0.6</v>
      </c>
      <c r="O9" s="41">
        <f>'[4]Other Assumptions'!Q9</f>
        <v>0.6</v>
      </c>
    </row>
    <row r="10" spans="1:15" ht="15.75" x14ac:dyDescent="0.25">
      <c r="A10" s="16" t="s">
        <v>37</v>
      </c>
      <c r="B10" s="19">
        <f>'[4]Other Assumptions'!D10</f>
        <v>0</v>
      </c>
      <c r="C10" s="20">
        <f>'[4]Other Assumptions'!E10</f>
        <v>0</v>
      </c>
      <c r="D10" s="20">
        <f>'[4]Other Assumptions'!F10</f>
        <v>0</v>
      </c>
      <c r="E10" s="20">
        <f>'[4]Other Assumptions'!G10</f>
        <v>0</v>
      </c>
      <c r="F10" s="20">
        <f>'[4]Other Assumptions'!H10</f>
        <v>0</v>
      </c>
      <c r="G10" s="40">
        <f>'[4]Other Assumptions'!I10</f>
        <v>0</v>
      </c>
      <c r="H10" s="40">
        <f>'[4]Other Assumptions'!J10</f>
        <v>0</v>
      </c>
      <c r="I10" s="40">
        <f>'[4]Other Assumptions'!K10</f>
        <v>0.15</v>
      </c>
      <c r="J10" s="40">
        <f>'[4]Other Assumptions'!L10</f>
        <v>0.3</v>
      </c>
      <c r="K10" s="40">
        <f>'[4]Other Assumptions'!M10</f>
        <v>0.45</v>
      </c>
      <c r="L10" s="40">
        <f>'[4]Other Assumptions'!N10</f>
        <v>0.6</v>
      </c>
      <c r="M10" s="40">
        <f>'[4]Other Assumptions'!O10</f>
        <v>0.6</v>
      </c>
      <c r="N10" s="40">
        <f>'[4]Other Assumptions'!P10</f>
        <v>0.6</v>
      </c>
      <c r="O10" s="41">
        <f>'[4]Other Assumptions'!Q10</f>
        <v>0.6</v>
      </c>
    </row>
    <row r="11" spans="1:15" ht="15.75" x14ac:dyDescent="0.25">
      <c r="A11" s="16" t="s">
        <v>38</v>
      </c>
      <c r="B11" s="19">
        <f>'[4]Other Assumptions'!D11</f>
        <v>0</v>
      </c>
      <c r="C11" s="20">
        <f>'[4]Other Assumptions'!E11</f>
        <v>0</v>
      </c>
      <c r="D11" s="20">
        <f>'[4]Other Assumptions'!F11</f>
        <v>0</v>
      </c>
      <c r="E11" s="20">
        <f>'[4]Other Assumptions'!G11</f>
        <v>0</v>
      </c>
      <c r="F11" s="20">
        <f>'[4]Other Assumptions'!H11</f>
        <v>0</v>
      </c>
      <c r="G11" s="40">
        <f>'[4]Other Assumptions'!I11</f>
        <v>0</v>
      </c>
      <c r="H11" s="40">
        <f>'[4]Other Assumptions'!J11</f>
        <v>0</v>
      </c>
      <c r="I11" s="40">
        <f>'[4]Other Assumptions'!K11</f>
        <v>0.15</v>
      </c>
      <c r="J11" s="40">
        <f>'[4]Other Assumptions'!L11</f>
        <v>0.3</v>
      </c>
      <c r="K11" s="40">
        <f>'[4]Other Assumptions'!M11</f>
        <v>0.45</v>
      </c>
      <c r="L11" s="40">
        <f>'[4]Other Assumptions'!N11</f>
        <v>0.6</v>
      </c>
      <c r="M11" s="40">
        <f>'[4]Other Assumptions'!O11</f>
        <v>0.6</v>
      </c>
      <c r="N11" s="40">
        <f>'[4]Other Assumptions'!P11</f>
        <v>0.6</v>
      </c>
      <c r="O11" s="41">
        <f>'[4]Other Assumptions'!Q11</f>
        <v>0.6</v>
      </c>
    </row>
    <row r="12" spans="1:15" ht="15.75" x14ac:dyDescent="0.25">
      <c r="A12" s="16" t="s">
        <v>39</v>
      </c>
      <c r="B12" s="19">
        <f>'[4]Other Assumptions'!D12</f>
        <v>0</v>
      </c>
      <c r="C12" s="20">
        <f>'[4]Other Assumptions'!E12</f>
        <v>0</v>
      </c>
      <c r="D12" s="20">
        <f>'[4]Other Assumptions'!F12</f>
        <v>0</v>
      </c>
      <c r="E12" s="20">
        <f>'[4]Other Assumptions'!G12</f>
        <v>0</v>
      </c>
      <c r="F12" s="20">
        <f>'[4]Other Assumptions'!H12</f>
        <v>0</v>
      </c>
      <c r="G12" s="40">
        <f>'[4]Other Assumptions'!I12</f>
        <v>0</v>
      </c>
      <c r="H12" s="40">
        <f>'[4]Other Assumptions'!J12</f>
        <v>0</v>
      </c>
      <c r="I12" s="40">
        <f>'[4]Other Assumptions'!K12</f>
        <v>0.15</v>
      </c>
      <c r="J12" s="40">
        <f>'[4]Other Assumptions'!L12</f>
        <v>0.3</v>
      </c>
      <c r="K12" s="40">
        <f>'[4]Other Assumptions'!M12</f>
        <v>0.45</v>
      </c>
      <c r="L12" s="40">
        <f>'[4]Other Assumptions'!N12</f>
        <v>0.6</v>
      </c>
      <c r="M12" s="40">
        <f>'[4]Other Assumptions'!O12</f>
        <v>0.6</v>
      </c>
      <c r="N12" s="40">
        <f>'[4]Other Assumptions'!P12</f>
        <v>0.6</v>
      </c>
      <c r="O12" s="41">
        <f>'[4]Other Assumptions'!Q12</f>
        <v>0.6</v>
      </c>
    </row>
    <row r="13" spans="1:15" ht="15.75" x14ac:dyDescent="0.25">
      <c r="A13" s="16" t="s">
        <v>40</v>
      </c>
      <c r="B13" s="19">
        <f>'[4]Other Assumptions'!D13</f>
        <v>0</v>
      </c>
      <c r="C13" s="20">
        <f>'[4]Other Assumptions'!E13</f>
        <v>0</v>
      </c>
      <c r="D13" s="20">
        <f>'[4]Other Assumptions'!F13</f>
        <v>0</v>
      </c>
      <c r="E13" s="20">
        <f>'[4]Other Assumptions'!G13</f>
        <v>0</v>
      </c>
      <c r="F13" s="20">
        <f>'[4]Other Assumptions'!H13</f>
        <v>0</v>
      </c>
      <c r="G13" s="40">
        <f>'[4]Other Assumptions'!I13</f>
        <v>0</v>
      </c>
      <c r="H13" s="40">
        <f>'[4]Other Assumptions'!J13</f>
        <v>0</v>
      </c>
      <c r="I13" s="40">
        <f>'[4]Other Assumptions'!K13</f>
        <v>0.15</v>
      </c>
      <c r="J13" s="40">
        <f>'[4]Other Assumptions'!L13</f>
        <v>0.3</v>
      </c>
      <c r="K13" s="40">
        <f>'[4]Other Assumptions'!M13</f>
        <v>0.45</v>
      </c>
      <c r="L13" s="40">
        <f>'[4]Other Assumptions'!N13</f>
        <v>0.6</v>
      </c>
      <c r="M13" s="40">
        <f>'[4]Other Assumptions'!O13</f>
        <v>0.6</v>
      </c>
      <c r="N13" s="40">
        <f>'[4]Other Assumptions'!P13</f>
        <v>0.6</v>
      </c>
      <c r="O13" s="41">
        <f>'[4]Other Assumptions'!Q13</f>
        <v>0.6</v>
      </c>
    </row>
    <row r="14" spans="1:15" ht="15.75" x14ac:dyDescent="0.25">
      <c r="A14" s="16" t="s">
        <v>41</v>
      </c>
      <c r="B14" s="19">
        <f>'[4]Other Assumptions'!D14</f>
        <v>0</v>
      </c>
      <c r="C14" s="20">
        <f>'[4]Other Assumptions'!E14</f>
        <v>0</v>
      </c>
      <c r="D14" s="20">
        <f>'[4]Other Assumptions'!F14</f>
        <v>0</v>
      </c>
      <c r="E14" s="20">
        <f>'[4]Other Assumptions'!G14</f>
        <v>0</v>
      </c>
      <c r="F14" s="20">
        <f>'[4]Other Assumptions'!H14</f>
        <v>0</v>
      </c>
      <c r="G14" s="40">
        <f>'[4]Other Assumptions'!I14</f>
        <v>0</v>
      </c>
      <c r="H14" s="40">
        <f>'[4]Other Assumptions'!J14</f>
        <v>0</v>
      </c>
      <c r="I14" s="40">
        <f>'[4]Other Assumptions'!K14</f>
        <v>0.15</v>
      </c>
      <c r="J14" s="40">
        <f>'[4]Other Assumptions'!L14</f>
        <v>0.3</v>
      </c>
      <c r="K14" s="40">
        <f>'[4]Other Assumptions'!M14</f>
        <v>0.45</v>
      </c>
      <c r="L14" s="40">
        <f>'[4]Other Assumptions'!N14</f>
        <v>0.6</v>
      </c>
      <c r="M14" s="40">
        <f>'[4]Other Assumptions'!O14</f>
        <v>0.6</v>
      </c>
      <c r="N14" s="40">
        <f>'[4]Other Assumptions'!P14</f>
        <v>0.6</v>
      </c>
      <c r="O14" s="41">
        <f>'[4]Other Assumptions'!Q14</f>
        <v>0.6</v>
      </c>
    </row>
    <row r="15" spans="1:15" ht="15.75" x14ac:dyDescent="0.25">
      <c r="A15" s="16" t="s">
        <v>42</v>
      </c>
      <c r="B15" s="19">
        <f>'[4]Other Assumptions'!D15</f>
        <v>0</v>
      </c>
      <c r="C15" s="20">
        <f>'[4]Other Assumptions'!E15</f>
        <v>0</v>
      </c>
      <c r="D15" s="20">
        <f>'[4]Other Assumptions'!F15</f>
        <v>0</v>
      </c>
      <c r="E15" s="20">
        <f>'[4]Other Assumptions'!G15</f>
        <v>0</v>
      </c>
      <c r="F15" s="20">
        <f>'[4]Other Assumptions'!H15</f>
        <v>0</v>
      </c>
      <c r="G15" s="40">
        <f>'[4]Other Assumptions'!I15</f>
        <v>0</v>
      </c>
      <c r="H15" s="40">
        <f>'[4]Other Assumptions'!J15</f>
        <v>0</v>
      </c>
      <c r="I15" s="40">
        <f>'[4]Other Assumptions'!K15</f>
        <v>0.15</v>
      </c>
      <c r="J15" s="40">
        <f>'[4]Other Assumptions'!L15</f>
        <v>0.3</v>
      </c>
      <c r="K15" s="40">
        <f>'[4]Other Assumptions'!M15</f>
        <v>0.45</v>
      </c>
      <c r="L15" s="40">
        <f>'[4]Other Assumptions'!N15</f>
        <v>0.6</v>
      </c>
      <c r="M15" s="40">
        <f>'[4]Other Assumptions'!O15</f>
        <v>0.6</v>
      </c>
      <c r="N15" s="40">
        <f>'[4]Other Assumptions'!P15</f>
        <v>0.6</v>
      </c>
      <c r="O15" s="41">
        <f>'[4]Other Assumptions'!Q15</f>
        <v>0.6</v>
      </c>
    </row>
    <row r="16" spans="1:15" ht="15.75" x14ac:dyDescent="0.25">
      <c r="A16" s="16" t="s">
        <v>43</v>
      </c>
      <c r="B16" s="19">
        <f>'[4]Other Assumptions'!D16</f>
        <v>0</v>
      </c>
      <c r="C16" s="20">
        <f>'[4]Other Assumptions'!E16</f>
        <v>0</v>
      </c>
      <c r="D16" s="20">
        <f>'[4]Other Assumptions'!F16</f>
        <v>0</v>
      </c>
      <c r="E16" s="20">
        <f>'[4]Other Assumptions'!G16</f>
        <v>0</v>
      </c>
      <c r="F16" s="20">
        <f>'[4]Other Assumptions'!H16</f>
        <v>0</v>
      </c>
      <c r="G16" s="40">
        <f>'[4]Other Assumptions'!I16</f>
        <v>0</v>
      </c>
      <c r="H16" s="40">
        <f>'[4]Other Assumptions'!J16</f>
        <v>0</v>
      </c>
      <c r="I16" s="40">
        <f>'[4]Other Assumptions'!K16</f>
        <v>0.15</v>
      </c>
      <c r="J16" s="40">
        <f>'[4]Other Assumptions'!L16</f>
        <v>0.3</v>
      </c>
      <c r="K16" s="40">
        <f>'[4]Other Assumptions'!M16</f>
        <v>0.45</v>
      </c>
      <c r="L16" s="40">
        <f>'[4]Other Assumptions'!N16</f>
        <v>0.6</v>
      </c>
      <c r="M16" s="40">
        <f>'[4]Other Assumptions'!O16</f>
        <v>0.6</v>
      </c>
      <c r="N16" s="40">
        <f>'[4]Other Assumptions'!P16</f>
        <v>0.6</v>
      </c>
      <c r="O16" s="41">
        <f>'[4]Other Assumptions'!Q16</f>
        <v>0.6</v>
      </c>
    </row>
    <row r="17" spans="1:15" ht="15.75" x14ac:dyDescent="0.25">
      <c r="A17" s="16" t="s">
        <v>44</v>
      </c>
      <c r="B17" s="19">
        <f>'[4]Other Assumptions'!D17</f>
        <v>0</v>
      </c>
      <c r="C17" s="20">
        <f>'[4]Other Assumptions'!E17</f>
        <v>0</v>
      </c>
      <c r="D17" s="20">
        <f>'[4]Other Assumptions'!F17</f>
        <v>0</v>
      </c>
      <c r="E17" s="20">
        <f>'[4]Other Assumptions'!G17</f>
        <v>0</v>
      </c>
      <c r="F17" s="20">
        <f>'[4]Other Assumptions'!H17</f>
        <v>0</v>
      </c>
      <c r="G17" s="40">
        <f>'[4]Other Assumptions'!I17</f>
        <v>0</v>
      </c>
      <c r="H17" s="40">
        <f>'[4]Other Assumptions'!J17</f>
        <v>0</v>
      </c>
      <c r="I17" s="40">
        <f>'[4]Other Assumptions'!K17</f>
        <v>0.15</v>
      </c>
      <c r="J17" s="40">
        <f>'[4]Other Assumptions'!L17</f>
        <v>0.3</v>
      </c>
      <c r="K17" s="40">
        <f>'[4]Other Assumptions'!M17</f>
        <v>0.45</v>
      </c>
      <c r="L17" s="40">
        <f>'[4]Other Assumptions'!N17</f>
        <v>0.6</v>
      </c>
      <c r="M17" s="40">
        <f>'[4]Other Assumptions'!O17</f>
        <v>0.6</v>
      </c>
      <c r="N17" s="40">
        <f>'[4]Other Assumptions'!P17</f>
        <v>0.6</v>
      </c>
      <c r="O17" s="41">
        <f>'[4]Other Assumptions'!Q17</f>
        <v>0.6</v>
      </c>
    </row>
    <row r="18" spans="1:15" ht="15.75" x14ac:dyDescent="0.25">
      <c r="A18" s="16" t="s">
        <v>45</v>
      </c>
      <c r="B18" s="19">
        <f>'[4]Other Assumptions'!D18</f>
        <v>0</v>
      </c>
      <c r="C18" s="20">
        <f>'[4]Other Assumptions'!E18</f>
        <v>0</v>
      </c>
      <c r="D18" s="20">
        <f>'[4]Other Assumptions'!F18</f>
        <v>0</v>
      </c>
      <c r="E18" s="20">
        <f>'[4]Other Assumptions'!G18</f>
        <v>0</v>
      </c>
      <c r="F18" s="20">
        <f>'[4]Other Assumptions'!H18</f>
        <v>0</v>
      </c>
      <c r="G18" s="40">
        <f>'[4]Other Assumptions'!I18</f>
        <v>0</v>
      </c>
      <c r="H18" s="40">
        <f>'[4]Other Assumptions'!J18</f>
        <v>0</v>
      </c>
      <c r="I18" s="40">
        <f>'[4]Other Assumptions'!K18</f>
        <v>0.15</v>
      </c>
      <c r="J18" s="40">
        <f>'[4]Other Assumptions'!L18</f>
        <v>0.3</v>
      </c>
      <c r="K18" s="40">
        <f>'[4]Other Assumptions'!M18</f>
        <v>0.45</v>
      </c>
      <c r="L18" s="40">
        <f>'[4]Other Assumptions'!N18</f>
        <v>0.6</v>
      </c>
      <c r="M18" s="40">
        <f>'[4]Other Assumptions'!O18</f>
        <v>0.6</v>
      </c>
      <c r="N18" s="40">
        <f>'[4]Other Assumptions'!P18</f>
        <v>0.6</v>
      </c>
      <c r="O18" s="41">
        <f>'[4]Other Assumptions'!Q18</f>
        <v>0.6</v>
      </c>
    </row>
    <row r="19" spans="1:15" ht="16.5" thickBot="1" x14ac:dyDescent="0.3">
      <c r="A19" s="23" t="s">
        <v>46</v>
      </c>
      <c r="B19" s="24">
        <f>'[4]Other Assumptions'!D19</f>
        <v>0</v>
      </c>
      <c r="C19" s="25">
        <f>'[4]Other Assumptions'!E19</f>
        <v>0</v>
      </c>
      <c r="D19" s="25">
        <f>'[4]Other Assumptions'!F19</f>
        <v>0</v>
      </c>
      <c r="E19" s="25">
        <f>'[4]Other Assumptions'!G19</f>
        <v>0</v>
      </c>
      <c r="F19" s="25">
        <f>'[4]Other Assumptions'!H19</f>
        <v>0</v>
      </c>
      <c r="G19" s="53">
        <f>'[4]Other Assumptions'!I19</f>
        <v>0</v>
      </c>
      <c r="H19" s="53">
        <f>'[4]Other Assumptions'!J19</f>
        <v>0</v>
      </c>
      <c r="I19" s="53">
        <f>'[4]Other Assumptions'!K19</f>
        <v>0.15</v>
      </c>
      <c r="J19" s="53">
        <f>'[4]Other Assumptions'!L19</f>
        <v>0.3</v>
      </c>
      <c r="K19" s="53">
        <f>'[4]Other Assumptions'!M19</f>
        <v>0.45</v>
      </c>
      <c r="L19" s="53">
        <f>'[4]Other Assumptions'!N19</f>
        <v>0.6</v>
      </c>
      <c r="M19" s="53">
        <f>'[4]Other Assumptions'!O19</f>
        <v>0.6</v>
      </c>
      <c r="N19" s="53">
        <f>'[4]Other Assumptions'!P19</f>
        <v>0.6</v>
      </c>
      <c r="O19" s="54">
        <f>'[4]Other Assumptions'!Q19</f>
        <v>0.6</v>
      </c>
    </row>
    <row r="20" spans="1:15" ht="13.5" thickTop="1" x14ac:dyDescent="0.2"/>
    <row r="21" spans="1:15" ht="13.5" thickBot="1" x14ac:dyDescent="0.25"/>
    <row r="22" spans="1:15" ht="16.5" thickTop="1" x14ac:dyDescent="0.25">
      <c r="A22" s="6" t="s">
        <v>58</v>
      </c>
      <c r="B22" s="7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9"/>
    </row>
    <row r="23" spans="1:15" ht="13.5" thickBot="1" x14ac:dyDescent="0.25">
      <c r="A23" s="10"/>
      <c r="B23" s="11" t="s">
        <v>22</v>
      </c>
      <c r="C23" s="11" t="s">
        <v>23</v>
      </c>
      <c r="D23" s="11" t="s">
        <v>24</v>
      </c>
      <c r="E23" s="11" t="s">
        <v>118</v>
      </c>
      <c r="F23" s="11" t="s">
        <v>119</v>
      </c>
      <c r="G23" s="11" t="s">
        <v>25</v>
      </c>
      <c r="H23" s="11" t="s">
        <v>26</v>
      </c>
      <c r="I23" s="11" t="s">
        <v>27</v>
      </c>
      <c r="J23" s="11" t="s">
        <v>28</v>
      </c>
      <c r="K23" s="11" t="s">
        <v>29</v>
      </c>
      <c r="L23" s="11" t="s">
        <v>30</v>
      </c>
      <c r="M23" s="11" t="s">
        <v>120</v>
      </c>
      <c r="N23" s="11" t="s">
        <v>121</v>
      </c>
      <c r="O23" s="12" t="s">
        <v>122</v>
      </c>
    </row>
    <row r="24" spans="1:15" ht="14.25" thickTop="1" thickBot="1" x14ac:dyDescent="0.25">
      <c r="A24" s="13"/>
      <c r="B24" s="14" t="s">
        <v>31</v>
      </c>
      <c r="C24" s="14" t="s">
        <v>31</v>
      </c>
      <c r="D24" s="14" t="s">
        <v>31</v>
      </c>
      <c r="E24" s="14" t="s">
        <v>31</v>
      </c>
      <c r="F24" s="14" t="s">
        <v>31</v>
      </c>
      <c r="G24" s="14" t="s">
        <v>32</v>
      </c>
      <c r="H24" s="14" t="s">
        <v>32</v>
      </c>
      <c r="I24" s="14" t="s">
        <v>32</v>
      </c>
      <c r="J24" s="14" t="s">
        <v>32</v>
      </c>
      <c r="K24" s="14" t="s">
        <v>32</v>
      </c>
      <c r="L24" s="14" t="s">
        <v>32</v>
      </c>
      <c r="M24" s="14" t="s">
        <v>32</v>
      </c>
      <c r="N24" s="14" t="s">
        <v>32</v>
      </c>
      <c r="O24" s="15" t="s">
        <v>32</v>
      </c>
    </row>
    <row r="25" spans="1:15" ht="16.5" thickTop="1" x14ac:dyDescent="0.25">
      <c r="A25" s="16" t="s">
        <v>33</v>
      </c>
      <c r="B25" s="17">
        <f>'[4]Other Assumptions'!D25</f>
        <v>0</v>
      </c>
      <c r="C25" s="18">
        <f>'[4]Other Assumptions'!E25</f>
        <v>0</v>
      </c>
      <c r="D25" s="18">
        <f>'[4]Other Assumptions'!F25</f>
        <v>0</v>
      </c>
      <c r="E25" s="18">
        <f>'[4]Other Assumptions'!G25</f>
        <v>0</v>
      </c>
      <c r="F25" s="18">
        <f>'[4]Other Assumptions'!H25</f>
        <v>0</v>
      </c>
      <c r="G25" s="36">
        <f>'[4]Other Assumptions'!I25</f>
        <v>0</v>
      </c>
      <c r="H25" s="36">
        <f>'[4]Other Assumptions'!J25</f>
        <v>0</v>
      </c>
      <c r="I25" s="36">
        <f>'[4]Other Assumptions'!K25</f>
        <v>0</v>
      </c>
      <c r="J25" s="36">
        <f>'[4]Other Assumptions'!L25</f>
        <v>0</v>
      </c>
      <c r="K25" s="36">
        <f>'[4]Other Assumptions'!M25</f>
        <v>0</v>
      </c>
      <c r="L25" s="36">
        <f>'[4]Other Assumptions'!N25</f>
        <v>0</v>
      </c>
      <c r="M25" s="36">
        <f>'[4]Other Assumptions'!O25</f>
        <v>0</v>
      </c>
      <c r="N25" s="36">
        <f>'[4]Other Assumptions'!P25</f>
        <v>0</v>
      </c>
      <c r="O25" s="37">
        <f>'[4]Other Assumptions'!Q25</f>
        <v>0</v>
      </c>
    </row>
    <row r="26" spans="1:15" ht="15.75" x14ac:dyDescent="0.25">
      <c r="A26" s="16" t="s">
        <v>34</v>
      </c>
      <c r="B26" s="19">
        <f>'[4]Other Assumptions'!D26</f>
        <v>0</v>
      </c>
      <c r="C26" s="20">
        <f>'[4]Other Assumptions'!E26</f>
        <v>0</v>
      </c>
      <c r="D26" s="20">
        <f>'[4]Other Assumptions'!F26</f>
        <v>0</v>
      </c>
      <c r="E26" s="20">
        <f>'[4]Other Assumptions'!G26</f>
        <v>0</v>
      </c>
      <c r="F26" s="20">
        <f>'[4]Other Assumptions'!H26</f>
        <v>0</v>
      </c>
      <c r="G26" s="40">
        <f>'[4]Other Assumptions'!I26</f>
        <v>0</v>
      </c>
      <c r="H26" s="40">
        <f>'[4]Other Assumptions'!J26</f>
        <v>0</v>
      </c>
      <c r="I26" s="40">
        <f>'[4]Other Assumptions'!K26</f>
        <v>0</v>
      </c>
      <c r="J26" s="40">
        <f>'[4]Other Assumptions'!L26</f>
        <v>0</v>
      </c>
      <c r="K26" s="40">
        <f>'[4]Other Assumptions'!M26</f>
        <v>0</v>
      </c>
      <c r="L26" s="40">
        <f>'[4]Other Assumptions'!N26</f>
        <v>0</v>
      </c>
      <c r="M26" s="40">
        <f>'[4]Other Assumptions'!O26</f>
        <v>0</v>
      </c>
      <c r="N26" s="40">
        <f>'[4]Other Assumptions'!P26</f>
        <v>0</v>
      </c>
      <c r="O26" s="41">
        <f>'[4]Other Assumptions'!Q26</f>
        <v>0</v>
      </c>
    </row>
    <row r="27" spans="1:15" ht="15.75" x14ac:dyDescent="0.25">
      <c r="A27" s="16" t="s">
        <v>35</v>
      </c>
      <c r="B27" s="19">
        <f>'[4]Other Assumptions'!D27</f>
        <v>0</v>
      </c>
      <c r="C27" s="20">
        <f>'[4]Other Assumptions'!E27</f>
        <v>0</v>
      </c>
      <c r="D27" s="20">
        <f>'[4]Other Assumptions'!F27</f>
        <v>0</v>
      </c>
      <c r="E27" s="20">
        <f>'[4]Other Assumptions'!G27</f>
        <v>0</v>
      </c>
      <c r="F27" s="20">
        <f>'[4]Other Assumptions'!H27</f>
        <v>0</v>
      </c>
      <c r="G27" s="40">
        <f>'[4]Other Assumptions'!I27</f>
        <v>0</v>
      </c>
      <c r="H27" s="40">
        <f>'[4]Other Assumptions'!J27</f>
        <v>0</v>
      </c>
      <c r="I27" s="40">
        <f>'[4]Other Assumptions'!K27</f>
        <v>0</v>
      </c>
      <c r="J27" s="40">
        <f>'[4]Other Assumptions'!L27</f>
        <v>0</v>
      </c>
      <c r="K27" s="40">
        <f>'[4]Other Assumptions'!M27</f>
        <v>0</v>
      </c>
      <c r="L27" s="40">
        <f>'[4]Other Assumptions'!N27</f>
        <v>0</v>
      </c>
      <c r="M27" s="40">
        <f>'[4]Other Assumptions'!O27</f>
        <v>0</v>
      </c>
      <c r="N27" s="40">
        <f>'[4]Other Assumptions'!P27</f>
        <v>0</v>
      </c>
      <c r="O27" s="41">
        <f>'[4]Other Assumptions'!Q27</f>
        <v>0</v>
      </c>
    </row>
    <row r="28" spans="1:15" ht="15.75" x14ac:dyDescent="0.25">
      <c r="A28" s="16" t="s">
        <v>36</v>
      </c>
      <c r="B28" s="19">
        <f>'[4]Other Assumptions'!D28</f>
        <v>0</v>
      </c>
      <c r="C28" s="20">
        <f>'[4]Other Assumptions'!E28</f>
        <v>0</v>
      </c>
      <c r="D28" s="20">
        <f>'[4]Other Assumptions'!F28</f>
        <v>0</v>
      </c>
      <c r="E28" s="20">
        <f>'[4]Other Assumptions'!G28</f>
        <v>0</v>
      </c>
      <c r="F28" s="20">
        <f>'[4]Other Assumptions'!H28</f>
        <v>0</v>
      </c>
      <c r="G28" s="40">
        <f>'[4]Other Assumptions'!I28</f>
        <v>0</v>
      </c>
      <c r="H28" s="40">
        <f>'[4]Other Assumptions'!J28</f>
        <v>0</v>
      </c>
      <c r="I28" s="40">
        <f>'[4]Other Assumptions'!K28</f>
        <v>0</v>
      </c>
      <c r="J28" s="40">
        <f>'[4]Other Assumptions'!L28</f>
        <v>0</v>
      </c>
      <c r="K28" s="40">
        <f>'[4]Other Assumptions'!M28</f>
        <v>0</v>
      </c>
      <c r="L28" s="40">
        <f>'[4]Other Assumptions'!N28</f>
        <v>0</v>
      </c>
      <c r="M28" s="40">
        <f>'[4]Other Assumptions'!O28</f>
        <v>0</v>
      </c>
      <c r="N28" s="40">
        <f>'[4]Other Assumptions'!P28</f>
        <v>0</v>
      </c>
      <c r="O28" s="41">
        <f>'[4]Other Assumptions'!Q28</f>
        <v>0</v>
      </c>
    </row>
    <row r="29" spans="1:15" ht="15.75" x14ac:dyDescent="0.25">
      <c r="A29" s="16" t="s">
        <v>37</v>
      </c>
      <c r="B29" s="19">
        <f>'[4]Other Assumptions'!D29</f>
        <v>0</v>
      </c>
      <c r="C29" s="20">
        <f>'[4]Other Assumptions'!E29</f>
        <v>0</v>
      </c>
      <c r="D29" s="20">
        <f>'[4]Other Assumptions'!F29</f>
        <v>0</v>
      </c>
      <c r="E29" s="20">
        <f>'[4]Other Assumptions'!G29</f>
        <v>0</v>
      </c>
      <c r="F29" s="20">
        <f>'[4]Other Assumptions'!H29</f>
        <v>0</v>
      </c>
      <c r="G29" s="40">
        <f>'[4]Other Assumptions'!I29</f>
        <v>0</v>
      </c>
      <c r="H29" s="40">
        <f>'[4]Other Assumptions'!J29</f>
        <v>0</v>
      </c>
      <c r="I29" s="40">
        <f>'[4]Other Assumptions'!K29</f>
        <v>0</v>
      </c>
      <c r="J29" s="40">
        <f>'[4]Other Assumptions'!L29</f>
        <v>0</v>
      </c>
      <c r="K29" s="40">
        <f>'[4]Other Assumptions'!M29</f>
        <v>0</v>
      </c>
      <c r="L29" s="40">
        <f>'[4]Other Assumptions'!N29</f>
        <v>0</v>
      </c>
      <c r="M29" s="40">
        <f>'[4]Other Assumptions'!O29</f>
        <v>0</v>
      </c>
      <c r="N29" s="40">
        <f>'[4]Other Assumptions'!P29</f>
        <v>0</v>
      </c>
      <c r="O29" s="41">
        <f>'[4]Other Assumptions'!Q29</f>
        <v>0</v>
      </c>
    </row>
    <row r="30" spans="1:15" ht="15.75" x14ac:dyDescent="0.25">
      <c r="A30" s="16" t="s">
        <v>38</v>
      </c>
      <c r="B30" s="19">
        <f>'[4]Other Assumptions'!D30</f>
        <v>0</v>
      </c>
      <c r="C30" s="20">
        <f>'[4]Other Assumptions'!E30</f>
        <v>0</v>
      </c>
      <c r="D30" s="20">
        <f>'[4]Other Assumptions'!F30</f>
        <v>0</v>
      </c>
      <c r="E30" s="20">
        <f>'[4]Other Assumptions'!G30</f>
        <v>0</v>
      </c>
      <c r="F30" s="20">
        <f>'[4]Other Assumptions'!H30</f>
        <v>0</v>
      </c>
      <c r="G30" s="40">
        <f>'[4]Other Assumptions'!I30</f>
        <v>0</v>
      </c>
      <c r="H30" s="40">
        <f>'[4]Other Assumptions'!J30</f>
        <v>0</v>
      </c>
      <c r="I30" s="40">
        <f>'[4]Other Assumptions'!K30</f>
        <v>0</v>
      </c>
      <c r="J30" s="40">
        <f>'[4]Other Assumptions'!L30</f>
        <v>0</v>
      </c>
      <c r="K30" s="40">
        <f>'[4]Other Assumptions'!M30</f>
        <v>0</v>
      </c>
      <c r="L30" s="40">
        <f>'[4]Other Assumptions'!N30</f>
        <v>0</v>
      </c>
      <c r="M30" s="40">
        <f>'[4]Other Assumptions'!O30</f>
        <v>0</v>
      </c>
      <c r="N30" s="40">
        <f>'[4]Other Assumptions'!P30</f>
        <v>0</v>
      </c>
      <c r="O30" s="41">
        <f>'[4]Other Assumptions'!Q30</f>
        <v>0</v>
      </c>
    </row>
    <row r="31" spans="1:15" ht="15.75" x14ac:dyDescent="0.25">
      <c r="A31" s="16" t="s">
        <v>39</v>
      </c>
      <c r="B31" s="19">
        <f>'[4]Other Assumptions'!D31</f>
        <v>0</v>
      </c>
      <c r="C31" s="20">
        <f>'[4]Other Assumptions'!E31</f>
        <v>0</v>
      </c>
      <c r="D31" s="20">
        <f>'[4]Other Assumptions'!F31</f>
        <v>0</v>
      </c>
      <c r="E31" s="20">
        <f>'[4]Other Assumptions'!G31</f>
        <v>0</v>
      </c>
      <c r="F31" s="20">
        <f>'[4]Other Assumptions'!H31</f>
        <v>0</v>
      </c>
      <c r="G31" s="40">
        <f>'[4]Other Assumptions'!I31</f>
        <v>0</v>
      </c>
      <c r="H31" s="40">
        <f>'[4]Other Assumptions'!J31</f>
        <v>0</v>
      </c>
      <c r="I31" s="40">
        <f>'[4]Other Assumptions'!K31</f>
        <v>0</v>
      </c>
      <c r="J31" s="40">
        <f>'[4]Other Assumptions'!L31</f>
        <v>0</v>
      </c>
      <c r="K31" s="40">
        <f>'[4]Other Assumptions'!M31</f>
        <v>0</v>
      </c>
      <c r="L31" s="40">
        <f>'[4]Other Assumptions'!N31</f>
        <v>0</v>
      </c>
      <c r="M31" s="40">
        <f>'[4]Other Assumptions'!O31</f>
        <v>0</v>
      </c>
      <c r="N31" s="40">
        <f>'[4]Other Assumptions'!P31</f>
        <v>0</v>
      </c>
      <c r="O31" s="41">
        <f>'[4]Other Assumptions'!Q31</f>
        <v>0</v>
      </c>
    </row>
    <row r="32" spans="1:15" ht="15.75" x14ac:dyDescent="0.25">
      <c r="A32" s="16" t="s">
        <v>40</v>
      </c>
      <c r="B32" s="19">
        <f>'[4]Other Assumptions'!D32</f>
        <v>0</v>
      </c>
      <c r="C32" s="20">
        <f>'[4]Other Assumptions'!E32</f>
        <v>0</v>
      </c>
      <c r="D32" s="20">
        <f>'[4]Other Assumptions'!F32</f>
        <v>0</v>
      </c>
      <c r="E32" s="20">
        <f>'[4]Other Assumptions'!G32</f>
        <v>0</v>
      </c>
      <c r="F32" s="20">
        <f>'[4]Other Assumptions'!H32</f>
        <v>0</v>
      </c>
      <c r="G32" s="40">
        <f>'[4]Other Assumptions'!I32</f>
        <v>0</v>
      </c>
      <c r="H32" s="40">
        <f>'[4]Other Assumptions'!J32</f>
        <v>0</v>
      </c>
      <c r="I32" s="40">
        <f>'[4]Other Assumptions'!K32</f>
        <v>0</v>
      </c>
      <c r="J32" s="40">
        <f>'[4]Other Assumptions'!L32</f>
        <v>0</v>
      </c>
      <c r="K32" s="40">
        <f>'[4]Other Assumptions'!M32</f>
        <v>0</v>
      </c>
      <c r="L32" s="40">
        <f>'[4]Other Assumptions'!N32</f>
        <v>0</v>
      </c>
      <c r="M32" s="40">
        <f>'[4]Other Assumptions'!O32</f>
        <v>0</v>
      </c>
      <c r="N32" s="40">
        <f>'[4]Other Assumptions'!P32</f>
        <v>0</v>
      </c>
      <c r="O32" s="41">
        <f>'[4]Other Assumptions'!Q32</f>
        <v>0</v>
      </c>
    </row>
    <row r="33" spans="1:15" ht="15.75" x14ac:dyDescent="0.25">
      <c r="A33" s="16" t="s">
        <v>41</v>
      </c>
      <c r="B33" s="19">
        <f>'[4]Other Assumptions'!D33</f>
        <v>0</v>
      </c>
      <c r="C33" s="20">
        <f>'[4]Other Assumptions'!E33</f>
        <v>0</v>
      </c>
      <c r="D33" s="20">
        <f>'[4]Other Assumptions'!F33</f>
        <v>0</v>
      </c>
      <c r="E33" s="20">
        <f>'[4]Other Assumptions'!G33</f>
        <v>0</v>
      </c>
      <c r="F33" s="20">
        <f>'[4]Other Assumptions'!H33</f>
        <v>0</v>
      </c>
      <c r="G33" s="40">
        <f>'[4]Other Assumptions'!I33</f>
        <v>0</v>
      </c>
      <c r="H33" s="40">
        <f>'[4]Other Assumptions'!J33</f>
        <v>0</v>
      </c>
      <c r="I33" s="40">
        <f>'[4]Other Assumptions'!K33</f>
        <v>0</v>
      </c>
      <c r="J33" s="40">
        <f>'[4]Other Assumptions'!L33</f>
        <v>0</v>
      </c>
      <c r="K33" s="40">
        <f>'[4]Other Assumptions'!M33</f>
        <v>0</v>
      </c>
      <c r="L33" s="40">
        <f>'[4]Other Assumptions'!N33</f>
        <v>0</v>
      </c>
      <c r="M33" s="40">
        <f>'[4]Other Assumptions'!O33</f>
        <v>0</v>
      </c>
      <c r="N33" s="40">
        <f>'[4]Other Assumptions'!P33</f>
        <v>0</v>
      </c>
      <c r="O33" s="41">
        <f>'[4]Other Assumptions'!Q33</f>
        <v>0</v>
      </c>
    </row>
    <row r="34" spans="1:15" ht="15.75" x14ac:dyDescent="0.25">
      <c r="A34" s="16" t="s">
        <v>42</v>
      </c>
      <c r="B34" s="19">
        <f>'[4]Other Assumptions'!D34</f>
        <v>0</v>
      </c>
      <c r="C34" s="20">
        <f>'[4]Other Assumptions'!E34</f>
        <v>0</v>
      </c>
      <c r="D34" s="20">
        <f>'[4]Other Assumptions'!F34</f>
        <v>0</v>
      </c>
      <c r="E34" s="20">
        <f>'[4]Other Assumptions'!G34</f>
        <v>0</v>
      </c>
      <c r="F34" s="20">
        <f>'[4]Other Assumptions'!H34</f>
        <v>0</v>
      </c>
      <c r="G34" s="40">
        <f>'[4]Other Assumptions'!I34</f>
        <v>0</v>
      </c>
      <c r="H34" s="40">
        <f>'[4]Other Assumptions'!J34</f>
        <v>0</v>
      </c>
      <c r="I34" s="40">
        <f>'[4]Other Assumptions'!K34</f>
        <v>0</v>
      </c>
      <c r="J34" s="40">
        <f>'[4]Other Assumptions'!L34</f>
        <v>0</v>
      </c>
      <c r="K34" s="40">
        <f>'[4]Other Assumptions'!M34</f>
        <v>0</v>
      </c>
      <c r="L34" s="40">
        <f>'[4]Other Assumptions'!N34</f>
        <v>0</v>
      </c>
      <c r="M34" s="40">
        <f>'[4]Other Assumptions'!O34</f>
        <v>0</v>
      </c>
      <c r="N34" s="40">
        <f>'[4]Other Assumptions'!P34</f>
        <v>0</v>
      </c>
      <c r="O34" s="41">
        <f>'[4]Other Assumptions'!Q34</f>
        <v>0</v>
      </c>
    </row>
    <row r="35" spans="1:15" ht="15.75" x14ac:dyDescent="0.25">
      <c r="A35" s="16" t="s">
        <v>43</v>
      </c>
      <c r="B35" s="19">
        <f>'[4]Other Assumptions'!D35</f>
        <v>0</v>
      </c>
      <c r="C35" s="20">
        <f>'[4]Other Assumptions'!E35</f>
        <v>0</v>
      </c>
      <c r="D35" s="20">
        <f>'[4]Other Assumptions'!F35</f>
        <v>0</v>
      </c>
      <c r="E35" s="20">
        <f>'[4]Other Assumptions'!G35</f>
        <v>0</v>
      </c>
      <c r="F35" s="20">
        <f>'[4]Other Assumptions'!H35</f>
        <v>0</v>
      </c>
      <c r="G35" s="40">
        <f>'[4]Other Assumptions'!I35</f>
        <v>0</v>
      </c>
      <c r="H35" s="40">
        <f>'[4]Other Assumptions'!J35</f>
        <v>0</v>
      </c>
      <c r="I35" s="40">
        <f>'[4]Other Assumptions'!K35</f>
        <v>0</v>
      </c>
      <c r="J35" s="40">
        <f>'[4]Other Assumptions'!L35</f>
        <v>0</v>
      </c>
      <c r="K35" s="40">
        <f>'[4]Other Assumptions'!M35</f>
        <v>0</v>
      </c>
      <c r="L35" s="40">
        <f>'[4]Other Assumptions'!N35</f>
        <v>0</v>
      </c>
      <c r="M35" s="40">
        <f>'[4]Other Assumptions'!O35</f>
        <v>0</v>
      </c>
      <c r="N35" s="40">
        <f>'[4]Other Assumptions'!P35</f>
        <v>0</v>
      </c>
      <c r="O35" s="41">
        <f>'[4]Other Assumptions'!Q35</f>
        <v>0</v>
      </c>
    </row>
    <row r="36" spans="1:15" ht="15.75" x14ac:dyDescent="0.25">
      <c r="A36" s="16" t="s">
        <v>44</v>
      </c>
      <c r="B36" s="19">
        <f>'[4]Other Assumptions'!D36</f>
        <v>0</v>
      </c>
      <c r="C36" s="20">
        <f>'[4]Other Assumptions'!E36</f>
        <v>0</v>
      </c>
      <c r="D36" s="20">
        <f>'[4]Other Assumptions'!F36</f>
        <v>0</v>
      </c>
      <c r="E36" s="20">
        <f>'[4]Other Assumptions'!G36</f>
        <v>0</v>
      </c>
      <c r="F36" s="20">
        <f>'[4]Other Assumptions'!H36</f>
        <v>0</v>
      </c>
      <c r="G36" s="40">
        <f>'[4]Other Assumptions'!I36</f>
        <v>0</v>
      </c>
      <c r="H36" s="40">
        <f>'[4]Other Assumptions'!J36</f>
        <v>0</v>
      </c>
      <c r="I36" s="40">
        <f>'[4]Other Assumptions'!K36</f>
        <v>0</v>
      </c>
      <c r="J36" s="40">
        <f>'[4]Other Assumptions'!L36</f>
        <v>0</v>
      </c>
      <c r="K36" s="40">
        <f>'[4]Other Assumptions'!M36</f>
        <v>0</v>
      </c>
      <c r="L36" s="40">
        <f>'[4]Other Assumptions'!N36</f>
        <v>0</v>
      </c>
      <c r="M36" s="40">
        <f>'[4]Other Assumptions'!O36</f>
        <v>0</v>
      </c>
      <c r="N36" s="40">
        <f>'[4]Other Assumptions'!P36</f>
        <v>0</v>
      </c>
      <c r="O36" s="41">
        <f>'[4]Other Assumptions'!Q36</f>
        <v>0</v>
      </c>
    </row>
    <row r="37" spans="1:15" ht="15.75" x14ac:dyDescent="0.25">
      <c r="A37" s="16" t="s">
        <v>45</v>
      </c>
      <c r="B37" s="19">
        <f>'[4]Other Assumptions'!D37</f>
        <v>0</v>
      </c>
      <c r="C37" s="20">
        <f>'[4]Other Assumptions'!E37</f>
        <v>0</v>
      </c>
      <c r="D37" s="20">
        <f>'[4]Other Assumptions'!F37</f>
        <v>0</v>
      </c>
      <c r="E37" s="20">
        <f>'[4]Other Assumptions'!G37</f>
        <v>0</v>
      </c>
      <c r="F37" s="20">
        <f>'[4]Other Assumptions'!H37</f>
        <v>0</v>
      </c>
      <c r="G37" s="40">
        <f>'[4]Other Assumptions'!I37</f>
        <v>0</v>
      </c>
      <c r="H37" s="40">
        <f>'[4]Other Assumptions'!J37</f>
        <v>0</v>
      </c>
      <c r="I37" s="40">
        <f>'[4]Other Assumptions'!K37</f>
        <v>0</v>
      </c>
      <c r="J37" s="40">
        <f>'[4]Other Assumptions'!L37</f>
        <v>0</v>
      </c>
      <c r="K37" s="40">
        <f>'[4]Other Assumptions'!M37</f>
        <v>0</v>
      </c>
      <c r="L37" s="40">
        <f>'[4]Other Assumptions'!N37</f>
        <v>0</v>
      </c>
      <c r="M37" s="40">
        <f>'[4]Other Assumptions'!O37</f>
        <v>0</v>
      </c>
      <c r="N37" s="40">
        <f>'[4]Other Assumptions'!P37</f>
        <v>0</v>
      </c>
      <c r="O37" s="41">
        <f>'[4]Other Assumptions'!Q37</f>
        <v>0</v>
      </c>
    </row>
    <row r="38" spans="1:15" ht="16.5" thickBot="1" x14ac:dyDescent="0.3">
      <c r="A38" s="23" t="s">
        <v>46</v>
      </c>
      <c r="B38" s="24">
        <f>'[4]Other Assumptions'!D38</f>
        <v>0</v>
      </c>
      <c r="C38" s="25">
        <f>'[4]Other Assumptions'!E38</f>
        <v>0</v>
      </c>
      <c r="D38" s="25">
        <f>'[4]Other Assumptions'!F38</f>
        <v>0</v>
      </c>
      <c r="E38" s="25">
        <f>'[4]Other Assumptions'!G38</f>
        <v>0</v>
      </c>
      <c r="F38" s="25">
        <f>'[4]Other Assumptions'!H38</f>
        <v>0</v>
      </c>
      <c r="G38" s="53">
        <f>'[4]Other Assumptions'!I38</f>
        <v>0</v>
      </c>
      <c r="H38" s="53">
        <f>'[4]Other Assumptions'!J38</f>
        <v>0</v>
      </c>
      <c r="I38" s="53">
        <f>'[4]Other Assumptions'!K38</f>
        <v>0</v>
      </c>
      <c r="J38" s="53">
        <f>'[4]Other Assumptions'!L38</f>
        <v>0</v>
      </c>
      <c r="K38" s="53">
        <f>'[4]Other Assumptions'!M38</f>
        <v>0</v>
      </c>
      <c r="L38" s="53">
        <f>'[4]Other Assumptions'!N38</f>
        <v>0</v>
      </c>
      <c r="M38" s="53">
        <f>'[4]Other Assumptions'!O38</f>
        <v>0</v>
      </c>
      <c r="N38" s="53">
        <f>'[4]Other Assumptions'!P38</f>
        <v>0</v>
      </c>
      <c r="O38" s="54">
        <f>'[4]Other Assumptions'!Q38</f>
        <v>0</v>
      </c>
    </row>
    <row r="39" spans="1:15" ht="13.5" thickTop="1" x14ac:dyDescent="0.2"/>
    <row r="40" spans="1:15" ht="13.5" thickBot="1" x14ac:dyDescent="0.25"/>
    <row r="41" spans="1:15" ht="16.5" thickTop="1" x14ac:dyDescent="0.25">
      <c r="A41" s="6" t="s">
        <v>69</v>
      </c>
      <c r="B41" s="7"/>
      <c r="C41" s="8"/>
      <c r="D41" s="8"/>
      <c r="E41" s="8"/>
      <c r="F41" s="8"/>
      <c r="G41" s="7"/>
      <c r="H41" s="7"/>
      <c r="I41" s="7"/>
      <c r="J41" s="7"/>
      <c r="K41" s="7"/>
      <c r="L41" s="7"/>
      <c r="M41" s="7"/>
      <c r="N41" s="7"/>
      <c r="O41" s="9"/>
    </row>
    <row r="42" spans="1:15" ht="13.5" thickBot="1" x14ac:dyDescent="0.25">
      <c r="A42" s="10"/>
      <c r="B42" s="11" t="s">
        <v>22</v>
      </c>
      <c r="C42" s="11" t="s">
        <v>23</v>
      </c>
      <c r="D42" s="11" t="s">
        <v>24</v>
      </c>
      <c r="E42" s="11" t="s">
        <v>118</v>
      </c>
      <c r="F42" s="11" t="s">
        <v>119</v>
      </c>
      <c r="G42" s="11" t="s">
        <v>25</v>
      </c>
      <c r="H42" s="11" t="s">
        <v>26</v>
      </c>
      <c r="I42" s="11" t="s">
        <v>27</v>
      </c>
      <c r="J42" s="11" t="s">
        <v>28</v>
      </c>
      <c r="K42" s="11" t="s">
        <v>29</v>
      </c>
      <c r="L42" s="11" t="s">
        <v>30</v>
      </c>
      <c r="M42" s="11" t="s">
        <v>120</v>
      </c>
      <c r="N42" s="11" t="s">
        <v>121</v>
      </c>
      <c r="O42" s="12" t="s">
        <v>122</v>
      </c>
    </row>
    <row r="43" spans="1:15" ht="14.25" thickTop="1" thickBot="1" x14ac:dyDescent="0.25">
      <c r="A43" s="13"/>
      <c r="B43" s="14" t="s">
        <v>31</v>
      </c>
      <c r="C43" s="14" t="s">
        <v>31</v>
      </c>
      <c r="D43" s="14" t="s">
        <v>31</v>
      </c>
      <c r="E43" s="14" t="s">
        <v>31</v>
      </c>
      <c r="F43" s="14" t="s">
        <v>31</v>
      </c>
      <c r="G43" s="14" t="s">
        <v>32</v>
      </c>
      <c r="H43" s="14" t="s">
        <v>32</v>
      </c>
      <c r="I43" s="14" t="s">
        <v>32</v>
      </c>
      <c r="J43" s="14" t="s">
        <v>32</v>
      </c>
      <c r="K43" s="14" t="s">
        <v>32</v>
      </c>
      <c r="L43" s="14" t="s">
        <v>32</v>
      </c>
      <c r="M43" s="14" t="s">
        <v>32</v>
      </c>
      <c r="N43" s="14" t="s">
        <v>32</v>
      </c>
      <c r="O43" s="15" t="s">
        <v>32</v>
      </c>
    </row>
    <row r="44" spans="1:15" ht="16.5" thickTop="1" x14ac:dyDescent="0.25">
      <c r="A44" s="16" t="s">
        <v>33</v>
      </c>
      <c r="B44" s="17">
        <f>'[4]Other Assumptions'!D82</f>
        <v>0</v>
      </c>
      <c r="C44" s="18">
        <f>'[4]Other Assumptions'!E82</f>
        <v>0</v>
      </c>
      <c r="D44" s="18">
        <f>'[4]Other Assumptions'!F82</f>
        <v>0</v>
      </c>
      <c r="E44" s="18">
        <f>'[4]Other Assumptions'!G82</f>
        <v>0</v>
      </c>
      <c r="F44" s="18">
        <f>'[4]Other Assumptions'!H82</f>
        <v>0</v>
      </c>
      <c r="G44" s="36">
        <f>'[4]Other Assumptions'!I44</f>
        <v>0</v>
      </c>
      <c r="H44" s="36">
        <f>'[4]Other Assumptions'!J44</f>
        <v>0.02</v>
      </c>
      <c r="I44" s="36">
        <f>'[4]Other Assumptions'!K44</f>
        <v>0.04</v>
      </c>
      <c r="J44" s="36">
        <f>'[4]Other Assumptions'!L44</f>
        <v>0.06</v>
      </c>
      <c r="K44" s="36">
        <f>'[4]Other Assumptions'!M44</f>
        <v>0.08</v>
      </c>
      <c r="L44" s="36">
        <f>'[4]Other Assumptions'!N44</f>
        <v>0.1</v>
      </c>
      <c r="M44" s="36">
        <f>'[4]Other Assumptions'!O44</f>
        <v>0.12</v>
      </c>
      <c r="N44" s="36">
        <f>'[4]Other Assumptions'!P44</f>
        <v>0.14000000000000001</v>
      </c>
      <c r="O44" s="37">
        <f>'[4]Other Assumptions'!Q44</f>
        <v>0.16</v>
      </c>
    </row>
    <row r="45" spans="1:15" ht="15.75" x14ac:dyDescent="0.25">
      <c r="A45" s="16" t="s">
        <v>34</v>
      </c>
      <c r="B45" s="19">
        <f>'[4]Other Assumptions'!D83</f>
        <v>0</v>
      </c>
      <c r="C45" s="20">
        <f>'[4]Other Assumptions'!E83</f>
        <v>0</v>
      </c>
      <c r="D45" s="20">
        <f>'[4]Other Assumptions'!F83</f>
        <v>0</v>
      </c>
      <c r="E45" s="20">
        <f>'[4]Other Assumptions'!G83</f>
        <v>0</v>
      </c>
      <c r="F45" s="20">
        <f>'[4]Other Assumptions'!H83</f>
        <v>0</v>
      </c>
      <c r="G45" s="40">
        <f>'[4]Other Assumptions'!I45</f>
        <v>0</v>
      </c>
      <c r="H45" s="40">
        <f>'[4]Other Assumptions'!J45</f>
        <v>0.02</v>
      </c>
      <c r="I45" s="40">
        <f>'[4]Other Assumptions'!K45</f>
        <v>0.04</v>
      </c>
      <c r="J45" s="40">
        <f>'[4]Other Assumptions'!L45</f>
        <v>0.06</v>
      </c>
      <c r="K45" s="40">
        <f>'[4]Other Assumptions'!M45</f>
        <v>0.08</v>
      </c>
      <c r="L45" s="40">
        <f>'[4]Other Assumptions'!N45</f>
        <v>0.1</v>
      </c>
      <c r="M45" s="40">
        <f>'[4]Other Assumptions'!O45</f>
        <v>0.12</v>
      </c>
      <c r="N45" s="40">
        <f>'[4]Other Assumptions'!P45</f>
        <v>0.14000000000000001</v>
      </c>
      <c r="O45" s="41">
        <f>'[4]Other Assumptions'!Q45</f>
        <v>0.16</v>
      </c>
    </row>
    <row r="46" spans="1:15" ht="15.75" x14ac:dyDescent="0.25">
      <c r="A46" s="16" t="s">
        <v>35</v>
      </c>
      <c r="B46" s="19">
        <f>'[4]Other Assumptions'!D84</f>
        <v>0</v>
      </c>
      <c r="C46" s="20">
        <f>'[4]Other Assumptions'!E84</f>
        <v>0</v>
      </c>
      <c r="D46" s="20">
        <f>'[4]Other Assumptions'!F84</f>
        <v>0</v>
      </c>
      <c r="E46" s="20">
        <f>'[4]Other Assumptions'!G84</f>
        <v>0</v>
      </c>
      <c r="F46" s="20">
        <f>'[4]Other Assumptions'!H84</f>
        <v>0</v>
      </c>
      <c r="G46" s="40">
        <f>'[4]Other Assumptions'!I46</f>
        <v>0</v>
      </c>
      <c r="H46" s="40">
        <f>'[4]Other Assumptions'!J46</f>
        <v>0.02</v>
      </c>
      <c r="I46" s="40">
        <f>'[4]Other Assumptions'!K46</f>
        <v>0.04</v>
      </c>
      <c r="J46" s="40">
        <f>'[4]Other Assumptions'!L46</f>
        <v>0.06</v>
      </c>
      <c r="K46" s="40">
        <f>'[4]Other Assumptions'!M46</f>
        <v>0.08</v>
      </c>
      <c r="L46" s="40">
        <f>'[4]Other Assumptions'!N46</f>
        <v>0.1</v>
      </c>
      <c r="M46" s="40">
        <f>'[4]Other Assumptions'!O46</f>
        <v>0.12</v>
      </c>
      <c r="N46" s="40">
        <f>'[4]Other Assumptions'!P46</f>
        <v>0.14000000000000001</v>
      </c>
      <c r="O46" s="41">
        <f>'[4]Other Assumptions'!Q46</f>
        <v>0.16</v>
      </c>
    </row>
    <row r="47" spans="1:15" ht="15.75" x14ac:dyDescent="0.25">
      <c r="A47" s="16" t="s">
        <v>36</v>
      </c>
      <c r="B47" s="19">
        <f>'[4]Other Assumptions'!D85</f>
        <v>0</v>
      </c>
      <c r="C47" s="20">
        <f>'[4]Other Assumptions'!E85</f>
        <v>0</v>
      </c>
      <c r="D47" s="20">
        <f>'[4]Other Assumptions'!F85</f>
        <v>0</v>
      </c>
      <c r="E47" s="20">
        <f>'[4]Other Assumptions'!G85</f>
        <v>0</v>
      </c>
      <c r="F47" s="20">
        <f>'[4]Other Assumptions'!H85</f>
        <v>0</v>
      </c>
      <c r="G47" s="40">
        <f>'[4]Other Assumptions'!I47</f>
        <v>0</v>
      </c>
      <c r="H47" s="40">
        <f>'[4]Other Assumptions'!J47</f>
        <v>0.02</v>
      </c>
      <c r="I47" s="40">
        <f>'[4]Other Assumptions'!K47</f>
        <v>0.04</v>
      </c>
      <c r="J47" s="40">
        <f>'[4]Other Assumptions'!L47</f>
        <v>0.06</v>
      </c>
      <c r="K47" s="40">
        <f>'[4]Other Assumptions'!M47</f>
        <v>0.08</v>
      </c>
      <c r="L47" s="40">
        <f>'[4]Other Assumptions'!N47</f>
        <v>0.1</v>
      </c>
      <c r="M47" s="40">
        <f>'[4]Other Assumptions'!O47</f>
        <v>0.12</v>
      </c>
      <c r="N47" s="40">
        <f>'[4]Other Assumptions'!P47</f>
        <v>0.14000000000000001</v>
      </c>
      <c r="O47" s="41">
        <f>'[4]Other Assumptions'!Q47</f>
        <v>0.16</v>
      </c>
    </row>
    <row r="48" spans="1:15" ht="15.75" x14ac:dyDescent="0.25">
      <c r="A48" s="16" t="s">
        <v>37</v>
      </c>
      <c r="B48" s="19">
        <f>'[4]Other Assumptions'!D86</f>
        <v>0</v>
      </c>
      <c r="C48" s="20">
        <f>'[4]Other Assumptions'!E86</f>
        <v>0</v>
      </c>
      <c r="D48" s="20">
        <f>'[4]Other Assumptions'!F86</f>
        <v>0</v>
      </c>
      <c r="E48" s="20">
        <f>'[4]Other Assumptions'!G86</f>
        <v>0</v>
      </c>
      <c r="F48" s="20">
        <f>'[4]Other Assumptions'!H86</f>
        <v>0</v>
      </c>
      <c r="G48" s="40">
        <f>'[4]Other Assumptions'!I48</f>
        <v>0</v>
      </c>
      <c r="H48" s="40">
        <f>'[4]Other Assumptions'!J48</f>
        <v>0.02</v>
      </c>
      <c r="I48" s="40">
        <f>'[4]Other Assumptions'!K48</f>
        <v>0.04</v>
      </c>
      <c r="J48" s="40">
        <f>'[4]Other Assumptions'!L48</f>
        <v>0.06</v>
      </c>
      <c r="K48" s="40">
        <f>'[4]Other Assumptions'!M48</f>
        <v>0.08</v>
      </c>
      <c r="L48" s="40">
        <f>'[4]Other Assumptions'!N48</f>
        <v>0.1</v>
      </c>
      <c r="M48" s="40">
        <f>'[4]Other Assumptions'!O48</f>
        <v>0.12</v>
      </c>
      <c r="N48" s="40">
        <f>'[4]Other Assumptions'!P48</f>
        <v>0.14000000000000001</v>
      </c>
      <c r="O48" s="41">
        <f>'[4]Other Assumptions'!Q48</f>
        <v>0.16</v>
      </c>
    </row>
    <row r="49" spans="1:15" ht="15.75" x14ac:dyDescent="0.25">
      <c r="A49" s="16" t="s">
        <v>38</v>
      </c>
      <c r="B49" s="19">
        <f>'[4]Other Assumptions'!D87</f>
        <v>0</v>
      </c>
      <c r="C49" s="20">
        <f>'[4]Other Assumptions'!E87</f>
        <v>0</v>
      </c>
      <c r="D49" s="20">
        <f>'[4]Other Assumptions'!F87</f>
        <v>0</v>
      </c>
      <c r="E49" s="20">
        <f>'[4]Other Assumptions'!G87</f>
        <v>0</v>
      </c>
      <c r="F49" s="20">
        <f>'[4]Other Assumptions'!H87</f>
        <v>0</v>
      </c>
      <c r="G49" s="40">
        <f>'[4]Other Assumptions'!I49</f>
        <v>0</v>
      </c>
      <c r="H49" s="40">
        <f>'[4]Other Assumptions'!J49</f>
        <v>0.02</v>
      </c>
      <c r="I49" s="40">
        <f>'[4]Other Assumptions'!K49</f>
        <v>0.04</v>
      </c>
      <c r="J49" s="40">
        <f>'[4]Other Assumptions'!L49</f>
        <v>0.06</v>
      </c>
      <c r="K49" s="40">
        <f>'[4]Other Assumptions'!M49</f>
        <v>0.08</v>
      </c>
      <c r="L49" s="40">
        <f>'[4]Other Assumptions'!N49</f>
        <v>0.1</v>
      </c>
      <c r="M49" s="40">
        <f>'[4]Other Assumptions'!O49</f>
        <v>0.12</v>
      </c>
      <c r="N49" s="40">
        <f>'[4]Other Assumptions'!P49</f>
        <v>0.14000000000000001</v>
      </c>
      <c r="O49" s="41">
        <f>'[4]Other Assumptions'!Q49</f>
        <v>0.16</v>
      </c>
    </row>
    <row r="50" spans="1:15" ht="15.75" x14ac:dyDescent="0.25">
      <c r="A50" s="16" t="s">
        <v>39</v>
      </c>
      <c r="B50" s="19">
        <f>'[4]Other Assumptions'!D88</f>
        <v>0</v>
      </c>
      <c r="C50" s="20">
        <f>'[4]Other Assumptions'!E88</f>
        <v>0</v>
      </c>
      <c r="D50" s="20">
        <f>'[4]Other Assumptions'!F88</f>
        <v>0</v>
      </c>
      <c r="E50" s="20">
        <f>'[4]Other Assumptions'!G88</f>
        <v>0</v>
      </c>
      <c r="F50" s="20">
        <f>'[4]Other Assumptions'!H88</f>
        <v>0</v>
      </c>
      <c r="G50" s="40">
        <f>'[4]Other Assumptions'!I50</f>
        <v>0</v>
      </c>
      <c r="H50" s="40">
        <f>'[4]Other Assumptions'!J50</f>
        <v>0.02</v>
      </c>
      <c r="I50" s="40">
        <f>'[4]Other Assumptions'!K50</f>
        <v>0.04</v>
      </c>
      <c r="J50" s="40">
        <f>'[4]Other Assumptions'!L50</f>
        <v>0.06</v>
      </c>
      <c r="K50" s="40">
        <f>'[4]Other Assumptions'!M50</f>
        <v>0.08</v>
      </c>
      <c r="L50" s="40">
        <f>'[4]Other Assumptions'!N50</f>
        <v>0.1</v>
      </c>
      <c r="M50" s="40">
        <f>'[4]Other Assumptions'!O50</f>
        <v>0.12</v>
      </c>
      <c r="N50" s="40">
        <f>'[4]Other Assumptions'!P50</f>
        <v>0.14000000000000001</v>
      </c>
      <c r="O50" s="41">
        <f>'[4]Other Assumptions'!Q50</f>
        <v>0.16</v>
      </c>
    </row>
    <row r="51" spans="1:15" ht="15.75" x14ac:dyDescent="0.25">
      <c r="A51" s="16" t="s">
        <v>40</v>
      </c>
      <c r="B51" s="19">
        <f>'[4]Other Assumptions'!D89</f>
        <v>0</v>
      </c>
      <c r="C51" s="20">
        <f>'[4]Other Assumptions'!E89</f>
        <v>0</v>
      </c>
      <c r="D51" s="20">
        <f>'[4]Other Assumptions'!F89</f>
        <v>0</v>
      </c>
      <c r="E51" s="20">
        <f>'[4]Other Assumptions'!G89</f>
        <v>0</v>
      </c>
      <c r="F51" s="20">
        <f>'[4]Other Assumptions'!H89</f>
        <v>0</v>
      </c>
      <c r="G51" s="40">
        <f>'[4]Other Assumptions'!I51</f>
        <v>0</v>
      </c>
      <c r="H51" s="40">
        <f>'[4]Other Assumptions'!J51</f>
        <v>0.02</v>
      </c>
      <c r="I51" s="40">
        <f>'[4]Other Assumptions'!K51</f>
        <v>0.04</v>
      </c>
      <c r="J51" s="40">
        <f>'[4]Other Assumptions'!L51</f>
        <v>0.06</v>
      </c>
      <c r="K51" s="40">
        <f>'[4]Other Assumptions'!M51</f>
        <v>0.08</v>
      </c>
      <c r="L51" s="40">
        <f>'[4]Other Assumptions'!N51</f>
        <v>0.1</v>
      </c>
      <c r="M51" s="40">
        <f>'[4]Other Assumptions'!O51</f>
        <v>0.12</v>
      </c>
      <c r="N51" s="40">
        <f>'[4]Other Assumptions'!P51</f>
        <v>0.14000000000000001</v>
      </c>
      <c r="O51" s="41">
        <f>'[4]Other Assumptions'!Q51</f>
        <v>0.16</v>
      </c>
    </row>
    <row r="52" spans="1:15" ht="15.75" x14ac:dyDescent="0.25">
      <c r="A52" s="16" t="s">
        <v>41</v>
      </c>
      <c r="B52" s="19">
        <f>'[4]Other Assumptions'!D90</f>
        <v>0</v>
      </c>
      <c r="C52" s="20">
        <f>'[4]Other Assumptions'!E90</f>
        <v>0</v>
      </c>
      <c r="D52" s="20">
        <f>'[4]Other Assumptions'!F90</f>
        <v>0</v>
      </c>
      <c r="E52" s="20">
        <f>'[4]Other Assumptions'!G90</f>
        <v>0</v>
      </c>
      <c r="F52" s="20">
        <f>'[4]Other Assumptions'!H90</f>
        <v>0</v>
      </c>
      <c r="G52" s="40">
        <f>'[4]Other Assumptions'!I52</f>
        <v>0</v>
      </c>
      <c r="H52" s="40">
        <f>'[4]Other Assumptions'!J52</f>
        <v>0.02</v>
      </c>
      <c r="I52" s="40">
        <f>'[4]Other Assumptions'!K52</f>
        <v>0.04</v>
      </c>
      <c r="J52" s="40">
        <f>'[4]Other Assumptions'!L52</f>
        <v>0.06</v>
      </c>
      <c r="K52" s="40">
        <f>'[4]Other Assumptions'!M52</f>
        <v>0.08</v>
      </c>
      <c r="L52" s="40">
        <f>'[4]Other Assumptions'!N52</f>
        <v>0.1</v>
      </c>
      <c r="M52" s="40">
        <f>'[4]Other Assumptions'!O52</f>
        <v>0.12</v>
      </c>
      <c r="N52" s="40">
        <f>'[4]Other Assumptions'!P52</f>
        <v>0.14000000000000001</v>
      </c>
      <c r="O52" s="41">
        <f>'[4]Other Assumptions'!Q52</f>
        <v>0.16</v>
      </c>
    </row>
    <row r="53" spans="1:15" ht="15.75" x14ac:dyDescent="0.25">
      <c r="A53" s="16" t="s">
        <v>42</v>
      </c>
      <c r="B53" s="19">
        <f>'[4]Other Assumptions'!D91</f>
        <v>0</v>
      </c>
      <c r="C53" s="20">
        <f>'[4]Other Assumptions'!E91</f>
        <v>0</v>
      </c>
      <c r="D53" s="20">
        <f>'[4]Other Assumptions'!F91</f>
        <v>0</v>
      </c>
      <c r="E53" s="20">
        <f>'[4]Other Assumptions'!G91</f>
        <v>0</v>
      </c>
      <c r="F53" s="20">
        <f>'[4]Other Assumptions'!H91</f>
        <v>0</v>
      </c>
      <c r="G53" s="40">
        <f>'[4]Other Assumptions'!I53</f>
        <v>0</v>
      </c>
      <c r="H53" s="40">
        <f>'[4]Other Assumptions'!J53</f>
        <v>0.02</v>
      </c>
      <c r="I53" s="40">
        <f>'[4]Other Assumptions'!K53</f>
        <v>0.04</v>
      </c>
      <c r="J53" s="40">
        <f>'[4]Other Assumptions'!L53</f>
        <v>0.06</v>
      </c>
      <c r="K53" s="40">
        <f>'[4]Other Assumptions'!M53</f>
        <v>0.08</v>
      </c>
      <c r="L53" s="40">
        <f>'[4]Other Assumptions'!N53</f>
        <v>0.1</v>
      </c>
      <c r="M53" s="40">
        <f>'[4]Other Assumptions'!O53</f>
        <v>0.12</v>
      </c>
      <c r="N53" s="40">
        <f>'[4]Other Assumptions'!P53</f>
        <v>0.14000000000000001</v>
      </c>
      <c r="O53" s="41">
        <f>'[4]Other Assumptions'!Q53</f>
        <v>0.16</v>
      </c>
    </row>
    <row r="54" spans="1:15" ht="15.75" x14ac:dyDescent="0.25">
      <c r="A54" s="16" t="s">
        <v>43</v>
      </c>
      <c r="B54" s="19">
        <f>'[4]Other Assumptions'!D92</f>
        <v>0</v>
      </c>
      <c r="C54" s="20">
        <f>'[4]Other Assumptions'!E92</f>
        <v>0</v>
      </c>
      <c r="D54" s="20">
        <f>'[4]Other Assumptions'!F92</f>
        <v>0</v>
      </c>
      <c r="E54" s="20">
        <f>'[4]Other Assumptions'!G92</f>
        <v>0</v>
      </c>
      <c r="F54" s="20">
        <f>'[4]Other Assumptions'!H92</f>
        <v>0</v>
      </c>
      <c r="G54" s="40">
        <f>'[4]Other Assumptions'!I54</f>
        <v>0</v>
      </c>
      <c r="H54" s="40">
        <f>'[4]Other Assumptions'!J54</f>
        <v>0.02</v>
      </c>
      <c r="I54" s="40">
        <f>'[4]Other Assumptions'!K54</f>
        <v>0.04</v>
      </c>
      <c r="J54" s="40">
        <f>'[4]Other Assumptions'!L54</f>
        <v>0.06</v>
      </c>
      <c r="K54" s="40">
        <f>'[4]Other Assumptions'!M54</f>
        <v>0.08</v>
      </c>
      <c r="L54" s="40">
        <f>'[4]Other Assumptions'!N54</f>
        <v>0.1</v>
      </c>
      <c r="M54" s="40">
        <f>'[4]Other Assumptions'!O54</f>
        <v>0.12</v>
      </c>
      <c r="N54" s="40">
        <f>'[4]Other Assumptions'!P54</f>
        <v>0.14000000000000001</v>
      </c>
      <c r="O54" s="41">
        <f>'[4]Other Assumptions'!Q54</f>
        <v>0.16</v>
      </c>
    </row>
    <row r="55" spans="1:15" ht="15.75" x14ac:dyDescent="0.25">
      <c r="A55" s="16" t="s">
        <v>44</v>
      </c>
      <c r="B55" s="19">
        <f>'[4]Other Assumptions'!D93</f>
        <v>0</v>
      </c>
      <c r="C55" s="20">
        <f>'[4]Other Assumptions'!E93</f>
        <v>0</v>
      </c>
      <c r="D55" s="20">
        <f>'[4]Other Assumptions'!F93</f>
        <v>0</v>
      </c>
      <c r="E55" s="20">
        <f>'[4]Other Assumptions'!G93</f>
        <v>0</v>
      </c>
      <c r="F55" s="20">
        <f>'[4]Other Assumptions'!H93</f>
        <v>0</v>
      </c>
      <c r="G55" s="40">
        <f>'[4]Other Assumptions'!I55</f>
        <v>0</v>
      </c>
      <c r="H55" s="40">
        <f>'[4]Other Assumptions'!J55</f>
        <v>0.02</v>
      </c>
      <c r="I55" s="40">
        <f>'[4]Other Assumptions'!K55</f>
        <v>0.04</v>
      </c>
      <c r="J55" s="40">
        <f>'[4]Other Assumptions'!L55</f>
        <v>0.06</v>
      </c>
      <c r="K55" s="40">
        <f>'[4]Other Assumptions'!M55</f>
        <v>0.08</v>
      </c>
      <c r="L55" s="40">
        <f>'[4]Other Assumptions'!N55</f>
        <v>0.1</v>
      </c>
      <c r="M55" s="40">
        <f>'[4]Other Assumptions'!O55</f>
        <v>0.12</v>
      </c>
      <c r="N55" s="40">
        <f>'[4]Other Assumptions'!P55</f>
        <v>0.14000000000000001</v>
      </c>
      <c r="O55" s="41">
        <f>'[4]Other Assumptions'!Q55</f>
        <v>0.16</v>
      </c>
    </row>
    <row r="56" spans="1:15" ht="15.75" x14ac:dyDescent="0.25">
      <c r="A56" s="16" t="s">
        <v>45</v>
      </c>
      <c r="B56" s="19">
        <f>'[4]Other Assumptions'!D94</f>
        <v>0</v>
      </c>
      <c r="C56" s="20">
        <f>'[4]Other Assumptions'!E94</f>
        <v>0</v>
      </c>
      <c r="D56" s="20">
        <f>'[4]Other Assumptions'!F94</f>
        <v>0</v>
      </c>
      <c r="E56" s="20">
        <f>'[4]Other Assumptions'!G94</f>
        <v>0</v>
      </c>
      <c r="F56" s="20">
        <f>'[4]Other Assumptions'!H94</f>
        <v>0</v>
      </c>
      <c r="G56" s="40">
        <f>'[4]Other Assumptions'!I56</f>
        <v>0</v>
      </c>
      <c r="H56" s="40">
        <f>'[4]Other Assumptions'!J56</f>
        <v>0.02</v>
      </c>
      <c r="I56" s="40">
        <f>'[4]Other Assumptions'!K56</f>
        <v>0.04</v>
      </c>
      <c r="J56" s="40">
        <f>'[4]Other Assumptions'!L56</f>
        <v>0.06</v>
      </c>
      <c r="K56" s="40">
        <f>'[4]Other Assumptions'!M56</f>
        <v>0.08</v>
      </c>
      <c r="L56" s="40">
        <f>'[4]Other Assumptions'!N56</f>
        <v>0.1</v>
      </c>
      <c r="M56" s="40">
        <f>'[4]Other Assumptions'!O56</f>
        <v>0.12</v>
      </c>
      <c r="N56" s="40">
        <f>'[4]Other Assumptions'!P56</f>
        <v>0.14000000000000001</v>
      </c>
      <c r="O56" s="41">
        <f>'[4]Other Assumptions'!Q56</f>
        <v>0.16</v>
      </c>
    </row>
    <row r="57" spans="1:15" ht="16.5" thickBot="1" x14ac:dyDescent="0.3">
      <c r="A57" s="23" t="s">
        <v>46</v>
      </c>
      <c r="B57" s="24">
        <f>'[4]Other Assumptions'!D95</f>
        <v>0</v>
      </c>
      <c r="C57" s="25">
        <f>'[4]Other Assumptions'!E95</f>
        <v>0</v>
      </c>
      <c r="D57" s="25">
        <f>'[4]Other Assumptions'!F95</f>
        <v>0</v>
      </c>
      <c r="E57" s="25">
        <f>'[4]Other Assumptions'!G95</f>
        <v>0</v>
      </c>
      <c r="F57" s="25">
        <f>'[4]Other Assumptions'!H95</f>
        <v>0</v>
      </c>
      <c r="G57" s="53">
        <f>'[4]Other Assumptions'!I57</f>
        <v>0</v>
      </c>
      <c r="H57" s="53">
        <f>'[4]Other Assumptions'!J57</f>
        <v>0.02</v>
      </c>
      <c r="I57" s="53">
        <f>'[4]Other Assumptions'!K57</f>
        <v>0.04</v>
      </c>
      <c r="J57" s="53">
        <f>'[4]Other Assumptions'!L57</f>
        <v>0.06</v>
      </c>
      <c r="K57" s="53">
        <f>'[4]Other Assumptions'!M57</f>
        <v>0.08</v>
      </c>
      <c r="L57" s="53">
        <f>'[4]Other Assumptions'!N57</f>
        <v>0.1</v>
      </c>
      <c r="M57" s="53">
        <f>'[4]Other Assumptions'!O57</f>
        <v>0.12</v>
      </c>
      <c r="N57" s="53">
        <f>'[4]Other Assumptions'!P57</f>
        <v>0.14000000000000001</v>
      </c>
      <c r="O57" s="54">
        <f>'[4]Other Assumptions'!Q57</f>
        <v>0.16</v>
      </c>
    </row>
    <row r="58" spans="1:15" ht="13.5" thickTop="1" x14ac:dyDescent="0.2"/>
    <row r="59" spans="1:15" ht="13.5" thickBot="1" x14ac:dyDescent="0.25"/>
    <row r="60" spans="1:15" ht="16.5" thickTop="1" x14ac:dyDescent="0.25">
      <c r="A60" s="6" t="s">
        <v>47</v>
      </c>
      <c r="B60" s="7"/>
      <c r="C60" s="8"/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9"/>
    </row>
    <row r="61" spans="1:15" ht="13.5" thickBot="1" x14ac:dyDescent="0.25">
      <c r="A61" s="10"/>
      <c r="B61" s="11" t="s">
        <v>22</v>
      </c>
      <c r="C61" s="11" t="s">
        <v>23</v>
      </c>
      <c r="D61" s="11" t="s">
        <v>24</v>
      </c>
      <c r="E61" s="11" t="s">
        <v>118</v>
      </c>
      <c r="F61" s="11" t="s">
        <v>119</v>
      </c>
      <c r="G61" s="11" t="s">
        <v>25</v>
      </c>
      <c r="H61" s="11" t="s">
        <v>26</v>
      </c>
      <c r="I61" s="11" t="s">
        <v>27</v>
      </c>
      <c r="J61" s="11" t="s">
        <v>28</v>
      </c>
      <c r="K61" s="11" t="s">
        <v>29</v>
      </c>
      <c r="L61" s="11" t="s">
        <v>30</v>
      </c>
      <c r="M61" s="11" t="s">
        <v>120</v>
      </c>
      <c r="N61" s="11" t="s">
        <v>121</v>
      </c>
      <c r="O61" s="12" t="s">
        <v>122</v>
      </c>
    </row>
    <row r="62" spans="1:15" ht="14.25" thickTop="1" thickBot="1" x14ac:dyDescent="0.25">
      <c r="A62" s="13"/>
      <c r="B62" s="14" t="s">
        <v>31</v>
      </c>
      <c r="C62" s="14" t="s">
        <v>31</v>
      </c>
      <c r="D62" s="14" t="s">
        <v>31</v>
      </c>
      <c r="E62" s="14" t="s">
        <v>31</v>
      </c>
      <c r="F62" s="14" t="s">
        <v>31</v>
      </c>
      <c r="G62" s="14" t="s">
        <v>32</v>
      </c>
      <c r="H62" s="14" t="s">
        <v>32</v>
      </c>
      <c r="I62" s="14" t="s">
        <v>32</v>
      </c>
      <c r="J62" s="14" t="s">
        <v>32</v>
      </c>
      <c r="K62" s="14" t="s">
        <v>32</v>
      </c>
      <c r="L62" s="14" t="s">
        <v>32</v>
      </c>
      <c r="M62" s="14" t="s">
        <v>32</v>
      </c>
      <c r="N62" s="14" t="s">
        <v>32</v>
      </c>
      <c r="O62" s="15" t="s">
        <v>32</v>
      </c>
    </row>
    <row r="63" spans="1:15" ht="13.5" thickTop="1" x14ac:dyDescent="0.2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ht="15.75" x14ac:dyDescent="0.25">
      <c r="A64" s="16" t="s">
        <v>34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</row>
    <row r="65" spans="1:15" ht="15.75" x14ac:dyDescent="0.25">
      <c r="A65" s="16" t="s">
        <v>48</v>
      </c>
      <c r="B65" s="31"/>
      <c r="C65" s="31"/>
      <c r="D65" s="31"/>
      <c r="E65" s="31"/>
      <c r="F65" s="31"/>
      <c r="G65" s="31"/>
      <c r="H65" s="29"/>
      <c r="I65" s="29"/>
      <c r="J65" s="29"/>
      <c r="K65" s="29"/>
      <c r="L65" s="29"/>
      <c r="M65" s="33"/>
      <c r="N65" s="33"/>
      <c r="O65" s="55"/>
    </row>
    <row r="66" spans="1:15" ht="15.75" x14ac:dyDescent="0.25">
      <c r="A66" s="16" t="s">
        <v>49</v>
      </c>
      <c r="B66" s="29"/>
      <c r="C66" s="29"/>
      <c r="D66" s="29"/>
      <c r="E66" s="29"/>
      <c r="F66" s="29"/>
      <c r="G66" s="40">
        <f>'[4]Other Assumptions'!I66</f>
        <v>0</v>
      </c>
      <c r="H66" s="40">
        <f>'[4]Other Assumptions'!J66</f>
        <v>0</v>
      </c>
      <c r="I66" s="40">
        <f>'[4]Other Assumptions'!K66</f>
        <v>0</v>
      </c>
      <c r="J66" s="40">
        <f>'[4]Other Assumptions'!L66</f>
        <v>0</v>
      </c>
      <c r="K66" s="40">
        <f>'[4]Other Assumptions'!M66</f>
        <v>0</v>
      </c>
      <c r="L66" s="40">
        <f>'[4]Other Assumptions'!N66</f>
        <v>0</v>
      </c>
      <c r="M66" s="40">
        <f>'[4]Other Assumptions'!O66</f>
        <v>0</v>
      </c>
      <c r="N66" s="40">
        <f>'[4]Other Assumptions'!P66</f>
        <v>0</v>
      </c>
      <c r="O66" s="41">
        <f>'[4]Other Assumptions'!Q66</f>
        <v>0</v>
      </c>
    </row>
    <row r="67" spans="1:15" ht="15.75" x14ac:dyDescent="0.25">
      <c r="A67" s="16" t="s">
        <v>50</v>
      </c>
      <c r="B67" s="29"/>
      <c r="C67" s="29"/>
      <c r="D67" s="29"/>
      <c r="E67" s="29"/>
      <c r="F67" s="29"/>
      <c r="G67" s="40">
        <f>'[4]Other Assumptions'!I67</f>
        <v>0</v>
      </c>
      <c r="H67" s="40">
        <f>'[4]Other Assumptions'!J67</f>
        <v>0</v>
      </c>
      <c r="I67" s="40">
        <f>'[4]Other Assumptions'!K67</f>
        <v>0</v>
      </c>
      <c r="J67" s="40">
        <f>'[4]Other Assumptions'!L67</f>
        <v>0</v>
      </c>
      <c r="K67" s="40">
        <f>'[4]Other Assumptions'!M67</f>
        <v>0</v>
      </c>
      <c r="L67" s="40">
        <f>'[4]Other Assumptions'!N67</f>
        <v>0</v>
      </c>
      <c r="M67" s="40">
        <f>'[4]Other Assumptions'!O67</f>
        <v>0</v>
      </c>
      <c r="N67" s="40">
        <f>'[4]Other Assumptions'!P67</f>
        <v>0</v>
      </c>
      <c r="O67" s="41">
        <f>'[4]Other Assumptions'!Q67</f>
        <v>0</v>
      </c>
    </row>
    <row r="68" spans="1:15" ht="15.75" x14ac:dyDescent="0.25">
      <c r="A68" s="16" t="s">
        <v>51</v>
      </c>
      <c r="B68" s="29"/>
      <c r="C68" s="29"/>
      <c r="D68" s="29"/>
      <c r="E68" s="29"/>
      <c r="F68" s="29"/>
      <c r="G68" s="33"/>
      <c r="H68" s="33"/>
      <c r="I68" s="33"/>
      <c r="J68" s="33"/>
      <c r="K68" s="33"/>
      <c r="L68" s="33"/>
      <c r="M68" s="33"/>
      <c r="N68" s="33"/>
      <c r="O68" s="55"/>
    </row>
    <row r="69" spans="1:15" ht="15.75" x14ac:dyDescent="0.25">
      <c r="A69" s="16" t="s">
        <v>52</v>
      </c>
      <c r="B69" s="29"/>
      <c r="C69" s="29"/>
      <c r="D69" s="29"/>
      <c r="E69" s="29"/>
      <c r="F69" s="29"/>
      <c r="G69" s="40">
        <f>'[4]Other Assumptions'!I69</f>
        <v>0</v>
      </c>
      <c r="H69" s="40">
        <f>'[4]Other Assumptions'!J69</f>
        <v>0</v>
      </c>
      <c r="I69" s="40">
        <f>'[4]Other Assumptions'!K69</f>
        <v>0</v>
      </c>
      <c r="J69" s="40">
        <f>'[4]Other Assumptions'!L69</f>
        <v>0</v>
      </c>
      <c r="K69" s="40">
        <f>'[4]Other Assumptions'!M69</f>
        <v>0</v>
      </c>
      <c r="L69" s="40">
        <f>'[4]Other Assumptions'!N69</f>
        <v>0</v>
      </c>
      <c r="M69" s="40">
        <f>'[4]Other Assumptions'!O69</f>
        <v>0</v>
      </c>
      <c r="N69" s="40">
        <f>'[4]Other Assumptions'!P69</f>
        <v>0</v>
      </c>
      <c r="O69" s="41">
        <f>'[4]Other Assumptions'!Q69</f>
        <v>0</v>
      </c>
    </row>
    <row r="70" spans="1:15" ht="15.75" x14ac:dyDescent="0.25">
      <c r="A70" s="16" t="s">
        <v>53</v>
      </c>
      <c r="B70" s="29"/>
      <c r="C70" s="29"/>
      <c r="D70" s="29"/>
      <c r="E70" s="29"/>
      <c r="F70" s="29"/>
      <c r="G70" s="40">
        <f>'[4]Other Assumptions'!I70</f>
        <v>0</v>
      </c>
      <c r="H70" s="40">
        <f>'[4]Other Assumptions'!J70</f>
        <v>0</v>
      </c>
      <c r="I70" s="40">
        <f>'[4]Other Assumptions'!K70</f>
        <v>0</v>
      </c>
      <c r="J70" s="40">
        <f>'[4]Other Assumptions'!L70</f>
        <v>0</v>
      </c>
      <c r="K70" s="40">
        <f>'[4]Other Assumptions'!M70</f>
        <v>0</v>
      </c>
      <c r="L70" s="40">
        <f>'[4]Other Assumptions'!N70</f>
        <v>0</v>
      </c>
      <c r="M70" s="40">
        <f>'[4]Other Assumptions'!O70</f>
        <v>0</v>
      </c>
      <c r="N70" s="40">
        <f>'[4]Other Assumptions'!P70</f>
        <v>0</v>
      </c>
      <c r="O70" s="41">
        <f>'[4]Other Assumptions'!Q70</f>
        <v>0</v>
      </c>
    </row>
    <row r="71" spans="1:15" ht="15.75" x14ac:dyDescent="0.25">
      <c r="A71" s="16" t="s">
        <v>54</v>
      </c>
      <c r="B71" s="29"/>
      <c r="C71" s="29"/>
      <c r="D71" s="29"/>
      <c r="E71" s="29"/>
      <c r="F71" s="29"/>
      <c r="G71" s="40">
        <f>'[4]Other Assumptions'!I71</f>
        <v>0</v>
      </c>
      <c r="H71" s="40">
        <f>'[4]Other Assumptions'!J71</f>
        <v>0</v>
      </c>
      <c r="I71" s="40">
        <f>'[4]Other Assumptions'!K71</f>
        <v>0</v>
      </c>
      <c r="J71" s="40">
        <f>'[4]Other Assumptions'!L71</f>
        <v>0</v>
      </c>
      <c r="K71" s="40">
        <f>'[4]Other Assumptions'!M71</f>
        <v>0</v>
      </c>
      <c r="L71" s="40">
        <f>'[4]Other Assumptions'!N71</f>
        <v>0</v>
      </c>
      <c r="M71" s="40">
        <f>'[4]Other Assumptions'!O71</f>
        <v>0</v>
      </c>
      <c r="N71" s="40">
        <f>'[4]Other Assumptions'!P71</f>
        <v>0</v>
      </c>
      <c r="O71" s="41">
        <f>'[4]Other Assumptions'!Q71</f>
        <v>0</v>
      </c>
    </row>
    <row r="72" spans="1:15" ht="15.75" x14ac:dyDescent="0.25">
      <c r="A72" s="16" t="s">
        <v>55</v>
      </c>
      <c r="B72" s="29"/>
      <c r="C72" s="29"/>
      <c r="D72" s="29"/>
      <c r="E72" s="29"/>
      <c r="F72" s="29"/>
      <c r="G72" s="40">
        <f>'[4]Other Assumptions'!I72</f>
        <v>0</v>
      </c>
      <c r="H72" s="40">
        <f>'[4]Other Assumptions'!J72</f>
        <v>0</v>
      </c>
      <c r="I72" s="40">
        <f>'[4]Other Assumptions'!K72</f>
        <v>0</v>
      </c>
      <c r="J72" s="40">
        <f>'[4]Other Assumptions'!L72</f>
        <v>0</v>
      </c>
      <c r="K72" s="40">
        <f>'[4]Other Assumptions'!M72</f>
        <v>0</v>
      </c>
      <c r="L72" s="40">
        <f>'[4]Other Assumptions'!N72</f>
        <v>0</v>
      </c>
      <c r="M72" s="40">
        <f>'[4]Other Assumptions'!O72</f>
        <v>0</v>
      </c>
      <c r="N72" s="40">
        <f>'[4]Other Assumptions'!P72</f>
        <v>0</v>
      </c>
      <c r="O72" s="41">
        <f>'[4]Other Assumptions'!Q72</f>
        <v>0</v>
      </c>
    </row>
    <row r="73" spans="1:15" ht="15.75" x14ac:dyDescent="0.25">
      <c r="A73" s="16" t="s">
        <v>56</v>
      </c>
      <c r="B73" s="29"/>
      <c r="C73" s="29"/>
      <c r="D73" s="29"/>
      <c r="E73" s="29"/>
      <c r="F73" s="29"/>
      <c r="G73" s="40">
        <f>'[4]Other Assumptions'!I73</f>
        <v>0</v>
      </c>
      <c r="H73" s="40">
        <f>'[4]Other Assumptions'!J73</f>
        <v>0</v>
      </c>
      <c r="I73" s="40">
        <f>'[4]Other Assumptions'!K73</f>
        <v>0</v>
      </c>
      <c r="J73" s="40">
        <f>'[4]Other Assumptions'!L73</f>
        <v>0</v>
      </c>
      <c r="K73" s="40">
        <f>'[4]Other Assumptions'!M73</f>
        <v>0</v>
      </c>
      <c r="L73" s="40">
        <f>'[4]Other Assumptions'!N73</f>
        <v>0</v>
      </c>
      <c r="M73" s="40">
        <f>'[4]Other Assumptions'!O73</f>
        <v>0</v>
      </c>
      <c r="N73" s="40">
        <f>'[4]Other Assumptions'!P73</f>
        <v>0</v>
      </c>
      <c r="O73" s="41">
        <f>'[4]Other Assumptions'!Q73</f>
        <v>0</v>
      </c>
    </row>
    <row r="74" spans="1:15" x14ac:dyDescent="0.2">
      <c r="A74" s="32"/>
      <c r="B74" s="29"/>
      <c r="C74" s="29"/>
      <c r="D74" s="29"/>
      <c r="E74" s="29"/>
      <c r="F74" s="29"/>
      <c r="G74" s="33"/>
      <c r="H74" s="33"/>
      <c r="I74" s="33"/>
      <c r="J74" s="33"/>
      <c r="K74" s="33"/>
      <c r="L74" s="33"/>
      <c r="M74" s="33"/>
      <c r="N74" s="33"/>
      <c r="O74" s="55"/>
    </row>
    <row r="75" spans="1:15" ht="15.75" x14ac:dyDescent="0.25">
      <c r="A75" s="16" t="s">
        <v>41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3"/>
      <c r="N75" s="33"/>
      <c r="O75" s="55"/>
    </row>
    <row r="76" spans="1:15" ht="15.75" x14ac:dyDescent="0.25">
      <c r="A76" s="16" t="s">
        <v>48</v>
      </c>
      <c r="B76" s="31"/>
      <c r="C76" s="31"/>
      <c r="D76" s="31"/>
      <c r="E76" s="31"/>
      <c r="F76" s="31"/>
      <c r="G76" s="31"/>
      <c r="H76" s="33"/>
      <c r="I76" s="29"/>
      <c r="J76" s="29"/>
      <c r="K76" s="29"/>
      <c r="L76" s="29"/>
      <c r="M76" s="33"/>
      <c r="N76" s="33"/>
      <c r="O76" s="55"/>
    </row>
    <row r="77" spans="1:15" ht="15.75" x14ac:dyDescent="0.25">
      <c r="A77" s="16" t="s">
        <v>49</v>
      </c>
      <c r="B77" s="29"/>
      <c r="C77" s="29"/>
      <c r="D77" s="29"/>
      <c r="E77" s="29"/>
      <c r="F77" s="29"/>
      <c r="G77" s="40">
        <f>'[4]Other Assumptions'!I77</f>
        <v>0</v>
      </c>
      <c r="H77" s="40">
        <f>'[4]Other Assumptions'!J77</f>
        <v>0</v>
      </c>
      <c r="I77" s="40">
        <f>'[4]Other Assumptions'!K77</f>
        <v>0</v>
      </c>
      <c r="J77" s="40">
        <f>'[4]Other Assumptions'!L77</f>
        <v>0</v>
      </c>
      <c r="K77" s="40">
        <f>'[4]Other Assumptions'!M77</f>
        <v>0</v>
      </c>
      <c r="L77" s="40">
        <f>'[4]Other Assumptions'!N77</f>
        <v>0</v>
      </c>
      <c r="M77" s="40">
        <f>'[4]Other Assumptions'!O77</f>
        <v>0</v>
      </c>
      <c r="N77" s="40">
        <f>'[4]Other Assumptions'!P77</f>
        <v>0</v>
      </c>
      <c r="O77" s="41">
        <f>'[4]Other Assumptions'!Q77</f>
        <v>0</v>
      </c>
    </row>
    <row r="78" spans="1:15" ht="15.75" x14ac:dyDescent="0.25">
      <c r="A78" s="16" t="s">
        <v>50</v>
      </c>
      <c r="B78" s="29"/>
      <c r="C78" s="29"/>
      <c r="D78" s="29"/>
      <c r="E78" s="29"/>
      <c r="F78" s="29"/>
      <c r="G78" s="40">
        <f>'[4]Other Assumptions'!I78</f>
        <v>0</v>
      </c>
      <c r="H78" s="40">
        <f>'[4]Other Assumptions'!J78</f>
        <v>0</v>
      </c>
      <c r="I78" s="40">
        <f>'[4]Other Assumptions'!K78</f>
        <v>0</v>
      </c>
      <c r="J78" s="40">
        <f>'[4]Other Assumptions'!L78</f>
        <v>0</v>
      </c>
      <c r="K78" s="40">
        <f>'[4]Other Assumptions'!M78</f>
        <v>0</v>
      </c>
      <c r="L78" s="40">
        <f>'[4]Other Assumptions'!N78</f>
        <v>0</v>
      </c>
      <c r="M78" s="40">
        <f>'[4]Other Assumptions'!O78</f>
        <v>0</v>
      </c>
      <c r="N78" s="40">
        <f>'[4]Other Assumptions'!P78</f>
        <v>0</v>
      </c>
      <c r="O78" s="41">
        <f>'[4]Other Assumptions'!Q78</f>
        <v>0</v>
      </c>
    </row>
    <row r="79" spans="1:15" ht="15.75" x14ac:dyDescent="0.25">
      <c r="A79" s="16" t="s">
        <v>51</v>
      </c>
      <c r="B79" s="29"/>
      <c r="C79" s="29"/>
      <c r="D79" s="29"/>
      <c r="E79" s="29"/>
      <c r="F79" s="29"/>
      <c r="G79" s="33"/>
      <c r="H79" s="33"/>
      <c r="I79" s="33"/>
      <c r="J79" s="33"/>
      <c r="K79" s="33"/>
      <c r="L79" s="33"/>
      <c r="M79" s="33"/>
      <c r="N79" s="33"/>
      <c r="O79" s="55"/>
    </row>
    <row r="80" spans="1:15" ht="15.75" x14ac:dyDescent="0.25">
      <c r="A80" s="16" t="s">
        <v>52</v>
      </c>
      <c r="B80" s="29"/>
      <c r="C80" s="29"/>
      <c r="D80" s="29"/>
      <c r="E80" s="29"/>
      <c r="F80" s="29"/>
      <c r="G80" s="40">
        <f>'[4]Other Assumptions'!I80</f>
        <v>0</v>
      </c>
      <c r="H80" s="40">
        <f>'[4]Other Assumptions'!J80</f>
        <v>0</v>
      </c>
      <c r="I80" s="40">
        <f>'[4]Other Assumptions'!K80</f>
        <v>0</v>
      </c>
      <c r="J80" s="40">
        <f>'[4]Other Assumptions'!L80</f>
        <v>0</v>
      </c>
      <c r="K80" s="40">
        <f>'[4]Other Assumptions'!M80</f>
        <v>0</v>
      </c>
      <c r="L80" s="40">
        <f>'[4]Other Assumptions'!N80</f>
        <v>0</v>
      </c>
      <c r="M80" s="40">
        <f>'[4]Other Assumptions'!O80</f>
        <v>0</v>
      </c>
      <c r="N80" s="40">
        <f>'[4]Other Assumptions'!P80</f>
        <v>0</v>
      </c>
      <c r="O80" s="41">
        <f>'[4]Other Assumptions'!Q80</f>
        <v>0</v>
      </c>
    </row>
    <row r="81" spans="1:15" ht="15.75" x14ac:dyDescent="0.25">
      <c r="A81" s="16" t="s">
        <v>53</v>
      </c>
      <c r="B81" s="29"/>
      <c r="C81" s="29"/>
      <c r="D81" s="29"/>
      <c r="E81" s="29"/>
      <c r="F81" s="29"/>
      <c r="G81" s="40">
        <f>'[4]Other Assumptions'!I81</f>
        <v>0</v>
      </c>
      <c r="H81" s="40">
        <f>'[4]Other Assumptions'!J81</f>
        <v>0</v>
      </c>
      <c r="I81" s="40">
        <f>'[4]Other Assumptions'!K81</f>
        <v>0</v>
      </c>
      <c r="J81" s="40">
        <f>'[4]Other Assumptions'!L81</f>
        <v>0</v>
      </c>
      <c r="K81" s="40">
        <f>'[4]Other Assumptions'!M81</f>
        <v>0</v>
      </c>
      <c r="L81" s="40">
        <f>'[4]Other Assumptions'!N81</f>
        <v>0</v>
      </c>
      <c r="M81" s="40">
        <f>'[4]Other Assumptions'!O81</f>
        <v>0</v>
      </c>
      <c r="N81" s="40">
        <f>'[4]Other Assumptions'!P81</f>
        <v>0</v>
      </c>
      <c r="O81" s="41">
        <f>'[4]Other Assumptions'!Q81</f>
        <v>0</v>
      </c>
    </row>
    <row r="82" spans="1:15" ht="15.75" x14ac:dyDescent="0.25">
      <c r="A82" s="16" t="s">
        <v>54</v>
      </c>
      <c r="B82" s="29"/>
      <c r="C82" s="29"/>
      <c r="D82" s="29"/>
      <c r="E82" s="29"/>
      <c r="F82" s="29"/>
      <c r="G82" s="40">
        <f>'[4]Other Assumptions'!I82</f>
        <v>0</v>
      </c>
      <c r="H82" s="40">
        <f>'[4]Other Assumptions'!J82</f>
        <v>0</v>
      </c>
      <c r="I82" s="40">
        <f>'[4]Other Assumptions'!K82</f>
        <v>0</v>
      </c>
      <c r="J82" s="40">
        <f>'[4]Other Assumptions'!L82</f>
        <v>0</v>
      </c>
      <c r="K82" s="40">
        <f>'[4]Other Assumptions'!M82</f>
        <v>0</v>
      </c>
      <c r="L82" s="40">
        <f>'[4]Other Assumptions'!N82</f>
        <v>0</v>
      </c>
      <c r="M82" s="40">
        <f>'[4]Other Assumptions'!O82</f>
        <v>0</v>
      </c>
      <c r="N82" s="40">
        <f>'[4]Other Assumptions'!P82</f>
        <v>0</v>
      </c>
      <c r="O82" s="41">
        <f>'[4]Other Assumptions'!Q82</f>
        <v>0</v>
      </c>
    </row>
    <row r="83" spans="1:15" ht="15.75" x14ac:dyDescent="0.25">
      <c r="A83" s="16" t="s">
        <v>55</v>
      </c>
      <c r="B83" s="29"/>
      <c r="C83" s="29"/>
      <c r="D83" s="29"/>
      <c r="E83" s="29"/>
      <c r="F83" s="29"/>
      <c r="G83" s="40">
        <f>'[4]Other Assumptions'!I83</f>
        <v>0</v>
      </c>
      <c r="H83" s="40">
        <f>'[4]Other Assumptions'!J83</f>
        <v>0</v>
      </c>
      <c r="I83" s="40">
        <f>'[4]Other Assumptions'!K83</f>
        <v>0</v>
      </c>
      <c r="J83" s="40">
        <f>'[4]Other Assumptions'!L83</f>
        <v>0</v>
      </c>
      <c r="K83" s="40">
        <f>'[4]Other Assumptions'!M83</f>
        <v>0</v>
      </c>
      <c r="L83" s="40">
        <f>'[4]Other Assumptions'!N83</f>
        <v>0</v>
      </c>
      <c r="M83" s="40">
        <f>'[4]Other Assumptions'!O83</f>
        <v>0</v>
      </c>
      <c r="N83" s="40">
        <f>'[4]Other Assumptions'!P83</f>
        <v>0</v>
      </c>
      <c r="O83" s="41">
        <f>'[4]Other Assumptions'!Q83</f>
        <v>0</v>
      </c>
    </row>
    <row r="84" spans="1:15" ht="15.75" x14ac:dyDescent="0.25">
      <c r="A84" s="16" t="s">
        <v>56</v>
      </c>
      <c r="B84" s="29"/>
      <c r="C84" s="29"/>
      <c r="D84" s="29"/>
      <c r="E84" s="29"/>
      <c r="F84" s="29"/>
      <c r="G84" s="40">
        <f>'[4]Other Assumptions'!I84</f>
        <v>0</v>
      </c>
      <c r="H84" s="40">
        <f>'[4]Other Assumptions'!J84</f>
        <v>0</v>
      </c>
      <c r="I84" s="40">
        <f>'[4]Other Assumptions'!K84</f>
        <v>0</v>
      </c>
      <c r="J84" s="40">
        <f>'[4]Other Assumptions'!L84</f>
        <v>0</v>
      </c>
      <c r="K84" s="40">
        <f>'[4]Other Assumptions'!M84</f>
        <v>0</v>
      </c>
      <c r="L84" s="40">
        <f>'[4]Other Assumptions'!N84</f>
        <v>0</v>
      </c>
      <c r="M84" s="40">
        <f>'[4]Other Assumptions'!O84</f>
        <v>0</v>
      </c>
      <c r="N84" s="40">
        <f>'[4]Other Assumptions'!P84</f>
        <v>0</v>
      </c>
      <c r="O84" s="41">
        <f>'[4]Other Assumptions'!Q84</f>
        <v>0</v>
      </c>
    </row>
    <row r="85" spans="1:15" x14ac:dyDescent="0.2">
      <c r="A85" s="3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3"/>
      <c r="N85" s="33"/>
      <c r="O85" s="55"/>
    </row>
    <row r="86" spans="1:15" ht="15.75" x14ac:dyDescent="0.25">
      <c r="A86" s="16" t="s">
        <v>44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3"/>
      <c r="N86" s="33"/>
      <c r="O86" s="55"/>
    </row>
    <row r="87" spans="1:15" ht="15.75" x14ac:dyDescent="0.25">
      <c r="A87" s="16" t="s">
        <v>48</v>
      </c>
      <c r="B87" s="31"/>
      <c r="C87" s="31"/>
      <c r="D87" s="31"/>
      <c r="E87" s="31"/>
      <c r="F87" s="31"/>
      <c r="G87" s="31"/>
      <c r="H87" s="29"/>
      <c r="I87" s="29"/>
      <c r="J87" s="29"/>
      <c r="K87" s="29"/>
      <c r="L87" s="29"/>
      <c r="M87" s="33"/>
      <c r="N87" s="33"/>
      <c r="O87" s="55"/>
    </row>
    <row r="88" spans="1:15" ht="15.75" x14ac:dyDescent="0.25">
      <c r="A88" s="16" t="s">
        <v>49</v>
      </c>
      <c r="B88" s="29"/>
      <c r="C88" s="29"/>
      <c r="D88" s="29"/>
      <c r="E88" s="29"/>
      <c r="F88" s="29"/>
      <c r="G88" s="40">
        <f>'[4]Other Assumptions'!I88</f>
        <v>0</v>
      </c>
      <c r="H88" s="40">
        <f>'[4]Other Assumptions'!J88</f>
        <v>0</v>
      </c>
      <c r="I88" s="40">
        <f>'[4]Other Assumptions'!K88</f>
        <v>0</v>
      </c>
      <c r="J88" s="40">
        <f>'[4]Other Assumptions'!L88</f>
        <v>0</v>
      </c>
      <c r="K88" s="40">
        <f>'[4]Other Assumptions'!M88</f>
        <v>0</v>
      </c>
      <c r="L88" s="40">
        <f>'[4]Other Assumptions'!N88</f>
        <v>0</v>
      </c>
      <c r="M88" s="40">
        <f>'[4]Other Assumptions'!O88</f>
        <v>0</v>
      </c>
      <c r="N88" s="40">
        <f>'[4]Other Assumptions'!P88</f>
        <v>0</v>
      </c>
      <c r="O88" s="41">
        <f>'[4]Other Assumptions'!Q88</f>
        <v>0</v>
      </c>
    </row>
    <row r="89" spans="1:15" ht="15.75" x14ac:dyDescent="0.25">
      <c r="A89" s="16" t="s">
        <v>50</v>
      </c>
      <c r="B89" s="29"/>
      <c r="C89" s="29"/>
      <c r="D89" s="29"/>
      <c r="E89" s="29"/>
      <c r="F89" s="29"/>
      <c r="G89" s="40">
        <f>'[4]Other Assumptions'!I89</f>
        <v>0</v>
      </c>
      <c r="H89" s="40">
        <f>'[4]Other Assumptions'!J89</f>
        <v>0</v>
      </c>
      <c r="I89" s="40">
        <f>'[4]Other Assumptions'!K89</f>
        <v>0</v>
      </c>
      <c r="J89" s="40">
        <f>'[4]Other Assumptions'!L89</f>
        <v>0</v>
      </c>
      <c r="K89" s="40">
        <f>'[4]Other Assumptions'!M89</f>
        <v>0</v>
      </c>
      <c r="L89" s="40">
        <f>'[4]Other Assumptions'!N89</f>
        <v>0</v>
      </c>
      <c r="M89" s="40">
        <f>'[4]Other Assumptions'!O89</f>
        <v>0</v>
      </c>
      <c r="N89" s="40">
        <f>'[4]Other Assumptions'!P89</f>
        <v>0</v>
      </c>
      <c r="O89" s="41">
        <f>'[4]Other Assumptions'!Q89</f>
        <v>0</v>
      </c>
    </row>
    <row r="90" spans="1:15" ht="15.75" x14ac:dyDescent="0.25">
      <c r="A90" s="16" t="s">
        <v>51</v>
      </c>
      <c r="B90" s="29"/>
      <c r="C90" s="29"/>
      <c r="D90" s="29"/>
      <c r="E90" s="29"/>
      <c r="F90" s="29"/>
      <c r="G90" s="33"/>
      <c r="H90" s="33"/>
      <c r="I90" s="33"/>
      <c r="J90" s="33"/>
      <c r="K90" s="33"/>
      <c r="L90" s="33"/>
      <c r="M90" s="33"/>
      <c r="N90" s="33"/>
      <c r="O90" s="55"/>
    </row>
    <row r="91" spans="1:15" ht="15.75" x14ac:dyDescent="0.25">
      <c r="A91" s="16" t="s">
        <v>52</v>
      </c>
      <c r="B91" s="29"/>
      <c r="C91" s="29"/>
      <c r="D91" s="29"/>
      <c r="E91" s="29"/>
      <c r="F91" s="29"/>
      <c r="G91" s="40">
        <f>'[4]Other Assumptions'!I91</f>
        <v>0</v>
      </c>
      <c r="H91" s="40">
        <f>'[4]Other Assumptions'!J91</f>
        <v>0</v>
      </c>
      <c r="I91" s="40">
        <f>'[4]Other Assumptions'!K91</f>
        <v>0</v>
      </c>
      <c r="J91" s="40">
        <f>'[4]Other Assumptions'!L91</f>
        <v>0</v>
      </c>
      <c r="K91" s="40">
        <f>'[4]Other Assumptions'!M91</f>
        <v>0</v>
      </c>
      <c r="L91" s="40">
        <f>'[4]Other Assumptions'!N91</f>
        <v>0</v>
      </c>
      <c r="M91" s="40">
        <f>'[4]Other Assumptions'!O91</f>
        <v>0</v>
      </c>
      <c r="N91" s="40">
        <f>'[4]Other Assumptions'!P91</f>
        <v>0</v>
      </c>
      <c r="O91" s="41">
        <f>'[4]Other Assumptions'!Q91</f>
        <v>0</v>
      </c>
    </row>
    <row r="92" spans="1:15" ht="15.75" x14ac:dyDescent="0.25">
      <c r="A92" s="16" t="s">
        <v>53</v>
      </c>
      <c r="B92" s="29"/>
      <c r="C92" s="29"/>
      <c r="D92" s="29"/>
      <c r="E92" s="29"/>
      <c r="F92" s="29"/>
      <c r="G92" s="40">
        <f>'[4]Other Assumptions'!I92</f>
        <v>0</v>
      </c>
      <c r="H92" s="40">
        <f>'[4]Other Assumptions'!J92</f>
        <v>0</v>
      </c>
      <c r="I92" s="40">
        <f>'[4]Other Assumptions'!K92</f>
        <v>0</v>
      </c>
      <c r="J92" s="40">
        <f>'[4]Other Assumptions'!L92</f>
        <v>0</v>
      </c>
      <c r="K92" s="40">
        <f>'[4]Other Assumptions'!M92</f>
        <v>0</v>
      </c>
      <c r="L92" s="40">
        <f>'[4]Other Assumptions'!N92</f>
        <v>0</v>
      </c>
      <c r="M92" s="40">
        <f>'[4]Other Assumptions'!O92</f>
        <v>0</v>
      </c>
      <c r="N92" s="40">
        <f>'[4]Other Assumptions'!P92</f>
        <v>0</v>
      </c>
      <c r="O92" s="41">
        <f>'[4]Other Assumptions'!Q92</f>
        <v>0</v>
      </c>
    </row>
    <row r="93" spans="1:15" ht="15.75" x14ac:dyDescent="0.25">
      <c r="A93" s="16" t="s">
        <v>54</v>
      </c>
      <c r="B93" s="29"/>
      <c r="C93" s="29"/>
      <c r="D93" s="29"/>
      <c r="E93" s="29"/>
      <c r="F93" s="29"/>
      <c r="G93" s="40">
        <f>'[4]Other Assumptions'!I93</f>
        <v>0</v>
      </c>
      <c r="H93" s="40">
        <f>'[4]Other Assumptions'!J93</f>
        <v>0</v>
      </c>
      <c r="I93" s="40">
        <f>'[4]Other Assumptions'!K93</f>
        <v>0</v>
      </c>
      <c r="J93" s="40">
        <f>'[4]Other Assumptions'!L93</f>
        <v>0</v>
      </c>
      <c r="K93" s="40">
        <f>'[4]Other Assumptions'!M93</f>
        <v>0</v>
      </c>
      <c r="L93" s="40">
        <f>'[4]Other Assumptions'!N93</f>
        <v>0</v>
      </c>
      <c r="M93" s="40">
        <f>'[4]Other Assumptions'!O93</f>
        <v>0</v>
      </c>
      <c r="N93" s="40">
        <f>'[4]Other Assumptions'!P93</f>
        <v>0</v>
      </c>
      <c r="O93" s="41">
        <f>'[4]Other Assumptions'!Q93</f>
        <v>0</v>
      </c>
    </row>
    <row r="94" spans="1:15" ht="15.75" x14ac:dyDescent="0.25">
      <c r="A94" s="16" t="s">
        <v>55</v>
      </c>
      <c r="B94" s="29"/>
      <c r="C94" s="29"/>
      <c r="D94" s="29"/>
      <c r="E94" s="29"/>
      <c r="F94" s="29"/>
      <c r="G94" s="40">
        <f>'[4]Other Assumptions'!I94</f>
        <v>0</v>
      </c>
      <c r="H94" s="40">
        <f>'[4]Other Assumptions'!J94</f>
        <v>0</v>
      </c>
      <c r="I94" s="40">
        <f>'[4]Other Assumptions'!K94</f>
        <v>0</v>
      </c>
      <c r="J94" s="40">
        <f>'[4]Other Assumptions'!L94</f>
        <v>0</v>
      </c>
      <c r="K94" s="40">
        <f>'[4]Other Assumptions'!M94</f>
        <v>0</v>
      </c>
      <c r="L94" s="40">
        <f>'[4]Other Assumptions'!N94</f>
        <v>0</v>
      </c>
      <c r="M94" s="40">
        <f>'[4]Other Assumptions'!O94</f>
        <v>0</v>
      </c>
      <c r="N94" s="40">
        <f>'[4]Other Assumptions'!P94</f>
        <v>0</v>
      </c>
      <c r="O94" s="41">
        <f>'[4]Other Assumptions'!Q94</f>
        <v>0</v>
      </c>
    </row>
    <row r="95" spans="1:15" ht="16.5" thickBot="1" x14ac:dyDescent="0.3">
      <c r="A95" s="23" t="s">
        <v>56</v>
      </c>
      <c r="B95" s="34"/>
      <c r="C95" s="34"/>
      <c r="D95" s="34"/>
      <c r="E95" s="34"/>
      <c r="F95" s="34"/>
      <c r="G95" s="53">
        <f>'[4]Other Assumptions'!I95</f>
        <v>0</v>
      </c>
      <c r="H95" s="53">
        <f>'[4]Other Assumptions'!J95</f>
        <v>0</v>
      </c>
      <c r="I95" s="53">
        <f>'[4]Other Assumptions'!K95</f>
        <v>0</v>
      </c>
      <c r="J95" s="53">
        <f>'[4]Other Assumptions'!L95</f>
        <v>0</v>
      </c>
      <c r="K95" s="53">
        <f>'[4]Other Assumptions'!M95</f>
        <v>0</v>
      </c>
      <c r="L95" s="53">
        <f>'[4]Other Assumptions'!N95</f>
        <v>0</v>
      </c>
      <c r="M95" s="53">
        <f>'[4]Other Assumptions'!O95</f>
        <v>0</v>
      </c>
      <c r="N95" s="53">
        <f>'[4]Other Assumptions'!P95</f>
        <v>0</v>
      </c>
      <c r="O95" s="54">
        <f>'[4]Other Assumptions'!Q95</f>
        <v>0</v>
      </c>
    </row>
    <row r="96" spans="1:15" ht="13.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177"/>
  <sheetViews>
    <sheetView topLeftCell="A92" workbookViewId="0">
      <selection activeCell="K23" sqref="K23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13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'Total Distance Tables Sup #2'!B5</f>
        <v>17.849116999</v>
      </c>
      <c r="C5" s="4">
        <f ca="1">'Total Distance Tables Sup #2'!C5</f>
        <v>18.593427401757175</v>
      </c>
      <c r="D5" s="4">
        <f ca="1">'Total Distance Tables Sup #2'!D5</f>
        <v>19.405163052384665</v>
      </c>
      <c r="E5" s="4">
        <f ca="1">'Total Distance Tables Sup #2'!E5</f>
        <v>19.852230391859777</v>
      </c>
      <c r="F5" s="4">
        <f ca="1">'Total Distance Tables Sup #2'!F5</f>
        <v>20.089328352401985</v>
      </c>
      <c r="G5" s="4">
        <f ca="1">'Total Distance Tables Sup #2'!G5</f>
        <v>20.294099418998865</v>
      </c>
      <c r="H5" s="4">
        <f ca="1">'Total Distance Tables Sup #2'!H5</f>
        <v>20.347709488439389</v>
      </c>
      <c r="I5" s="1">
        <f ca="1">'Total Distance Tables Sup #2'!I5</f>
        <v>20.823802849551146</v>
      </c>
      <c r="J5" s="1">
        <f ca="1">'Total Distance Tables Sup #2'!J5</f>
        <v>21.243497139644468</v>
      </c>
      <c r="K5" s="1">
        <f ca="1">'Total Distance Tables Sup #2'!K5</f>
        <v>21.61935943654505</v>
      </c>
    </row>
    <row r="6" spans="1:11" x14ac:dyDescent="0.2">
      <c r="A6" t="str">
        <f ca="1">OFFSET(Northland_Reference,7,2)</f>
        <v>Cyclist</v>
      </c>
      <c r="B6" s="4">
        <f ca="1">'Total Distance Tables Sup #2'!B6</f>
        <v>1.0072239942000001</v>
      </c>
      <c r="C6" s="4">
        <f ca="1">'Total Distance Tables Sup #2'!C6</f>
        <v>1.0752026625000661</v>
      </c>
      <c r="D6" s="4">
        <f ca="1">'Total Distance Tables Sup #2'!D6</f>
        <v>1.2794691185531406</v>
      </c>
      <c r="E6" s="4">
        <f ca="1">'Total Distance Tables Sup #2'!E6</f>
        <v>1.4347658243010681</v>
      </c>
      <c r="F6" s="4">
        <f ca="1">'Total Distance Tables Sup #2'!F6</f>
        <v>1.6125245930250742</v>
      </c>
      <c r="G6" s="4">
        <f ca="1">'Total Distance Tables Sup #2'!G6</f>
        <v>1.8230987369075939</v>
      </c>
      <c r="H6" s="4">
        <f ca="1">'Total Distance Tables Sup #2'!H6</f>
        <v>2.0378195606631557</v>
      </c>
      <c r="I6" s="1">
        <f ca="1">'Total Distance Tables Sup #2'!I6</f>
        <v>2.100698421386153</v>
      </c>
      <c r="J6" s="1">
        <f ca="1">'Total Distance Tables Sup #2'!J6</f>
        <v>2.1651112411254898</v>
      </c>
      <c r="K6" s="1">
        <f ca="1">'Total Distance Tables Sup #2'!K6</f>
        <v>2.2265732226054373</v>
      </c>
    </row>
    <row r="7" spans="1:11" x14ac:dyDescent="0.2">
      <c r="A7" t="str">
        <f ca="1">OFFSET(Northland_Reference,14,2)</f>
        <v>Light Vehicle Driver</v>
      </c>
      <c r="B7" s="4">
        <f ca="1">'Total Distance Tables Sup #2'!B7</f>
        <v>1011.4273062</v>
      </c>
      <c r="C7" s="4">
        <f ca="1">'Total Distance Tables Sup #2'!C7*(1-'Other Assumptions'!G6)</f>
        <v>1097.7500660377677</v>
      </c>
      <c r="D7" s="4">
        <f ca="1">'Total Distance Tables Sup #2'!D7*(1-'Other Assumptions'!H6)</f>
        <v>1158.3705244046166</v>
      </c>
      <c r="E7" s="4">
        <f ca="1">'Total Distance Tables Sup #2'!E7*(1-'Other Assumptions'!I6)</f>
        <v>1033.2550254104578</v>
      </c>
      <c r="F7" s="4">
        <f ca="1">'Total Distance Tables Sup #2'!F7*(1-'Other Assumptions'!J6)</f>
        <v>880.69332052860989</v>
      </c>
      <c r="G7" s="4">
        <f ca="1">'Total Distance Tables Sup #2'!G7*(1-'Other Assumptions'!K6)</f>
        <v>706.59548168220726</v>
      </c>
      <c r="H7" s="4">
        <f ca="1">'Total Distance Tables Sup #2'!H7*(1-'Other Assumptions'!L6)</f>
        <v>519.45929856436192</v>
      </c>
      <c r="I7" s="1">
        <f ca="1">'Total Distance Tables Sup #2'!I7*(1-'Other Assumptions'!M6)</f>
        <v>531.41893949709515</v>
      </c>
      <c r="J7" s="1">
        <f ca="1">'Total Distance Tables Sup #2'!J7*(1-'Other Assumptions'!N6)</f>
        <v>541.7377595088825</v>
      </c>
      <c r="K7" s="1">
        <f ca="1">'Total Distance Tables Sup #2'!K7*(1-'Other Assumptions'!O6)</f>
        <v>550.89776462863199</v>
      </c>
    </row>
    <row r="8" spans="1:11" x14ac:dyDescent="0.2">
      <c r="A8" t="str">
        <f ca="1">OFFSET(Northland_Reference,21,2)</f>
        <v>Light Vehicle Passenger</v>
      </c>
      <c r="B8" s="4">
        <f ca="1">'Total Distance Tables Sup #2'!B8</f>
        <v>666.23785996000004</v>
      </c>
      <c r="C8" s="4">
        <f ca="1">'Total Distance Tables Sup #2'!C8*(1-'Other Assumptions'!G6)</f>
        <v>692.46159028338491</v>
      </c>
      <c r="D8" s="4">
        <f ca="1">'Total Distance Tables Sup #2'!D8*(1-'Other Assumptions'!H6)</f>
        <v>723.39686692545342</v>
      </c>
      <c r="E8" s="4">
        <f ca="1">'Total Distance Tables Sup #2'!E8*(1-'Other Assumptions'!I6)</f>
        <v>636.96158126938667</v>
      </c>
      <c r="F8" s="4">
        <f ca="1">'Total Distance Tables Sup #2'!F8*(1-'Other Assumptions'!J6)</f>
        <v>536.71640195934037</v>
      </c>
      <c r="G8" s="4">
        <f ca="1">'Total Distance Tables Sup #2'!G8*(1-'Other Assumptions'!K6)</f>
        <v>428.15015932905357</v>
      </c>
      <c r="H8" s="4">
        <f ca="1">'Total Distance Tables Sup #2'!H8*(1-'Other Assumptions'!L6)</f>
        <v>313.44994810434895</v>
      </c>
      <c r="I8" s="1">
        <f ca="1">'Total Distance Tables Sup #2'!I8*(1-'Other Assumptions'!M6)</f>
        <v>320.94889084680125</v>
      </c>
      <c r="J8" s="1">
        <f ca="1">'Total Distance Tables Sup #2'!J8*(1-'Other Assumptions'!N6)</f>
        <v>327.54173889199927</v>
      </c>
      <c r="K8" s="1">
        <f ca="1">'Total Distance Tables Sup #2'!K8*(1-'Other Assumptions'!O6)</f>
        <v>333.44476242400629</v>
      </c>
    </row>
    <row r="9" spans="1:11" x14ac:dyDescent="0.2">
      <c r="A9" t="str">
        <f ca="1">OFFSET(Northland_Reference,28,2)</f>
        <v>Taxi/Vehicle Share</v>
      </c>
      <c r="B9" s="4">
        <f ca="1">'Total Distance Tables Sup #2'!B9</f>
        <v>0.75976041549999995</v>
      </c>
      <c r="C9" s="4">
        <f ca="1">'Total Distance Tables Sup #2'!C9+((C7+C8)*'Other Assumptions'!G6/(1-'Other Assumptions'!G6))</f>
        <v>0.87533110207124132</v>
      </c>
      <c r="D9" s="4">
        <f ca="1">'Total Distance Tables Sup #2'!D9+((D7+D8)*'Other Assumptions'!H6/(1-'Other Assumptions'!H6))</f>
        <v>1.0074532568605015</v>
      </c>
      <c r="E9" s="4">
        <f ca="1">'Total Distance Tables Sup #2'!E9+((E7+E8)*'Other Assumptions'!I6/(1-'Other Assumptions'!I6))</f>
        <v>295.87084194038238</v>
      </c>
      <c r="F9" s="4">
        <f ca="1">'Total Distance Tables Sup #2'!F9+((F7+F8)*'Other Assumptions'!J6/(1-'Other Assumptions'!J6))</f>
        <v>608.68664400447949</v>
      </c>
      <c r="G9" s="4">
        <f ca="1">'Total Distance Tables Sup #2'!G9+((G7+G8)*'Other Assumptions'!K6/(1-'Other Assumptions'!K6))</f>
        <v>929.72614431086947</v>
      </c>
      <c r="H9" s="4">
        <f ca="1">'Total Distance Tables Sup #2'!H9+((H7+H8)*'Other Assumptions'!L6/(1-'Other Assumptions'!L6))</f>
        <v>1250.7178033017731</v>
      </c>
      <c r="I9" s="1">
        <f ca="1">'Total Distance Tables Sup #2'!I9+((I7+I8)*'Other Assumptions'!M6/(1-'Other Assumptions'!M6))</f>
        <v>1279.9394479065156</v>
      </c>
      <c r="J9" s="1">
        <f ca="1">'Total Distance Tables Sup #2'!J9+((J7+J8)*'Other Assumptions'!N6/(1-'Other Assumptions'!N6))</f>
        <v>1305.3377974900625</v>
      </c>
      <c r="K9" s="1">
        <f ca="1">'Total Distance Tables Sup #2'!K9+((K7+K8)*'Other Assumptions'!O6/(1-'Other Assumptions'!O6))</f>
        <v>1327.9603892328246</v>
      </c>
    </row>
    <row r="10" spans="1:11" x14ac:dyDescent="0.2">
      <c r="A10" t="str">
        <f ca="1">OFFSET(Northland_Reference,35,2)</f>
        <v>Motorcyclist</v>
      </c>
      <c r="B10" s="4">
        <f ca="1">'Total Distance Tables Sup #2'!B10</f>
        <v>9.2423909657000003</v>
      </c>
      <c r="C10" s="4">
        <f ca="1">'Total Distance Tables Sup #2'!C10</f>
        <v>9.9632092377422943</v>
      </c>
      <c r="D10" s="4">
        <f ca="1">'Total Distance Tables Sup #2'!D10</f>
        <v>10.558050803460839</v>
      </c>
      <c r="E10" s="4">
        <f ca="1">'Total Distance Tables Sup #2'!E10</f>
        <v>10.831698849892621</v>
      </c>
      <c r="F10" s="4">
        <f ca="1">'Total Distance Tables Sup #2'!F10</f>
        <v>10.839925199426119</v>
      </c>
      <c r="G10" s="4">
        <f ca="1">'Total Distance Tables Sup #2'!G10</f>
        <v>10.589396826510015</v>
      </c>
      <c r="H10" s="4">
        <f ca="1">'Total Distance Tables Sup #2'!H10</f>
        <v>10.219275489006334</v>
      </c>
      <c r="I10" s="1">
        <f ca="1">'Total Distance Tables Sup #2'!I10</f>
        <v>10.48135329693687</v>
      </c>
      <c r="J10" s="1">
        <f ca="1">'Total Distance Tables Sup #2'!J10</f>
        <v>10.713730815030242</v>
      </c>
      <c r="K10" s="1">
        <f ca="1">'Total Distance Tables Sup #2'!K10</f>
        <v>10.923114359276667</v>
      </c>
    </row>
    <row r="11" spans="1:11" x14ac:dyDescent="0.2">
      <c r="A11" t="str">
        <f ca="1">OFFSET(Auckland_Reference,42,2)</f>
        <v>Local Train</v>
      </c>
      <c r="B11" s="4">
        <f ca="1">'Total Distance Tables Sup #2'!B11</f>
        <v>0</v>
      </c>
      <c r="C11" s="4">
        <f ca="1">'Total Distance Tables Sup #2'!C11</f>
        <v>0</v>
      </c>
      <c r="D11" s="4">
        <f ca="1">'Total Distance Tables Sup #2'!D11</f>
        <v>0</v>
      </c>
      <c r="E11" s="4">
        <f ca="1">'Total Distance Tables Sup #2'!E11</f>
        <v>0</v>
      </c>
      <c r="F11" s="4">
        <f ca="1">'Total Distance Tables Sup #2'!F11</f>
        <v>0</v>
      </c>
      <c r="G11" s="4">
        <f ca="1">'Total Distance Tables Sup #2'!G11</f>
        <v>0</v>
      </c>
      <c r="H11" s="4">
        <f ca="1">'Total Distance Tables Sup #2'!H11</f>
        <v>0</v>
      </c>
      <c r="I11" s="1">
        <f ca="1">'Total Distance Tables Sup #2'!I11</f>
        <v>0</v>
      </c>
      <c r="J11" s="1">
        <f ca="1">'Total Distance Tables Sup #2'!J11</f>
        <v>0</v>
      </c>
      <c r="K11" s="1">
        <f ca="1">'Total Distance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Distance Tables Sup #2'!B12</f>
        <v>44.734594063999999</v>
      </c>
      <c r="C12" s="4">
        <f ca="1">'Total Distance Tables Sup #2'!C12</f>
        <v>41.283848159268807</v>
      </c>
      <c r="D12" s="4">
        <f ca="1">'Total Distance Tables Sup #2'!D12</f>
        <v>41.947038823047691</v>
      </c>
      <c r="E12" s="4">
        <f ca="1">'Total Distance Tables Sup #2'!E12</f>
        <v>41.630207567281708</v>
      </c>
      <c r="F12" s="4">
        <f ca="1">'Total Distance Tables Sup #2'!F12</f>
        <v>40.843691837901908</v>
      </c>
      <c r="G12" s="4">
        <f ca="1">'Total Distance Tables Sup #2'!G12</f>
        <v>40.481395047687904</v>
      </c>
      <c r="H12" s="4">
        <f ca="1">'Total Distance Tables Sup #2'!H12</f>
        <v>40.045594917517874</v>
      </c>
      <c r="I12" s="1">
        <f ca="1">'Total Distance Tables Sup #2'!I12</f>
        <v>41.10855347207017</v>
      </c>
      <c r="J12" s="1">
        <f ca="1">'Total Distance Tables Sup #2'!J12</f>
        <v>42.081064020576292</v>
      </c>
      <c r="K12" s="1">
        <f ca="1">'Total Distance Tables Sup #2'!K12</f>
        <v>42.970875154938966</v>
      </c>
    </row>
    <row r="13" spans="1:11" x14ac:dyDescent="0.2">
      <c r="A13" t="str">
        <f ca="1">OFFSET(Northland_Reference,49,2)</f>
        <v>Local Ferry</v>
      </c>
      <c r="B13" s="4">
        <f ca="1">'Total Distance Tables Sup #2'!B13</f>
        <v>0</v>
      </c>
      <c r="C13" s="4">
        <f ca="1">'Total Distance Tables Sup #2'!C13</f>
        <v>0</v>
      </c>
      <c r="D13" s="4">
        <f ca="1">'Total Distance Tables Sup #2'!D13</f>
        <v>0</v>
      </c>
      <c r="E13" s="4">
        <f ca="1">'Total Distance Tables Sup #2'!E13</f>
        <v>0</v>
      </c>
      <c r="F13" s="4">
        <f ca="1">'Total Distance Tables Sup #2'!F13</f>
        <v>0</v>
      </c>
      <c r="G13" s="4">
        <f ca="1">'Total Distance Tables Sup #2'!G13</f>
        <v>0</v>
      </c>
      <c r="H13" s="4">
        <f ca="1">'Total Distance Tables Sup #2'!H13</f>
        <v>0</v>
      </c>
      <c r="I13" s="1">
        <f ca="1">'Total Distance Tables Sup #2'!I13</f>
        <v>0</v>
      </c>
      <c r="J13" s="1">
        <f ca="1">'Total Distance Tables Sup #2'!J13</f>
        <v>0</v>
      </c>
      <c r="K13" s="1">
        <f ca="1">'Total Distance Tables Sup #2'!K13</f>
        <v>0</v>
      </c>
    </row>
    <row r="14" spans="1:11" x14ac:dyDescent="0.2">
      <c r="A14" t="str">
        <f ca="1">OFFSET(Northland_Reference,56,2)</f>
        <v>Other Household Travel</v>
      </c>
      <c r="B14" s="4">
        <f ca="1">'Total Distance Tables Sup #2'!B14</f>
        <v>0</v>
      </c>
      <c r="C14" s="4">
        <f ca="1">'Total Distance Tables Sup #2'!C14</f>
        <v>0</v>
      </c>
      <c r="D14" s="4">
        <f ca="1">'Total Distance Tables Sup #2'!D14</f>
        <v>0</v>
      </c>
      <c r="E14" s="4">
        <f ca="1">'Total Distance Tables Sup #2'!E14</f>
        <v>0</v>
      </c>
      <c r="F14" s="4">
        <f ca="1">'Total Distance Tables Sup #2'!F14</f>
        <v>0</v>
      </c>
      <c r="G14" s="4">
        <f ca="1">'Total Distance Tables Sup #2'!G14</f>
        <v>0</v>
      </c>
      <c r="H14" s="4">
        <f ca="1">'Total Distance Tables Sup #2'!H14</f>
        <v>0</v>
      </c>
      <c r="I14" s="1">
        <f ca="1">'Total Distance Tables Sup #2'!I14</f>
        <v>0</v>
      </c>
      <c r="J14" s="1">
        <f ca="1">'Total Distance Tables Sup #2'!J14</f>
        <v>0</v>
      </c>
      <c r="K14" s="1">
        <f ca="1">'Total Distance Tables Sup #2'!K14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'Total Distance Tables Sup #2'!B16</f>
        <v>294.55939388000002</v>
      </c>
      <c r="C16" s="4">
        <f ca="1">'Total Distance Tables Sup #2'!C16+'Total Distance Tables Sup #2'!C18*'Other Assumptions'!G66*'Other Assumptions'!G73+'Total Distance Tables Sup #2'!C19*'Other Assumptions'!G66*'Other Assumptions'!G73</f>
        <v>336.64750088348944</v>
      </c>
      <c r="D16" s="4">
        <f ca="1">'Total Distance Tables Sup #2'!D16+'Total Distance Tables Sup #2'!D18*'Other Assumptions'!H66*'Other Assumptions'!H73+'Total Distance Tables Sup #2'!D19*'Other Assumptions'!H66*'Other Assumptions'!H73</f>
        <v>371.91763052418048</v>
      </c>
      <c r="E16" s="4">
        <f ca="1">'Total Distance Tables Sup #2'!E16+'Total Distance Tables Sup #2'!E18*'Other Assumptions'!I66*'Other Assumptions'!I73+'Total Distance Tables Sup #2'!E19*'Other Assumptions'!I66*'Other Assumptions'!I73</f>
        <v>400.57550822164785</v>
      </c>
      <c r="F16" s="4">
        <f ca="1">'Total Distance Tables Sup #2'!F16+'Total Distance Tables Sup #2'!F18*'Other Assumptions'!J66*'Other Assumptions'!J73+'Total Distance Tables Sup #2'!F19*'Other Assumptions'!J66*'Other Assumptions'!J73</f>
        <v>429.72845802929851</v>
      </c>
      <c r="G16" s="4">
        <f ca="1">'Total Distance Tables Sup #2'!G16+'Total Distance Tables Sup #2'!G18*'Other Assumptions'!K66*'Other Assumptions'!K73+'Total Distance Tables Sup #2'!G19*'Other Assumptions'!K66*'Other Assumptions'!K73</f>
        <v>459.69089821559959</v>
      </c>
      <c r="H16" s="4">
        <f ca="1">'Total Distance Tables Sup #2'!H16+'Total Distance Tables Sup #2'!H18*'Other Assumptions'!L66*'Other Assumptions'!L73+'Total Distance Tables Sup #2'!H19*'Other Assumptions'!L66*'Other Assumptions'!L73</f>
        <v>487.46852360484769</v>
      </c>
      <c r="I16" s="1">
        <f ca="1">'Total Distance Tables Sup #2'!I16+'Total Distance Tables Sup #2'!I18*'Other Assumptions'!M66*'Other Assumptions'!M73+'Total Distance Tables Sup #2'!I19*'Other Assumptions'!M66*'Other Assumptions'!M73</f>
        <v>520.14648462893467</v>
      </c>
      <c r="J16" s="1">
        <f ca="1">'Total Distance Tables Sup #2'!J16+'Total Distance Tables Sup #2'!J18*'Other Assumptions'!N66*'Other Assumptions'!N73+'Total Distance Tables Sup #2'!J19*'Other Assumptions'!N66*'Other Assumptions'!N73</f>
        <v>561.23933915440159</v>
      </c>
      <c r="K16" s="1">
        <f ca="1">'Total Distance Tables Sup #2'!K16+'Total Distance Tables Sup #2'!K18*'Other Assumptions'!O66*'Other Assumptions'!O73+'Total Distance Tables Sup #2'!K19*'Other Assumptions'!O66*'Other Assumptions'!O73</f>
        <v>604.39205313289619</v>
      </c>
    </row>
    <row r="17" spans="1:17" x14ac:dyDescent="0.2">
      <c r="A17" t="str">
        <f ca="1">OFFSET(Auckland_Reference,7,2)</f>
        <v>Cyclist</v>
      </c>
      <c r="B17" s="4">
        <f ca="1">'Total Distance Tables Sup #2'!B17</f>
        <v>55.843008154000003</v>
      </c>
      <c r="C17" s="4">
        <f ca="1">'Total Distance Tables Sup #2'!C17+'Total Distance Tables Sup #2'!C18*'Other Assumptions'!G66*'Other Assumptions'!G72+'Total Distance Tables Sup #2'!C19*'Other Assumptions'!G66*'Other Assumptions'!G72</f>
        <v>65.429399521106774</v>
      </c>
      <c r="D17" s="4">
        <f ca="1">'Total Distance Tables Sup #2'!D17+'Total Distance Tables Sup #2'!D18*'Other Assumptions'!H66*'Other Assumptions'!H72+'Total Distance Tables Sup #2'!D19*'Other Assumptions'!H66*'Other Assumptions'!H72</f>
        <v>84.068465719289023</v>
      </c>
      <c r="E17" s="4">
        <f ca="1">'Total Distance Tables Sup #2'!E17+'Total Distance Tables Sup #2'!E18*'Other Assumptions'!I66*'Other Assumptions'!I72+'Total Distance Tables Sup #2'!E19*'Other Assumptions'!I66*'Other Assumptions'!I72</f>
        <v>100.94855649003337</v>
      </c>
      <c r="F17" s="4">
        <f ca="1">'Total Distance Tables Sup #2'!F17+'Total Distance Tables Sup #2'!F18*'Other Assumptions'!J66*'Other Assumptions'!J72+'Total Distance Tables Sup #2'!F19*'Other Assumptions'!J66*'Other Assumptions'!J72</f>
        <v>121.28959311263603</v>
      </c>
      <c r="G17" s="4">
        <f ca="1">'Total Distance Tables Sup #2'!G17+'Total Distance Tables Sup #2'!G18*'Other Assumptions'!K66*'Other Assumptions'!K72+'Total Distance Tables Sup #2'!G19*'Other Assumptions'!K66*'Other Assumptions'!K72</f>
        <v>146.30907753541393</v>
      </c>
      <c r="H17" s="4">
        <f ca="1">'Total Distance Tables Sup #2'!H17+'Total Distance Tables Sup #2'!H18*'Other Assumptions'!L66*'Other Assumptions'!L72+'Total Distance Tables Sup #2'!H19*'Other Assumptions'!L66*'Other Assumptions'!L72</f>
        <v>174.2775766729992</v>
      </c>
      <c r="I17" s="1">
        <f ca="1">'Total Distance Tables Sup #2'!I17+'Total Distance Tables Sup #2'!I18*'Other Assumptions'!M66*'Other Assumptions'!M72+'Total Distance Tables Sup #2'!I19*'Other Assumptions'!M66*'Other Assumptions'!M72</f>
        <v>188.33894994841862</v>
      </c>
      <c r="J17" s="1">
        <f ca="1">'Total Distance Tables Sup #2'!J17+'Total Distance Tables Sup #2'!J18*'Other Assumptions'!N66*'Other Assumptions'!N72+'Total Distance Tables Sup #2'!J19*'Other Assumptions'!N66*'Other Assumptions'!N72</f>
        <v>206.26648681284311</v>
      </c>
      <c r="K17" s="1">
        <f ca="1">'Total Distance Tables Sup #2'!K17+'Total Distance Tables Sup #2'!K18*'Other Assumptions'!O66*'Other Assumptions'!O72+'Total Distance Tables Sup #2'!K19*'Other Assumptions'!O66*'Other Assumptions'!O72</f>
        <v>225.57131952657386</v>
      </c>
    </row>
    <row r="18" spans="1:17" x14ac:dyDescent="0.2">
      <c r="A18" t="str">
        <f ca="1">OFFSET(Auckland_Reference,14,2)</f>
        <v>Light Vehicle Driver</v>
      </c>
      <c r="B18" s="4">
        <f ca="1">'Total Distance Tables Sup #2'!B18</f>
        <v>9374.4733825999992</v>
      </c>
      <c r="C18" s="4">
        <f ca="1">'Total Distance Tables Sup #2'!C18*(1-'Other Assumptions'!G7)*(1-'Other Assumptions'!G66)</f>
        <v>11128.955640439521</v>
      </c>
      <c r="D18" s="4">
        <f ca="1">'Total Distance Tables Sup #2'!D18*(1-'Other Assumptions'!H7)*(1-'Other Assumptions'!H66)</f>
        <v>12538.511658893203</v>
      </c>
      <c r="E18" s="4">
        <f ca="1">'Total Distance Tables Sup #2'!E18*(1-'Other Assumptions'!I7)*(1-'Other Assumptions'!I66)</f>
        <v>11866.808358292163</v>
      </c>
      <c r="F18" s="4">
        <f ca="1">'Total Distance Tables Sup #2'!F18*(1-'Other Assumptions'!J7)*(1-'Other Assumptions'!J66)</f>
        <v>10775.869444881273</v>
      </c>
      <c r="G18" s="4">
        <f ca="1">'Total Distance Tables Sup #2'!G18*(1-'Other Assumptions'!K7)*(1-'Other Assumptions'!K66)</f>
        <v>9194.0027595814354</v>
      </c>
      <c r="H18" s="4">
        <f ca="1">'Total Distance Tables Sup #2'!H18*(1-'Other Assumptions'!L7)*(1-'Other Assumptions'!L66)</f>
        <v>7179.1606271939454</v>
      </c>
      <c r="I18" s="1">
        <f ca="1">'Total Distance Tables Sup #2'!I18*(1-'Other Assumptions'!M7)*(1-'Other Assumptions'!M66)</f>
        <v>7679.6247902704163</v>
      </c>
      <c r="J18" s="1">
        <f ca="1">'Total Distance Tables Sup #2'!J18*(1-'Other Assumptions'!N7)*(1-'Other Assumptions'!N66)</f>
        <v>8301.0111313685175</v>
      </c>
      <c r="K18" s="1">
        <f ca="1">'Total Distance Tables Sup #2'!K18*(1-'Other Assumptions'!O7)*(1-'Other Assumptions'!O66)</f>
        <v>8955.9896154216221</v>
      </c>
    </row>
    <row r="19" spans="1:17" x14ac:dyDescent="0.2">
      <c r="A19" t="str">
        <f ca="1">OFFSET(Auckland_Reference,21,2)</f>
        <v>Light Vehicle Passenger</v>
      </c>
      <c r="B19" s="4">
        <f ca="1">'Total Distance Tables Sup #2'!B19</f>
        <v>4814.6436660999998</v>
      </c>
      <c r="C19" s="4">
        <f ca="1">'Total Distance Tables Sup #2'!C19*(1-'Other Assumptions'!G7)*(1-'Other Assumptions'!G66+'Other Assumptions'!G66*'Other Assumptions'!G69)+'Total Distance Tables Sup #2'!C18*(1-'Other Assumptions'!G7)*'Other Assumptions'!G66*'Other Assumptions'!G69</f>
        <v>5453.9706159753086</v>
      </c>
      <c r="D19" s="4">
        <f ca="1">'Total Distance Tables Sup #2'!D19*(1-'Other Assumptions'!H7)*(1-'Other Assumptions'!H66+'Other Assumptions'!H66*'Other Assumptions'!H69)+'Total Distance Tables Sup #2'!D18*(1-'Other Assumptions'!H7)*'Other Assumptions'!H66*'Other Assumptions'!H69</f>
        <v>6009.7485789742295</v>
      </c>
      <c r="E19" s="4">
        <f ca="1">'Total Distance Tables Sup #2'!E19*(1-'Other Assumptions'!I7)*(1-'Other Assumptions'!I66+'Other Assumptions'!I66*'Other Assumptions'!I69)+'Total Distance Tables Sup #2'!E18*(1-'Other Assumptions'!I7)*'Other Assumptions'!I66*'Other Assumptions'!I69</f>
        <v>5554.4047685028445</v>
      </c>
      <c r="F19" s="4">
        <f ca="1">'Total Distance Tables Sup #2'!F19*(1-'Other Assumptions'!J7)*(1-'Other Assumptions'!J66+'Other Assumptions'!J66*'Other Assumptions'!J69)+'Total Distance Tables Sup #2'!F18*(1-'Other Assumptions'!J7)*'Other Assumptions'!J66*'Other Assumptions'!J69</f>
        <v>4963.0035413920868</v>
      </c>
      <c r="G19" s="4">
        <f ca="1">'Total Distance Tables Sup #2'!G19*(1-'Other Assumptions'!K7)*(1-'Other Assumptions'!K66+'Other Assumptions'!K66*'Other Assumptions'!K69)+'Total Distance Tables Sup #2'!G18*(1-'Other Assumptions'!K7)*'Other Assumptions'!K66*'Other Assumptions'!K69</f>
        <v>4192.0038622976617</v>
      </c>
      <c r="H19" s="4">
        <f ca="1">'Total Distance Tables Sup #2'!H19*(1-'Other Assumptions'!L7)*(1-'Other Assumptions'!L66+'Other Assumptions'!L66*'Other Assumptions'!L69)+'Total Distance Tables Sup #2'!H18*(1-'Other Assumptions'!L7)*'Other Assumptions'!L66*'Other Assumptions'!L69</f>
        <v>3245.7548496378899</v>
      </c>
      <c r="I19" s="1">
        <f ca="1">'Total Distance Tables Sup #2'!I19*(1-'Other Assumptions'!M7)*(1-'Other Assumptions'!M66+'Other Assumptions'!M66*'Other Assumptions'!M69)+'Total Distance Tables Sup #2'!I18*(1-'Other Assumptions'!M7)*'Other Assumptions'!M66*'Other Assumptions'!M69</f>
        <v>3464.4524413787208</v>
      </c>
      <c r="J19" s="1">
        <f ca="1">'Total Distance Tables Sup #2'!J19*(1-'Other Assumptions'!N7)*(1-'Other Assumptions'!N66+'Other Assumptions'!N66*'Other Assumptions'!N69)+'Total Distance Tables Sup #2'!J18*(1-'Other Assumptions'!N7)*'Other Assumptions'!N66*'Other Assumptions'!N69</f>
        <v>3739.4514105389617</v>
      </c>
      <c r="K19" s="1">
        <f ca="1">'Total Distance Tables Sup #2'!K19*(1-'Other Assumptions'!O7)*(1-'Other Assumptions'!O66+'Other Assumptions'!O66*'Other Assumptions'!O69)+'Total Distance Tables Sup #2'!K18*(1-'Other Assumptions'!O7)*'Other Assumptions'!O66*'Other Assumptions'!O69</f>
        <v>4028.0003867748364</v>
      </c>
    </row>
    <row r="20" spans="1:17" x14ac:dyDescent="0.2">
      <c r="A20" t="str">
        <f ca="1">OFFSET(Auckland_Reference,28,2)</f>
        <v>Taxi/Vehicle Share</v>
      </c>
      <c r="B20" s="4">
        <f ca="1">'Total Distance Tables Sup #2'!B20</f>
        <v>41.157157814999998</v>
      </c>
      <c r="C20" s="4">
        <f ca="1">'Total Distance Tables Sup #2'!C20+((C18+C19)*'Other Assumptions'!G7/(1-'Other Assumptions'!G7))</f>
        <v>52.045230370632872</v>
      </c>
      <c r="D20" s="4">
        <f ca="1">'Total Distance Tables Sup #2'!D20+((D18+D19)*'Other Assumptions'!H7/(1-'Other Assumptions'!H7))</f>
        <v>64.677643806762887</v>
      </c>
      <c r="E20" s="4">
        <f ca="1">'Total Distance Tables Sup #2'!E20+((E18+E19)*'Other Assumptions'!I7/(1-'Other Assumptions'!I7))</f>
        <v>3151.7898211828006</v>
      </c>
      <c r="F20" s="4">
        <f ca="1">'Total Distance Tables Sup #2'!F20+((F18+F19)*'Other Assumptions'!J7/(1-'Other Assumptions'!J7))</f>
        <v>6835.2841954289388</v>
      </c>
      <c r="G20" s="4">
        <f ca="1">'Total Distance Tables Sup #2'!G20+((G18+G19)*'Other Assumptions'!K7/(1-'Other Assumptions'!K7))</f>
        <v>11053.958648412012</v>
      </c>
      <c r="H20" s="4">
        <f ca="1">'Total Distance Tables Sup #2'!H20+((H18+H19)*'Other Assumptions'!L7/(1-'Other Assumptions'!L7))</f>
        <v>15750.508748196919</v>
      </c>
      <c r="I20" s="1">
        <f ca="1">'Total Distance Tables Sup #2'!I20+((I18+I19)*'Other Assumptions'!M7/(1-'Other Assumptions'!M7))</f>
        <v>16837.678101416328</v>
      </c>
      <c r="J20" s="1">
        <f ca="1">'Total Distance Tables Sup #2'!J20+((J18+J19)*'Other Assumptions'!N7/(1-'Other Assumptions'!N7))</f>
        <v>18192.737925563728</v>
      </c>
      <c r="K20" s="1">
        <f ca="1">'Total Distance Tables Sup #2'!K20+((K18+K19)*'Other Assumptions'!O7/(1-'Other Assumptions'!O7))</f>
        <v>19619.177719304669</v>
      </c>
      <c r="L20" s="4"/>
      <c r="M20" s="4"/>
      <c r="N20" s="4"/>
      <c r="O20" s="4"/>
      <c r="P20" s="4"/>
      <c r="Q20" s="4"/>
    </row>
    <row r="21" spans="1:17" x14ac:dyDescent="0.2">
      <c r="A21" t="str">
        <f ca="1">OFFSET(Auckland_Reference,35,2)</f>
        <v>Motorcyclist</v>
      </c>
      <c r="B21" s="4">
        <f ca="1">'Total Distance Tables Sup #2'!B21</f>
        <v>43.570185572</v>
      </c>
      <c r="C21" s="4">
        <f ca="1">'Total Distance Tables Sup #2'!C21</f>
        <v>51.551841861780161</v>
      </c>
      <c r="D21" s="4">
        <f ca="1">'Total Distance Tables Sup #2'!D21</f>
        <v>58.986060612218807</v>
      </c>
      <c r="E21" s="4">
        <f ca="1">'Total Distance Tables Sup #2'!E21</f>
        <v>64.800446567494703</v>
      </c>
      <c r="F21" s="4">
        <f ca="1">'Total Distance Tables Sup #2'!F21</f>
        <v>69.327543125176391</v>
      </c>
      <c r="G21" s="4">
        <f ca="1">'Total Distance Tables Sup #2'!G21</f>
        <v>72.259447621977102</v>
      </c>
      <c r="H21" s="4">
        <f ca="1">'Total Distance Tables Sup #2'!H21</f>
        <v>74.311875928835065</v>
      </c>
      <c r="I21" s="1">
        <f ca="1">'Total Distance Tables Sup #2'!I21</f>
        <v>79.90171991901515</v>
      </c>
      <c r="J21" s="1">
        <f ca="1">'Total Distance Tables Sup #2'!J21</f>
        <v>86.786369131656173</v>
      </c>
      <c r="K21" s="1">
        <f ca="1">'Total Distance Tables Sup #2'!K21</f>
        <v>94.092652323975017</v>
      </c>
    </row>
    <row r="22" spans="1:17" x14ac:dyDescent="0.2">
      <c r="A22" t="str">
        <f ca="1">OFFSET(Auckland_Reference,42,2)</f>
        <v>Local Train</v>
      </c>
      <c r="B22" s="4">
        <f ca="1">'Total Distance Tables Sup #2'!B22</f>
        <v>158.68929399999999</v>
      </c>
      <c r="C22" s="4">
        <f ca="1">'Total Distance Tables Sup #2'!C22+'Total Distance Tables Sup #2'!C18*'Other Assumptions'!G66*'Other Assumptions'!G71+'Total Distance Tables Sup #2'!C19*'Other Assumptions'!G66*'Other Assumptions'!G71</f>
        <v>350.39806647409233</v>
      </c>
      <c r="D22" s="4">
        <f ca="1">'Total Distance Tables Sup #2'!D22+'Total Distance Tables Sup #2'!D18*'Other Assumptions'!H66*'Other Assumptions'!H71+'Total Distance Tables Sup #2'!D19*'Other Assumptions'!H66*'Other Assumptions'!H71</f>
        <v>681.16426729534305</v>
      </c>
      <c r="E22" s="4">
        <f ca="1">'Total Distance Tables Sup #2'!E22+'Total Distance Tables Sup #2'!E18*'Other Assumptions'!I66*'Other Assumptions'!I71+'Total Distance Tables Sup #2'!E19*'Other Assumptions'!I66*'Other Assumptions'!I71</f>
        <v>1027.3583182826692</v>
      </c>
      <c r="F22" s="4">
        <f ca="1">'Total Distance Tables Sup #2'!F22+'Total Distance Tables Sup #2'!F18*'Other Assumptions'!J66*'Other Assumptions'!J71+'Total Distance Tables Sup #2'!F19*'Other Assumptions'!J66*'Other Assumptions'!J71</f>
        <v>1196.3225056628826</v>
      </c>
      <c r="G22" s="4">
        <f ca="1">'Total Distance Tables Sup #2'!G22+'Total Distance Tables Sup #2'!G18*'Other Assumptions'!K66*'Other Assumptions'!K71+'Total Distance Tables Sup #2'!G19*'Other Assumptions'!K66*'Other Assumptions'!K71</f>
        <v>1371.0824874753614</v>
      </c>
      <c r="H22" s="4">
        <f ca="1">'Total Distance Tables Sup #2'!H22+'Total Distance Tables Sup #2'!H18*'Other Assumptions'!L66*'Other Assumptions'!L71+'Total Distance Tables Sup #2'!H19*'Other Assumptions'!L66*'Other Assumptions'!L71</f>
        <v>1545.2062276629035</v>
      </c>
      <c r="I22" s="1">
        <f ca="1">'Total Distance Tables Sup #2'!I22+'Total Distance Tables Sup #2'!I18*'Other Assumptions'!M66*'Other Assumptions'!M71+'Total Distance Tables Sup #2'!I19*'Other Assumptions'!M66*'Other Assumptions'!M71</f>
        <v>1768.8376080565997</v>
      </c>
      <c r="J22" s="1">
        <f ca="1">'Total Distance Tables Sup #2'!J22+'Total Distance Tables Sup #2'!J18*'Other Assumptions'!N66*'Other Assumptions'!N71+'Total Distance Tables Sup #2'!J19*'Other Assumptions'!N66*'Other Assumptions'!N71</f>
        <v>2042.5162818163749</v>
      </c>
      <c r="K22" s="1">
        <f ca="1">'Total Distance Tables Sup #2'!K22+'Total Distance Tables Sup #2'!K18*'Other Assumptions'!O66*'Other Assumptions'!O71+'Total Distance Tables Sup #2'!K19*'Other Assumptions'!O66*'Other Assumptions'!O71</f>
        <v>2359.5860533002783</v>
      </c>
    </row>
    <row r="23" spans="1:17" x14ac:dyDescent="0.2">
      <c r="A23" t="str">
        <f ca="1">OFFSET(Auckland_Reference,49,2)</f>
        <v>Local Bus</v>
      </c>
      <c r="B23" s="4">
        <f ca="1">'Total Distance Tables Sup #2'!B23</f>
        <v>438.79018300000001</v>
      </c>
      <c r="C23" s="4">
        <f ca="1">'Total Distance Tables Sup #2'!C23+'Total Distance Tables Sup #2'!C18*'Other Assumptions'!G66*'Other Assumptions'!G70+'Total Distance Tables Sup #2'!C19*'Other Assumptions'!G66*'Other Assumptions'!G70</f>
        <v>514.82832738715786</v>
      </c>
      <c r="D23" s="4">
        <f ca="1">'Total Distance Tables Sup #2'!D23+'Total Distance Tables Sup #2'!D18*'Other Assumptions'!H66*'Other Assumptions'!H70+'Total Distance Tables Sup #2'!D19*'Other Assumptions'!H66*'Other Assumptions'!H70</f>
        <v>659.21743841583782</v>
      </c>
      <c r="E23" s="4">
        <f ca="1">'Total Distance Tables Sup #2'!E23+'Total Distance Tables Sup #2'!E18*'Other Assumptions'!I66*'Other Assumptions'!I70+'Total Distance Tables Sup #2'!E19*'Other Assumptions'!I66*'Other Assumptions'!I70</f>
        <v>811.00535528133241</v>
      </c>
      <c r="F23" s="4">
        <f ca="1">'Total Distance Tables Sup #2'!F23+'Total Distance Tables Sup #2'!F18*'Other Assumptions'!J66*'Other Assumptions'!J70+'Total Distance Tables Sup #2'!F19*'Other Assumptions'!J66*'Other Assumptions'!J70</f>
        <v>891.87457864933958</v>
      </c>
      <c r="G23" s="4">
        <f ca="1">'Total Distance Tables Sup #2'!G23+'Total Distance Tables Sup #2'!G18*'Other Assumptions'!K66*'Other Assumptions'!K70+'Total Distance Tables Sup #2'!G19*'Other Assumptions'!K66*'Other Assumptions'!K70</f>
        <v>973.55767120283326</v>
      </c>
      <c r="H23" s="4">
        <f ca="1">'Total Distance Tables Sup #2'!H23+'Total Distance Tables Sup #2'!H18*'Other Assumptions'!L66*'Other Assumptions'!L70+'Total Distance Tables Sup #2'!H19*'Other Assumptions'!L66*'Other Assumptions'!L70</f>
        <v>1049.7990312538579</v>
      </c>
      <c r="I23" s="1">
        <f ca="1">'Total Distance Tables Sup #2'!I23+'Total Distance Tables Sup #2'!I18*'Other Assumptions'!M66*'Other Assumptions'!M70+'Total Distance Tables Sup #2'!I19*'Other Assumptions'!M66*'Other Assumptions'!M70</f>
        <v>1179.0734508795886</v>
      </c>
      <c r="J23" s="1">
        <f ca="1">'Total Distance Tables Sup #2'!J23+'Total Distance Tables Sup #2'!J18*'Other Assumptions'!N66*'Other Assumptions'!N70+'Total Distance Tables Sup #2'!J19*'Other Assumptions'!N66*'Other Assumptions'!N70</f>
        <v>1337.7631692372256</v>
      </c>
      <c r="K23" s="1">
        <f ca="1">'Total Distance Tables Sup #2'!K23+'Total Distance Tables Sup #2'!K18*'Other Assumptions'!O66*'Other Assumptions'!O70+'Total Distance Tables Sup #2'!K19*'Other Assumptions'!O66*'Other Assumptions'!O70</f>
        <v>1518.4844154370605</v>
      </c>
    </row>
    <row r="24" spans="1:17" x14ac:dyDescent="0.2">
      <c r="A24" t="str">
        <f ca="1">OFFSET(Auckland_Reference,56,2)</f>
        <v>Local Ferry</v>
      </c>
      <c r="B24" s="4">
        <f ca="1">'Total Distance Tables Sup #2'!B24</f>
        <v>0</v>
      </c>
      <c r="C24" s="4">
        <f ca="1">'Total Distance Tables Sup #2'!C24</f>
        <v>0</v>
      </c>
      <c r="D24" s="4">
        <f ca="1">'Total Distance Tables Sup #2'!D24</f>
        <v>0</v>
      </c>
      <c r="E24" s="4">
        <f ca="1">'Total Distance Tables Sup #2'!E24</f>
        <v>0</v>
      </c>
      <c r="F24" s="4">
        <f ca="1">'Total Distance Tables Sup #2'!F24</f>
        <v>0</v>
      </c>
      <c r="G24" s="4">
        <f ca="1">'Total Distance Tables Sup #2'!G24</f>
        <v>0</v>
      </c>
      <c r="H24" s="4">
        <f ca="1">'Total Distance Tables Sup #2'!H24</f>
        <v>0</v>
      </c>
      <c r="I24" s="1">
        <f ca="1">'Total Distance Tables Sup #2'!I24</f>
        <v>0</v>
      </c>
      <c r="J24" s="1">
        <f ca="1">'Total Distance Tables Sup #2'!J24</f>
        <v>0</v>
      </c>
      <c r="K24" s="1">
        <f ca="1">'Total Distance Tables Sup #2'!K24</f>
        <v>0</v>
      </c>
    </row>
    <row r="25" spans="1:17" x14ac:dyDescent="0.2">
      <c r="A25" t="str">
        <f ca="1">OFFSET(Auckland_Reference,63,2)</f>
        <v>Other Household Travel</v>
      </c>
      <c r="B25" s="4">
        <f ca="1">'Total Distance Tables Sup #2'!B25</f>
        <v>1.8241938706</v>
      </c>
      <c r="C25" s="4">
        <f ca="1">'Total Distance Tables Sup #2'!C25</f>
        <v>1.8799625825976736</v>
      </c>
      <c r="D25" s="4">
        <f ca="1">'Total Distance Tables Sup #2'!D25</f>
        <v>1.5070649119220121</v>
      </c>
      <c r="E25" s="4">
        <f ca="1">'Total Distance Tables Sup #2'!E25</f>
        <v>1.7271998869554841</v>
      </c>
      <c r="F25" s="4">
        <f ca="1">'Total Distance Tables Sup #2'!F25</f>
        <v>1.8147754529399338</v>
      </c>
      <c r="G25" s="4">
        <f ca="1">'Total Distance Tables Sup #2'!G25</f>
        <v>1.7766058927265902</v>
      </c>
      <c r="H25" s="4">
        <f ca="1">'Total Distance Tables Sup #2'!H25</f>
        <v>1.6995576145072182</v>
      </c>
      <c r="I25" s="1">
        <f ca="1">'Total Distance Tables Sup #2'!I25</f>
        <v>1.7914801261419946</v>
      </c>
      <c r="J25" s="1">
        <f ca="1">'Total Distance Tables Sup #2'!J25</f>
        <v>1.8986951985713121</v>
      </c>
      <c r="K25" s="1">
        <f ca="1">'Total Distance Tables Sup #2'!K25</f>
        <v>2.0100145531488329</v>
      </c>
    </row>
    <row r="26" spans="1:17" x14ac:dyDescent="0.2">
      <c r="A26" t="str">
        <f ca="1">OFFSET(Waikato_Reference,0,0)</f>
        <v>03 WAIKATO</v>
      </c>
      <c r="I26" s="1"/>
      <c r="J26" s="1"/>
      <c r="K26" s="1"/>
    </row>
    <row r="27" spans="1:17" x14ac:dyDescent="0.2">
      <c r="A27" t="str">
        <f ca="1">OFFSET(Waikato_Reference,0,2)</f>
        <v>Pedestrian</v>
      </c>
      <c r="B27" s="4">
        <f ca="1">'Total Distance Tables Sup #2'!B27</f>
        <v>52.675735545000002</v>
      </c>
      <c r="C27" s="4">
        <f ca="1">'Total Distance Tables Sup #2'!C27</f>
        <v>60.227271192283574</v>
      </c>
      <c r="D27" s="4">
        <f ca="1">'Total Distance Tables Sup #2'!D27</f>
        <v>67.869045299413102</v>
      </c>
      <c r="E27" s="4">
        <f ca="1">'Total Distance Tables Sup #2'!E27</f>
        <v>74.349752476202127</v>
      </c>
      <c r="F27" s="4">
        <f ca="1">'Total Distance Tables Sup #2'!F27</f>
        <v>80.432902325439613</v>
      </c>
      <c r="G27" s="4">
        <f ca="1">'Total Distance Tables Sup #2'!G27</f>
        <v>86.692593618084601</v>
      </c>
      <c r="H27" s="4">
        <f ca="1">'Total Distance Tables Sup #2'!H27</f>
        <v>92.628033655319456</v>
      </c>
      <c r="I27" s="1">
        <f ca="1">'Total Distance Tables Sup #2'!I27</f>
        <v>99.377395302607169</v>
      </c>
      <c r="J27" s="1">
        <f ca="1">'Total Distance Tables Sup #2'!J27</f>
        <v>107.72725652814721</v>
      </c>
      <c r="K27" s="1">
        <f ca="1">'Total Distance Tables Sup #2'!K27</f>
        <v>116.58450975213964</v>
      </c>
    </row>
    <row r="28" spans="1:17" x14ac:dyDescent="0.2">
      <c r="A28" t="str">
        <f ca="1">OFFSET(Waikato_Reference,7,2)</f>
        <v>Cyclist</v>
      </c>
      <c r="B28" s="4">
        <f ca="1">'Total Distance Tables Sup #2'!B28</f>
        <v>21.829422874999999</v>
      </c>
      <c r="C28" s="4">
        <f ca="1">'Total Distance Tables Sup #2'!C28</f>
        <v>25.576810379998392</v>
      </c>
      <c r="D28" s="4">
        <f ca="1">'Total Distance Tables Sup #2'!D28</f>
        <v>32.862951859217652</v>
      </c>
      <c r="E28" s="4">
        <f ca="1">'Total Distance Tables Sup #2'!E28</f>
        <v>39.461497528297436</v>
      </c>
      <c r="F28" s="4">
        <f ca="1">'Total Distance Tables Sup #2'!F28</f>
        <v>47.412951162853275</v>
      </c>
      <c r="G28" s="4">
        <f ca="1">'Total Distance Tables Sup #2'!G28</f>
        <v>57.193242798882785</v>
      </c>
      <c r="H28" s="4">
        <f ca="1">'Total Distance Tables Sup #2'!H28</f>
        <v>68.126324934603815</v>
      </c>
      <c r="I28" s="1">
        <f ca="1">'Total Distance Tables Sup #2'!I28</f>
        <v>73.623014199370203</v>
      </c>
      <c r="J28" s="1">
        <f ca="1">'Total Distance Tables Sup #2'!J28</f>
        <v>80.631013880215505</v>
      </c>
      <c r="K28" s="1">
        <f ca="1">'Total Distance Tables Sup #2'!K28</f>
        <v>88.177408151760119</v>
      </c>
    </row>
    <row r="29" spans="1:17" x14ac:dyDescent="0.2">
      <c r="A29" t="str">
        <f ca="1">OFFSET(Waikato_Reference,14,2)</f>
        <v>Light Vehicle Driver</v>
      </c>
      <c r="B29" s="4">
        <f ca="1">'Total Distance Tables Sup #2'!B29</f>
        <v>3709.9843593000001</v>
      </c>
      <c r="C29" s="4">
        <f ca="1">'Total Distance Tables Sup #2'!C29*(1-'Other Assumptions'!G8)</f>
        <v>4419.5773361902893</v>
      </c>
      <c r="D29" s="4">
        <f ca="1">'Total Distance Tables Sup #2'!D29*(1-'Other Assumptions'!H8)</f>
        <v>5034.9936584074921</v>
      </c>
      <c r="E29" s="4">
        <f ca="1">'Total Distance Tables Sup #2'!E29*(1-'Other Assumptions'!I8)</f>
        <v>4808.7229944893725</v>
      </c>
      <c r="F29" s="4">
        <f ca="1">'Total Distance Tables Sup #2'!F29*(1-'Other Assumptions'!J8)</f>
        <v>4381.250517973589</v>
      </c>
      <c r="G29" s="4">
        <f ca="1">'Total Distance Tables Sup #2'!G29*(1-'Other Assumptions'!K8)</f>
        <v>3750.0349123043543</v>
      </c>
      <c r="H29" s="4">
        <f ca="1">'Total Distance Tables Sup #2'!H29*(1-'Other Assumptions'!L8)</f>
        <v>2937.4695223898584</v>
      </c>
      <c r="I29" s="1">
        <f ca="1">'Total Distance Tables Sup #2'!I29*(1-'Other Assumptions'!M8)</f>
        <v>3150.3397886348853</v>
      </c>
      <c r="J29" s="1">
        <f ca="1">'Total Distance Tables Sup #2'!J29*(1-'Other Assumptions'!N8)</f>
        <v>3412.5452589002716</v>
      </c>
      <c r="K29" s="1">
        <f ca="1">'Total Distance Tables Sup #2'!K29*(1-'Other Assumptions'!O8)</f>
        <v>3690.2482250613621</v>
      </c>
    </row>
    <row r="30" spans="1:17" x14ac:dyDescent="0.2">
      <c r="A30" t="str">
        <f ca="1">OFFSET(Waikato_Reference,21,2)</f>
        <v>Light Vehicle Passenger</v>
      </c>
      <c r="B30" s="4">
        <f ca="1">'Total Distance Tables Sup #2'!B30</f>
        <v>1955.0668243</v>
      </c>
      <c r="C30" s="4">
        <f ca="1">'Total Distance Tables Sup #2'!C30*(1-'Other Assumptions'!G8)</f>
        <v>2230.3234370180667</v>
      </c>
      <c r="D30" s="4">
        <f ca="1">'Total Distance Tables Sup #2'!D30*(1-'Other Assumptions'!H8)</f>
        <v>2515.1140130421472</v>
      </c>
      <c r="E30" s="4">
        <f ca="1">'Total Distance Tables Sup #2'!E30*(1-'Other Assumptions'!I8)</f>
        <v>2370.8275254113087</v>
      </c>
      <c r="F30" s="4">
        <f ca="1">'Total Distance Tables Sup #2'!F30*(1-'Other Assumptions'!J8)</f>
        <v>2135.0796817139767</v>
      </c>
      <c r="G30" s="4">
        <f ca="1">'Total Distance Tables Sup #2'!G30*(1-'Other Assumptions'!K8)</f>
        <v>1816.6923947389985</v>
      </c>
      <c r="H30" s="4">
        <f ca="1">'Total Distance Tables Sup #2'!H30*(1-'Other Assumptions'!L8)</f>
        <v>1416.8722313594164</v>
      </c>
      <c r="I30" s="1">
        <f ca="1">'Total Distance Tables Sup #2'!I30*(1-'Other Assumptions'!M8)</f>
        <v>1520.8799760059185</v>
      </c>
      <c r="J30" s="1">
        <f ca="1">'Total Distance Tables Sup #2'!J30*(1-'Other Assumptions'!N8)</f>
        <v>1649.2698736705361</v>
      </c>
      <c r="K30" s="1">
        <f ca="1">'Total Distance Tables Sup #2'!K30*(1-'Other Assumptions'!O8)</f>
        <v>1785.423256062435</v>
      </c>
    </row>
    <row r="31" spans="1:17" x14ac:dyDescent="0.2">
      <c r="A31" t="str">
        <f ca="1">OFFSET(Waikato_Reference,28,2)</f>
        <v>Taxi/Vehicle Share</v>
      </c>
      <c r="B31" s="4">
        <f ca="1">'Total Distance Tables Sup #2'!B31</f>
        <v>2.4426175743999998</v>
      </c>
      <c r="C31" s="4">
        <f ca="1">'Total Distance Tables Sup #2'!C31+((C29+C30)*'Other Assumptions'!G8/(1-'Other Assumptions'!G8))</f>
        <v>3.0888088759295314</v>
      </c>
      <c r="D31" s="4">
        <f ca="1">'Total Distance Tables Sup #2'!D31+((D29+D30)*'Other Assumptions'!H8/(1-'Other Assumptions'!H8))</f>
        <v>3.8385242767080596</v>
      </c>
      <c r="E31" s="4">
        <f ca="1">'Total Distance Tables Sup #2'!E31+((E29+E30)*'Other Assumptions'!I8/(1-'Other Assumptions'!I8))</f>
        <v>1271.5765288922141</v>
      </c>
      <c r="F31" s="4">
        <f ca="1">'Total Distance Tables Sup #2'!F31+((F29+F30)*'Other Assumptions'!J8/(1-'Other Assumptions'!J8))</f>
        <v>2798.0574525471015</v>
      </c>
      <c r="G31" s="4">
        <f ca="1">'Total Distance Tables Sup #2'!G31+((G29+G30)*'Other Assumptions'!K8/(1-'Other Assumptions'!K8))</f>
        <v>4560.6350549939334</v>
      </c>
      <c r="H31" s="4">
        <f ca="1">'Total Distance Tables Sup #2'!H31+((H29+H30)*'Other Assumptions'!L8/(1-'Other Assumptions'!L8))</f>
        <v>6538.2270602818808</v>
      </c>
      <c r="I31" s="1">
        <f ca="1">'Total Distance Tables Sup #2'!I31+((I29+I30)*'Other Assumptions'!M8/(1-'Other Assumptions'!M8))</f>
        <v>7014.0441902782795</v>
      </c>
      <c r="J31" s="1">
        <f ca="1">'Total Distance Tables Sup #2'!J31+((J29+J30)*'Other Assumptions'!N8/(1-'Other Assumptions'!N8))</f>
        <v>7600.559325275678</v>
      </c>
      <c r="K31" s="1">
        <f ca="1">'Total Distance Tables Sup #2'!K31+((K29+K30)*'Other Assumptions'!O8/(1-'Other Assumptions'!O8))</f>
        <v>8222.005501528638</v>
      </c>
    </row>
    <row r="32" spans="1:17" x14ac:dyDescent="0.2">
      <c r="A32" t="str">
        <f ca="1">OFFSET(Waikato_Reference,35,2)</f>
        <v>Motorcyclist</v>
      </c>
      <c r="B32" s="4">
        <f ca="1">'Total Distance Tables Sup #2'!B32</f>
        <v>38.030338682999997</v>
      </c>
      <c r="C32" s="4">
        <f ca="1">'Total Distance Tables Sup #2'!C32</f>
        <v>44.997146098819393</v>
      </c>
      <c r="D32" s="4">
        <f ca="1">'Total Distance Tables Sup #2'!D32</f>
        <v>51.486121374251361</v>
      </c>
      <c r="E32" s="4">
        <f ca="1">'Total Distance Tables Sup #2'!E32</f>
        <v>56.561221794638918</v>
      </c>
      <c r="F32" s="4">
        <f ca="1">'Total Distance Tables Sup #2'!F32</f>
        <v>60.512708644626535</v>
      </c>
      <c r="G32" s="4">
        <f ca="1">'Total Distance Tables Sup #2'!G32</f>
        <v>63.071828362289509</v>
      </c>
      <c r="H32" s="4">
        <f ca="1">'Total Distance Tables Sup #2'!H32</f>
        <v>64.86329522449509</v>
      </c>
      <c r="I32" s="1">
        <f ca="1">'Total Distance Tables Sup #2'!I32</f>
        <v>69.742403663920584</v>
      </c>
      <c r="J32" s="1">
        <f ca="1">'Total Distance Tables Sup #2'!J32</f>
        <v>75.75168587911152</v>
      </c>
      <c r="K32" s="1">
        <f ca="1">'Total Distance Tables Sup #2'!K32</f>
        <v>82.128992302528729</v>
      </c>
    </row>
    <row r="33" spans="1:11" x14ac:dyDescent="0.2">
      <c r="A33" t="str">
        <f ca="1">OFFSET(Waikato_Reference,42,2)</f>
        <v>Local Train</v>
      </c>
      <c r="B33" s="4">
        <f ca="1">'Total Distance Tables Sup #2'!B33</f>
        <v>0</v>
      </c>
      <c r="C33" s="4">
        <f ca="1">'Total Distance Tables Sup #2'!C33</f>
        <v>0</v>
      </c>
      <c r="D33" s="4">
        <f ca="1">'Total Distance Tables Sup #2'!D33</f>
        <v>0</v>
      </c>
      <c r="E33" s="4">
        <f ca="1">'Total Distance Tables Sup #2'!E33</f>
        <v>0</v>
      </c>
      <c r="F33" s="4">
        <f ca="1">'Total Distance Tables Sup #2'!F33</f>
        <v>0</v>
      </c>
      <c r="G33" s="4">
        <f ca="1">'Total Distance Tables Sup #2'!G33</f>
        <v>0</v>
      </c>
      <c r="H33" s="4">
        <f ca="1">'Total Distance Tables Sup #2'!H33</f>
        <v>0</v>
      </c>
      <c r="I33" s="1">
        <f ca="1">'Total Distance Tables Sup #2'!I33</f>
        <v>0</v>
      </c>
      <c r="J33" s="1">
        <f ca="1">'Total Distance Tables Sup #2'!J33</f>
        <v>0</v>
      </c>
      <c r="K33" s="1">
        <f ca="1">'Total Distance Tables Sup #2'!K33</f>
        <v>0</v>
      </c>
    </row>
    <row r="34" spans="1:11" x14ac:dyDescent="0.2">
      <c r="A34" t="str">
        <f ca="1">OFFSET(Waikato_Reference,49,2)</f>
        <v>Local Bus</v>
      </c>
      <c r="B34" s="4">
        <f ca="1">'Total Distance Tables Sup #2'!B34</f>
        <v>54.303948532</v>
      </c>
      <c r="C34" s="4">
        <f ca="1">'Total Distance Tables Sup #2'!C34</f>
        <v>55.005731166363248</v>
      </c>
      <c r="D34" s="4">
        <f ca="1">'Total Distance Tables Sup #2'!D34</f>
        <v>60.346180541943887</v>
      </c>
      <c r="E34" s="4">
        <f ca="1">'Total Distance Tables Sup #2'!E34</f>
        <v>64.131711839889817</v>
      </c>
      <c r="F34" s="4">
        <f ca="1">'Total Distance Tables Sup #2'!F34</f>
        <v>67.26472167152582</v>
      </c>
      <c r="G34" s="4">
        <f ca="1">'Total Distance Tables Sup #2'!G34</f>
        <v>71.131459355506891</v>
      </c>
      <c r="H34" s="4">
        <f ca="1">'Total Distance Tables Sup #2'!H34</f>
        <v>74.985225557726579</v>
      </c>
      <c r="I34" s="1">
        <f ca="1">'Total Distance Tables Sup #2'!I34</f>
        <v>80.696332486946702</v>
      </c>
      <c r="J34" s="1">
        <f ca="1">'Total Distance Tables Sup #2'!J34</f>
        <v>87.776919556736459</v>
      </c>
      <c r="K34" s="1">
        <f ca="1">'Total Distance Tables Sup #2'!K34</f>
        <v>95.31609981592797</v>
      </c>
    </row>
    <row r="35" spans="1:11" x14ac:dyDescent="0.2">
      <c r="A35" t="str">
        <f ca="1">OFFSET(Waikato_Reference,56,2)</f>
        <v>Local Ferry</v>
      </c>
      <c r="B35" s="4">
        <f ca="1">'Total Distance Tables Sup #2'!B35</f>
        <v>0</v>
      </c>
      <c r="C35" s="4">
        <f ca="1">'Total Distance Tables Sup #2'!C35</f>
        <v>0</v>
      </c>
      <c r="D35" s="4">
        <f ca="1">'Total Distance Tables Sup #2'!D35</f>
        <v>0</v>
      </c>
      <c r="E35" s="4">
        <f ca="1">'Total Distance Tables Sup #2'!E35</f>
        <v>0</v>
      </c>
      <c r="F35" s="4">
        <f ca="1">'Total Distance Tables Sup #2'!F35</f>
        <v>0</v>
      </c>
      <c r="G35" s="4">
        <f ca="1">'Total Distance Tables Sup #2'!G35</f>
        <v>0</v>
      </c>
      <c r="H35" s="4">
        <f ca="1">'Total Distance Tables Sup #2'!H35</f>
        <v>0</v>
      </c>
      <c r="I35" s="1">
        <f ca="1">'Total Distance Tables Sup #2'!I35</f>
        <v>0</v>
      </c>
      <c r="J35" s="1">
        <f ca="1">'Total Distance Tables Sup #2'!J35</f>
        <v>0</v>
      </c>
      <c r="K35" s="1">
        <f ca="1">'Total Distance Tables Sup #2'!K35</f>
        <v>0</v>
      </c>
    </row>
    <row r="36" spans="1:11" x14ac:dyDescent="0.2">
      <c r="A36" t="str">
        <f ca="1">OFFSET(Waikato_Reference,63,2)</f>
        <v>Other Household Travel</v>
      </c>
      <c r="B36" s="4">
        <f ca="1">'Total Distance Tables Sup #2'!B36</f>
        <v>0</v>
      </c>
      <c r="C36" s="4">
        <f ca="1">'Total Distance Tables Sup #2'!C36</f>
        <v>0</v>
      </c>
      <c r="D36" s="4">
        <f ca="1">'Total Distance Tables Sup #2'!D36</f>
        <v>0</v>
      </c>
      <c r="E36" s="4">
        <f ca="1">'Total Distance Tables Sup #2'!E36</f>
        <v>0</v>
      </c>
      <c r="F36" s="4">
        <f ca="1">'Total Distance Tables Sup #2'!F36</f>
        <v>0</v>
      </c>
      <c r="G36" s="4">
        <f ca="1">'Total Distance Tables Sup #2'!G36</f>
        <v>0</v>
      </c>
      <c r="H36" s="4">
        <f ca="1">'Total Distance Tables Sup #2'!H36</f>
        <v>0</v>
      </c>
      <c r="I36" s="1">
        <f ca="1">'Total Distance Tables Sup #2'!I36</f>
        <v>0</v>
      </c>
      <c r="J36" s="1">
        <f ca="1">'Total Distance Tables Sup #2'!J36</f>
        <v>0</v>
      </c>
      <c r="K36" s="1">
        <f ca="1">'Total Distance Tables Sup #2'!K36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'Total Distance Tables Sup #2'!B38</f>
        <v>35.579183637</v>
      </c>
      <c r="C38" s="4">
        <f ca="1">'Total Distance Tables Sup #2'!C38</f>
        <v>40.679776362592364</v>
      </c>
      <c r="D38" s="4">
        <f ca="1">'Total Distance Tables Sup #2'!D38</f>
        <v>45.841319556189795</v>
      </c>
      <c r="E38" s="4">
        <f ca="1">'Total Distance Tables Sup #2'!E38</f>
        <v>50.218634241119467</v>
      </c>
      <c r="F38" s="4">
        <f ca="1">'Total Distance Tables Sup #2'!F38</f>
        <v>54.327423674017147</v>
      </c>
      <c r="G38" s="4">
        <f ca="1">'Total Distance Tables Sup #2'!G38</f>
        <v>58.555455873428699</v>
      </c>
      <c r="H38" s="4">
        <f ca="1">'Total Distance Tables Sup #2'!H38</f>
        <v>62.564476513886099</v>
      </c>
      <c r="I38" s="1">
        <f ca="1">'Total Distance Tables Sup #2'!I38</f>
        <v>67.12325058693591</v>
      </c>
      <c r="J38" s="1">
        <f ca="1">'Total Distance Tables Sup #2'!J38</f>
        <v>72.763062595506028</v>
      </c>
      <c r="K38" s="1">
        <f ca="1">'Total Distance Tables Sup #2'!K38</f>
        <v>78.745586346059497</v>
      </c>
    </row>
    <row r="39" spans="1:11" x14ac:dyDescent="0.2">
      <c r="A39" t="str">
        <f ca="1">OFFSET(BOP_Reference,7,2)</f>
        <v>Cyclist</v>
      </c>
      <c r="B39" s="4">
        <f ca="1">'Total Distance Tables Sup #2'!B39</f>
        <v>8.5028812633000008</v>
      </c>
      <c r="C39" s="4">
        <f ca="1">'Total Distance Tables Sup #2'!C39</f>
        <v>9.9625438107266184</v>
      </c>
      <c r="D39" s="4">
        <f ca="1">'Total Distance Tables Sup #2'!D39</f>
        <v>12.80060307689063</v>
      </c>
      <c r="E39" s="4">
        <f ca="1">'Total Distance Tables Sup #2'!E39</f>
        <v>15.370833662276539</v>
      </c>
      <c r="F39" s="4">
        <f ca="1">'Total Distance Tables Sup #2'!F39</f>
        <v>18.468041797938881</v>
      </c>
      <c r="G39" s="4">
        <f ca="1">'Total Distance Tables Sup #2'!G39</f>
        <v>22.277609232579774</v>
      </c>
      <c r="H39" s="4">
        <f ca="1">'Total Distance Tables Sup #2'!H39</f>
        <v>26.536205521371606</v>
      </c>
      <c r="I39" s="1">
        <f ca="1">'Total Distance Tables Sup #2'!I39</f>
        <v>28.677246831863158</v>
      </c>
      <c r="J39" s="1">
        <f ca="1">'Total Distance Tables Sup #2'!J39</f>
        <v>31.406965776825054</v>
      </c>
      <c r="K39" s="1">
        <f ca="1">'Total Distance Tables Sup #2'!K39</f>
        <v>34.346397333234933</v>
      </c>
    </row>
    <row r="40" spans="1:11" x14ac:dyDescent="0.2">
      <c r="A40" t="str">
        <f ca="1">OFFSET(BOP_Reference,14,2)</f>
        <v>Light Vehicle Driver</v>
      </c>
      <c r="B40" s="4">
        <f ca="1">'Total Distance Tables Sup #2'!B40</f>
        <v>1972.0747595</v>
      </c>
      <c r="C40" s="4">
        <f ca="1">'Total Distance Tables Sup #2'!C40*(1-'Other Assumptions'!G9)</f>
        <v>2349.265136525697</v>
      </c>
      <c r="D40" s="4">
        <f ca="1">'Total Distance Tables Sup #2'!D40*(1-'Other Assumptions'!H9)</f>
        <v>2676.4533092062534</v>
      </c>
      <c r="E40" s="4">
        <f ca="1">'Total Distance Tables Sup #2'!E40*(1-'Other Assumptions'!I9)</f>
        <v>2556.2300174682091</v>
      </c>
      <c r="F40" s="4">
        <f ca="1">'Total Distance Tables Sup #2'!F40*(1-'Other Assumptions'!J9)</f>
        <v>2329.0495248969632</v>
      </c>
      <c r="G40" s="4">
        <f ca="1">'Total Distance Tables Sup #2'!G40*(1-'Other Assumptions'!K9)</f>
        <v>1993.5560958790109</v>
      </c>
      <c r="H40" s="4">
        <f ca="1">'Total Distance Tables Sup #2'!H40*(1-'Other Assumptions'!L9)</f>
        <v>1561.6391233665709</v>
      </c>
      <c r="I40" s="1">
        <f ca="1">'Total Distance Tables Sup #2'!I40*(1-'Other Assumptions'!M9)</f>
        <v>1674.8093800019387</v>
      </c>
      <c r="J40" s="1">
        <f ca="1">'Total Distance Tables Sup #2'!J40*(1-'Other Assumptions'!N9)</f>
        <v>1814.2092598096094</v>
      </c>
      <c r="K40" s="1">
        <f ca="1">'Total Distance Tables Sup #2'!K40*(1-'Other Assumptions'!O9)</f>
        <v>1961.8488551549331</v>
      </c>
    </row>
    <row r="41" spans="1:11" x14ac:dyDescent="0.2">
      <c r="A41" t="str">
        <f ca="1">OFFSET(BOP_Reference,21,2)</f>
        <v>Light Vehicle Passenger</v>
      </c>
      <c r="B41" s="4">
        <f ca="1">'Total Distance Tables Sup #2'!B41</f>
        <v>1385.2330090999999</v>
      </c>
      <c r="C41" s="4">
        <f ca="1">'Total Distance Tables Sup #2'!C41*(1-'Other Assumptions'!G9)</f>
        <v>1580.2619161280968</v>
      </c>
      <c r="D41" s="4">
        <f ca="1">'Total Distance Tables Sup #2'!D41*(1-'Other Assumptions'!H9)</f>
        <v>1782.2952511246078</v>
      </c>
      <c r="E41" s="4">
        <f ca="1">'Total Distance Tables Sup #2'!E41*(1-'Other Assumptions'!I9)</f>
        <v>1680.2799343231159</v>
      </c>
      <c r="F41" s="4">
        <f ca="1">'Total Distance Tables Sup #2'!F41*(1-'Other Assumptions'!J9)</f>
        <v>1513.4156096260429</v>
      </c>
      <c r="G41" s="4">
        <f ca="1">'Total Distance Tables Sup #2'!G41*(1-'Other Assumptions'!K9)</f>
        <v>1287.9359245041112</v>
      </c>
      <c r="H41" s="4">
        <f ca="1">'Total Distance Tables Sup #2'!H41*(1-'Other Assumptions'!L9)</f>
        <v>1004.6557014932977</v>
      </c>
      <c r="I41" s="1">
        <f ca="1">'Total Distance Tables Sup #2'!I41*(1-'Other Assumptions'!M9)</f>
        <v>1078.4092974274392</v>
      </c>
      <c r="J41" s="1">
        <f ca="1">'Total Distance Tables Sup #2'!J41*(1-'Other Assumptions'!N9)</f>
        <v>1169.4550517120449</v>
      </c>
      <c r="K41" s="1">
        <f ca="1">'Total Distance Tables Sup #2'!K41*(1-'Other Assumptions'!O9)</f>
        <v>1266.0073835586993</v>
      </c>
    </row>
    <row r="42" spans="1:11" x14ac:dyDescent="0.2">
      <c r="A42" t="str">
        <f ca="1">OFFSET(BOP_Reference,28,2)</f>
        <v>Taxi/Vehicle Share</v>
      </c>
      <c r="B42" s="4">
        <f ca="1">'Total Distance Tables Sup #2'!B42</f>
        <v>0.98369936449999995</v>
      </c>
      <c r="C42" s="4">
        <f ca="1">'Total Distance Tables Sup #2'!C42+((C40+C41)*'Other Assumptions'!G9/(1-'Other Assumptions'!G9))</f>
        <v>1.243935751612776</v>
      </c>
      <c r="D42" s="4">
        <f ca="1">'Total Distance Tables Sup #2'!D42+((D40+D41)*'Other Assumptions'!H9/(1-'Other Assumptions'!H9))</f>
        <v>1.5458637206207193</v>
      </c>
      <c r="E42" s="4">
        <f ca="1">'Total Distance Tables Sup #2'!E42+((E40+E41)*'Other Assumptions'!I9/(1-'Other Assumptions'!I9))</f>
        <v>749.47073315543719</v>
      </c>
      <c r="F42" s="4">
        <f ca="1">'Total Distance Tables Sup #2'!F42+((F40+F41)*'Other Assumptions'!J9/(1-'Other Assumptions'!J9))</f>
        <v>1648.9231313467949</v>
      </c>
      <c r="G42" s="4">
        <f ca="1">'Total Distance Tables Sup #2'!G42+((G40+G41)*'Other Assumptions'!K9/(1-'Other Assumptions'!K9))</f>
        <v>2687.2895513929866</v>
      </c>
      <c r="H42" s="4">
        <f ca="1">'Total Distance Tables Sup #2'!H42+((H40+H41)*'Other Assumptions'!L9/(1-'Other Assumptions'!L9))</f>
        <v>3852.1462955331999</v>
      </c>
      <c r="I42" s="1">
        <f ca="1">'Total Distance Tables Sup #2'!I42+((I40+I41)*'Other Assumptions'!M9/(1-'Other Assumptions'!M9))</f>
        <v>4132.7334818831741</v>
      </c>
      <c r="J42" s="1">
        <f ca="1">'Total Distance Tables Sup #2'!J42+((J40+J41)*'Other Assumptions'!N9/(1-'Other Assumptions'!N9))</f>
        <v>4478.6524604716915</v>
      </c>
      <c r="K42" s="1">
        <f ca="1">'Total Distance Tables Sup #2'!K42+((K40+K41)*'Other Assumptions'!O9/(1-'Other Assumptions'!O9))</f>
        <v>4845.2068146057909</v>
      </c>
    </row>
    <row r="43" spans="1:11" x14ac:dyDescent="0.2">
      <c r="A43" t="str">
        <f ca="1">OFFSET(BOP_Reference,35,2)</f>
        <v>Motorcyclist</v>
      </c>
      <c r="B43" s="4">
        <f ca="1">'Total Distance Tables Sup #2'!B43</f>
        <v>35.608960758999999</v>
      </c>
      <c r="C43" s="4">
        <f ca="1">'Total Distance Tables Sup #2'!C43</f>
        <v>42.132194063685709</v>
      </c>
      <c r="D43" s="4">
        <f ca="1">'Total Distance Tables Sup #2'!D43</f>
        <v>48.208018627726929</v>
      </c>
      <c r="E43" s="4">
        <f ca="1">'Total Distance Tables Sup #2'!E43</f>
        <v>52.959989237926834</v>
      </c>
      <c r="F43" s="4">
        <f ca="1">'Total Distance Tables Sup #2'!F43</f>
        <v>56.659886347804843</v>
      </c>
      <c r="G43" s="4">
        <f ca="1">'Total Distance Tables Sup #2'!G43</f>
        <v>59.056067837626287</v>
      </c>
      <c r="H43" s="4">
        <f ca="1">'Total Distance Tables Sup #2'!H43</f>
        <v>60.73347265195266</v>
      </c>
      <c r="I43" s="1">
        <f ca="1">'Total Distance Tables Sup #2'!I43</f>
        <v>65.301930019808609</v>
      </c>
      <c r="J43" s="1">
        <f ca="1">'Total Distance Tables Sup #2'!J43</f>
        <v>70.928603407446445</v>
      </c>
      <c r="K43" s="1">
        <f ca="1">'Total Distance Tables Sup #2'!K43</f>
        <v>76.899869034935975</v>
      </c>
    </row>
    <row r="44" spans="1:11" x14ac:dyDescent="0.2">
      <c r="A44" t="str">
        <f ca="1">OFFSET(Auckland_Reference,42,2)</f>
        <v>Local Train</v>
      </c>
      <c r="B44" s="4">
        <f ca="1">'Total Distance Tables Sup #2'!B44</f>
        <v>0</v>
      </c>
      <c r="C44" s="4">
        <f ca="1">'Total Distance Tables Sup #2'!C44</f>
        <v>0</v>
      </c>
      <c r="D44" s="4">
        <f ca="1">'Total Distance Tables Sup #2'!D44</f>
        <v>0</v>
      </c>
      <c r="E44" s="4">
        <f ca="1">'Total Distance Tables Sup #2'!E44</f>
        <v>0</v>
      </c>
      <c r="F44" s="4">
        <f ca="1">'Total Distance Tables Sup #2'!F44</f>
        <v>0</v>
      </c>
      <c r="G44" s="4">
        <f ca="1">'Total Distance Tables Sup #2'!G44</f>
        <v>0</v>
      </c>
      <c r="H44" s="4">
        <f ca="1">'Total Distance Tables Sup #2'!H44</f>
        <v>0</v>
      </c>
      <c r="I44" s="1">
        <f ca="1">'Total Distance Tables Sup #2'!I44</f>
        <v>0</v>
      </c>
      <c r="J44" s="1">
        <f ca="1">'Total Distance Tables Sup #2'!J44</f>
        <v>0</v>
      </c>
      <c r="K44" s="1">
        <f ca="1">'Total Distance Tables Sup #2'!K44</f>
        <v>0</v>
      </c>
    </row>
    <row r="45" spans="1:11" x14ac:dyDescent="0.2">
      <c r="A45" t="str">
        <f ca="1">OFFSET(BOP_Reference,42,2)</f>
        <v>Local Bus</v>
      </c>
      <c r="B45" s="4">
        <f ca="1">'Total Distance Tables Sup #2'!B45</f>
        <v>52.669440211999998</v>
      </c>
      <c r="C45" s="4">
        <f ca="1">'Total Distance Tables Sup #2'!C45</f>
        <v>53.350099712858089</v>
      </c>
      <c r="D45" s="4">
        <f ca="1">'Total Distance Tables Sup #2'!D45</f>
        <v>58.529805548182516</v>
      </c>
      <c r="E45" s="4">
        <f ca="1">'Total Distance Tables Sup #2'!E45</f>
        <v>62.201395179465514</v>
      </c>
      <c r="F45" s="4">
        <f ca="1">'Total Distance Tables Sup #2'!F45</f>
        <v>65.240103753552404</v>
      </c>
      <c r="G45" s="4">
        <f ca="1">'Total Distance Tables Sup #2'!G45</f>
        <v>68.990455519260891</v>
      </c>
      <c r="H45" s="4">
        <f ca="1">'Total Distance Tables Sup #2'!H45</f>
        <v>72.72822623512748</v>
      </c>
      <c r="I45" s="1">
        <f ca="1">'Total Distance Tables Sup #2'!I45</f>
        <v>78.267433108374348</v>
      </c>
      <c r="J45" s="1">
        <f ca="1">'Total Distance Tables Sup #2'!J45</f>
        <v>85.134899792097954</v>
      </c>
      <c r="K45" s="1">
        <f ca="1">'Total Distance Tables Sup #2'!K45</f>
        <v>92.447156352502319</v>
      </c>
    </row>
    <row r="46" spans="1:11" x14ac:dyDescent="0.2">
      <c r="A46" t="str">
        <f ca="1">OFFSET(Waikato_Reference,56,2)</f>
        <v>Local Ferry</v>
      </c>
      <c r="B46" s="4">
        <f>'Total Distance Tables Sup #2'!B46</f>
        <v>0</v>
      </c>
      <c r="C46" s="4">
        <f ca="1">'Total Distance Tables Sup #2'!C46</f>
        <v>0</v>
      </c>
      <c r="D46" s="4">
        <f ca="1">'Total Distance Tables Sup #2'!D46</f>
        <v>0</v>
      </c>
      <c r="E46" s="4">
        <f ca="1">'Total Distance Tables Sup #2'!E46</f>
        <v>0</v>
      </c>
      <c r="F46" s="4">
        <f ca="1">'Total Distance Tables Sup #2'!F46</f>
        <v>0</v>
      </c>
      <c r="G46" s="4">
        <f ca="1">'Total Distance Tables Sup #2'!G46</f>
        <v>0</v>
      </c>
      <c r="H46" s="4">
        <f ca="1">'Total Distance Tables Sup #2'!H46</f>
        <v>0</v>
      </c>
      <c r="I46" s="1">
        <f ca="1">'Total Distance Tables Sup #2'!I46</f>
        <v>0</v>
      </c>
      <c r="J46" s="1">
        <f ca="1">'Total Distance Tables Sup #2'!J46</f>
        <v>0</v>
      </c>
      <c r="K46" s="1">
        <f ca="1">'Total Distance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Distance Tables Sup #2'!B47</f>
        <v>0</v>
      </c>
      <c r="C47" s="4">
        <f ca="1">'Total Distance Tables Sup #2'!C47</f>
        <v>0</v>
      </c>
      <c r="D47" s="4">
        <f ca="1">'Total Distance Tables Sup #2'!D47</f>
        <v>0</v>
      </c>
      <c r="E47" s="4">
        <f ca="1">'Total Distance Tables Sup #2'!E47</f>
        <v>0</v>
      </c>
      <c r="F47" s="4">
        <f ca="1">'Total Distance Tables Sup #2'!F47</f>
        <v>0</v>
      </c>
      <c r="G47" s="4">
        <f ca="1">'Total Distance Tables Sup #2'!G47</f>
        <v>0</v>
      </c>
      <c r="H47" s="4">
        <f ca="1">'Total Distance Tables Sup #2'!H47</f>
        <v>0</v>
      </c>
      <c r="I47" s="1">
        <f ca="1">'Total Distance Tables Sup #2'!I47</f>
        <v>0</v>
      </c>
      <c r="J47" s="1">
        <f ca="1">'Total Distance Tables Sup #2'!J47</f>
        <v>0</v>
      </c>
      <c r="K47" s="1">
        <f ca="1">'Total Distance Tables Sup #2'!K47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'Total Distance Tables Sup #2'!B49</f>
        <v>7.5635235767999998</v>
      </c>
      <c r="C49" s="4">
        <f ca="1">'Total Distance Tables Sup #2'!C49</f>
        <v>7.6040507196101741</v>
      </c>
      <c r="D49" s="4">
        <f ca="1">'Total Distance Tables Sup #2'!D49</f>
        <v>7.765777623244615</v>
      </c>
      <c r="E49" s="4">
        <f ca="1">'Total Distance Tables Sup #2'!E49</f>
        <v>7.815212523982094</v>
      </c>
      <c r="F49" s="4">
        <f ca="1">'Total Distance Tables Sup #2'!F49</f>
        <v>7.7948154688962266</v>
      </c>
      <c r="G49" s="4">
        <f ca="1">'Total Distance Tables Sup #2'!G49</f>
        <v>7.7538858163006763</v>
      </c>
      <c r="H49" s="4">
        <f ca="1">'Total Distance Tables Sup #2'!H49</f>
        <v>7.6650480922986883</v>
      </c>
      <c r="I49" s="1">
        <f ca="1">'Total Distance Tables Sup #2'!I49</f>
        <v>7.734088494223788</v>
      </c>
      <c r="J49" s="1">
        <f ca="1">'Total Distance Tables Sup #2'!J49</f>
        <v>7.7790192127250144</v>
      </c>
      <c r="K49" s="1">
        <f ca="1">'Total Distance Tables Sup #2'!K49</f>
        <v>7.8053321978431045</v>
      </c>
    </row>
    <row r="50" spans="1:11" x14ac:dyDescent="0.2">
      <c r="A50" t="str">
        <f ca="1">OFFSET(Gisborne_Reference,7,2)</f>
        <v>Cyclist</v>
      </c>
      <c r="B50" s="4">
        <f ca="1">'Total Distance Tables Sup #2'!B50</f>
        <v>3.8031873472000002</v>
      </c>
      <c r="C50" s="4">
        <f ca="1">'Total Distance Tables Sup #2'!C50</f>
        <v>3.918231678402456</v>
      </c>
      <c r="D50" s="4">
        <f ca="1">'Total Distance Tables Sup #2'!D50</f>
        <v>4.5625925798857194</v>
      </c>
      <c r="E50" s="4">
        <f ca="1">'Total Distance Tables Sup #2'!E50</f>
        <v>5.0329977590937949</v>
      </c>
      <c r="F50" s="4">
        <f ca="1">'Total Distance Tables Sup #2'!F50</f>
        <v>5.575206987758154</v>
      </c>
      <c r="G50" s="4">
        <f ca="1">'Total Distance Tables Sup #2'!G50</f>
        <v>6.2068898124867911</v>
      </c>
      <c r="H50" s="4">
        <f ca="1">'Total Distance Tables Sup #2'!H50</f>
        <v>6.8403655340337899</v>
      </c>
      <c r="I50" s="1">
        <f ca="1">'Total Distance Tables Sup #2'!I50</f>
        <v>6.952276408743546</v>
      </c>
      <c r="J50" s="1">
        <f ca="1">'Total Distance Tables Sup #2'!J50</f>
        <v>7.0646926763479865</v>
      </c>
      <c r="K50" s="1">
        <f ca="1">'Total Distance Tables Sup #2'!K50</f>
        <v>7.1630796299660986</v>
      </c>
    </row>
    <row r="51" spans="1:11" x14ac:dyDescent="0.2">
      <c r="A51" t="str">
        <f ca="1">OFFSET(Gisborne_Reference,14,2)</f>
        <v>Light Vehicle Driver</v>
      </c>
      <c r="B51" s="4">
        <f ca="1">'Total Distance Tables Sup #2'!B51</f>
        <v>241.40144318</v>
      </c>
      <c r="C51" s="4">
        <f ca="1">'Total Distance Tables Sup #2'!C51*(1-'Other Assumptions'!G10)</f>
        <v>252.86387180995251</v>
      </c>
      <c r="D51" s="4">
        <f ca="1">'Total Distance Tables Sup #2'!D51*(1-'Other Assumptions'!H10)</f>
        <v>260.98986388365529</v>
      </c>
      <c r="E51" s="4">
        <f ca="1">'Total Distance Tables Sup #2'!E51*(1-'Other Assumptions'!I10)</f>
        <v>228.91128040731678</v>
      </c>
      <c r="F51" s="4">
        <f ca="1">'Total Distance Tables Sup #2'!F51*(1-'Other Assumptions'!J10)</f>
        <v>192.22528368623864</v>
      </c>
      <c r="G51" s="4">
        <f ca="1">'Total Distance Tables Sup #2'!G51*(1-'Other Assumptions'!K10)</f>
        <v>151.79821523072471</v>
      </c>
      <c r="H51" s="4">
        <f ca="1">'Total Distance Tables Sup #2'!H51*(1-'Other Assumptions'!L10)</f>
        <v>109.97297996744953</v>
      </c>
      <c r="I51" s="1">
        <f ca="1">'Total Distance Tables Sup #2'!I51*(1-'Other Assumptions'!M10)</f>
        <v>110.92124423408728</v>
      </c>
      <c r="J51" s="1">
        <f ca="1">'Total Distance Tables Sup #2'!J51*(1-'Other Assumptions'!N10)</f>
        <v>111.48259931413007</v>
      </c>
      <c r="K51" s="1">
        <f ca="1">'Total Distance Tables Sup #2'!K51*(1-'Other Assumptions'!O10)</f>
        <v>111.77094766153492</v>
      </c>
    </row>
    <row r="52" spans="1:11" x14ac:dyDescent="0.2">
      <c r="A52" t="str">
        <f ca="1">OFFSET(Gisborne_Reference,21,2)</f>
        <v>Light Vehicle Passenger</v>
      </c>
      <c r="B52" s="4">
        <f ca="1">'Total Distance Tables Sup #2'!B52</f>
        <v>174.74236519999999</v>
      </c>
      <c r="C52" s="4">
        <f ca="1">'Total Distance Tables Sup #2'!C52*(1-'Other Assumptions'!G10)</f>
        <v>175.28417702603502</v>
      </c>
      <c r="D52" s="4">
        <f ca="1">'Total Distance Tables Sup #2'!D52*(1-'Other Assumptions'!H10)</f>
        <v>179.07569344762618</v>
      </c>
      <c r="E52" s="4">
        <f ca="1">'Total Distance Tables Sup #2'!E52*(1-'Other Assumptions'!I10)</f>
        <v>155.01496559576955</v>
      </c>
      <c r="F52" s="4">
        <f ca="1">'Total Distance Tables Sup #2'!F52*(1-'Other Assumptions'!J10)</f>
        <v>128.6592385061366</v>
      </c>
      <c r="G52" s="4">
        <f ca="1">'Total Distance Tables Sup #2'!G52*(1-'Other Assumptions'!K10)</f>
        <v>100.99583991415366</v>
      </c>
      <c r="H52" s="4">
        <f ca="1">'Total Distance Tables Sup #2'!H52*(1-'Other Assumptions'!L10)</f>
        <v>72.846405281660992</v>
      </c>
      <c r="I52" s="1">
        <f ca="1">'Total Distance Tables Sup #2'!I52*(1-'Other Assumptions'!M10)</f>
        <v>73.538887923656148</v>
      </c>
      <c r="J52" s="1">
        <f ca="1">'Total Distance Tables Sup #2'!J52*(1-'Other Assumptions'!N10)</f>
        <v>73.992039337600062</v>
      </c>
      <c r="K52" s="1">
        <f ca="1">'Total Distance Tables Sup #2'!K52*(1-'Other Assumptions'!O10)</f>
        <v>74.264103098271164</v>
      </c>
    </row>
    <row r="53" spans="1:11" x14ac:dyDescent="0.2">
      <c r="A53" t="str">
        <f ca="1">OFFSET(Gisborne_Reference,28,2)</f>
        <v>Taxi/Vehicle Share</v>
      </c>
      <c r="B53" s="4">
        <f ca="1">'Total Distance Tables Sup #2'!B53</f>
        <v>0.1174510768</v>
      </c>
      <c r="C53" s="4">
        <f ca="1">'Total Distance Tables Sup #2'!C53+((C51+C52)*'Other Assumptions'!G10/(1-'Other Assumptions'!G10))</f>
        <v>0.13059628534777873</v>
      </c>
      <c r="D53" s="4">
        <f ca="1">'Total Distance Tables Sup #2'!D53+((D51+D52)*'Other Assumptions'!H10/(1-'Other Assumptions'!H10))</f>
        <v>0.14708401303831703</v>
      </c>
      <c r="E53" s="4">
        <f ca="1">'Total Distance Tables Sup #2'!E53+((E51+E52)*'Other Assumptions'!I10/(1-'Other Assumptions'!I10))</f>
        <v>67.913508212853287</v>
      </c>
      <c r="F53" s="4">
        <f ca="1">'Total Distance Tables Sup #2'!F53+((F51+F52)*'Other Assumptions'!J10/(1-'Other Assumptions'!J10))</f>
        <v>137.69538554351277</v>
      </c>
      <c r="G53" s="4">
        <f ca="1">'Total Distance Tables Sup #2'!G53+((G51+G52)*'Other Assumptions'!K10/(1-'Other Assumptions'!K10))</f>
        <v>207.01240912385524</v>
      </c>
      <c r="H53" s="4">
        <f ca="1">'Total Distance Tables Sup #2'!H53+((H51+H52)*'Other Assumptions'!L10/(1-'Other Assumptions'!L10))</f>
        <v>274.41514495129087</v>
      </c>
      <c r="I53" s="1">
        <f ca="1">'Total Distance Tables Sup #2'!I53+((I51+I52)*'Other Assumptions'!M10/(1-'Other Assumptions'!M10))</f>
        <v>276.87822442473993</v>
      </c>
      <c r="J53" s="1">
        <f ca="1">'Total Distance Tables Sup #2'!J53+((J51+J52)*'Other Assumptions'!N10/(1-'Other Assumptions'!N10))</f>
        <v>278.40146109432737</v>
      </c>
      <c r="K53" s="1">
        <f ca="1">'Total Distance Tables Sup #2'!K53+((K51+K52)*'Other Assumptions'!O10/(1-'Other Assumptions'!O10))</f>
        <v>279.24310884668364</v>
      </c>
    </row>
    <row r="54" spans="1:11" x14ac:dyDescent="0.2">
      <c r="A54" t="str">
        <f ca="1">OFFSET(Gisborne_Reference,35,2)</f>
        <v>Motorcyclist</v>
      </c>
      <c r="B54" s="4">
        <f ca="1">'Total Distance Tables Sup #2'!B54</f>
        <v>0.95186353219999997</v>
      </c>
      <c r="C54" s="4">
        <f ca="1">'Total Distance Tables Sup #2'!C54</f>
        <v>0.99030216281165173</v>
      </c>
      <c r="D54" s="4">
        <f ca="1">'Total Distance Tables Sup #2'!D54</f>
        <v>1.0269145924934251</v>
      </c>
      <c r="E54" s="4">
        <f ca="1">'Total Distance Tables Sup #2'!E54</f>
        <v>1.0363608219073792</v>
      </c>
      <c r="F54" s="4">
        <f ca="1">'Total Distance Tables Sup #2'!F54</f>
        <v>1.0222323729401113</v>
      </c>
      <c r="G54" s="4">
        <f ca="1">'Total Distance Tables Sup #2'!G54</f>
        <v>0.98334013434569301</v>
      </c>
      <c r="H54" s="4">
        <f ca="1">'Total Distance Tables Sup #2'!H54</f>
        <v>0.93562622541006735</v>
      </c>
      <c r="I54" s="1">
        <f ca="1">'Total Distance Tables Sup #2'!I54</f>
        <v>0.94612687212621072</v>
      </c>
      <c r="J54" s="1">
        <f ca="1">'Total Distance Tables Sup #2'!J54</f>
        <v>0.95350392672172679</v>
      </c>
      <c r="K54" s="1">
        <f ca="1">'Total Distance Tables Sup #2'!K54</f>
        <v>0.95846878590905782</v>
      </c>
    </row>
    <row r="55" spans="1:11" x14ac:dyDescent="0.2">
      <c r="A55" t="str">
        <f ca="1">OFFSET(Gisborne_Reference,42,2)</f>
        <v>Local Train</v>
      </c>
      <c r="B55" s="4">
        <f ca="1">'Total Distance Tables Sup #2'!B55</f>
        <v>0</v>
      </c>
      <c r="C55" s="4">
        <f ca="1">'Total Distance Tables Sup #2'!C55</f>
        <v>0</v>
      </c>
      <c r="D55" s="4">
        <f ca="1">'Total Distance Tables Sup #2'!D55</f>
        <v>0</v>
      </c>
      <c r="E55" s="4">
        <f ca="1">'Total Distance Tables Sup #2'!E55</f>
        <v>0</v>
      </c>
      <c r="F55" s="4">
        <f ca="1">'Total Distance Tables Sup #2'!F55</f>
        <v>0</v>
      </c>
      <c r="G55" s="4">
        <f ca="1">'Total Distance Tables Sup #2'!G55</f>
        <v>0</v>
      </c>
      <c r="H55" s="4">
        <f ca="1">'Total Distance Tables Sup #2'!H55</f>
        <v>0</v>
      </c>
      <c r="I55" s="1">
        <f ca="1">'Total Distance Tables Sup #2'!I55</f>
        <v>0</v>
      </c>
      <c r="J55" s="1">
        <f ca="1">'Total Distance Tables Sup #2'!J55</f>
        <v>0</v>
      </c>
      <c r="K55" s="1">
        <f ca="1">'Total Distance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Distance Tables Sup #2'!B56</f>
        <v>4.8778387282000004</v>
      </c>
      <c r="C56" s="4">
        <f ca="1">'Total Distance Tables Sup #2'!C56</f>
        <v>4.3445243198626304</v>
      </c>
      <c r="D56" s="4">
        <f ca="1">'Total Distance Tables Sup #2'!D56</f>
        <v>4.3196192701959948</v>
      </c>
      <c r="E56" s="4">
        <f ca="1">'Total Distance Tables Sup #2'!E56</f>
        <v>4.2171259325116539</v>
      </c>
      <c r="F56" s="4">
        <f ca="1">'Total Distance Tables Sup #2'!F56</f>
        <v>4.0779502200939763</v>
      </c>
      <c r="G56" s="4">
        <f ca="1">'Total Distance Tables Sup #2'!G56</f>
        <v>3.9799864749803469</v>
      </c>
      <c r="H56" s="4">
        <f ca="1">'Total Distance Tables Sup #2'!H56</f>
        <v>3.8817772784077436</v>
      </c>
      <c r="I56" s="1">
        <f ca="1">'Total Distance Tables Sup #2'!I56</f>
        <v>3.928780781883864</v>
      </c>
      <c r="J56" s="1">
        <f ca="1">'Total Distance Tables Sup #2'!J56</f>
        <v>3.9651721941059672</v>
      </c>
      <c r="K56" s="1">
        <f ca="1">'Total Distance Tables Sup #2'!K56</f>
        <v>3.9920803716409341</v>
      </c>
    </row>
    <row r="57" spans="1:11" x14ac:dyDescent="0.2">
      <c r="A57" t="str">
        <f ca="1">OFFSET(Gisborne_Reference,56,2)</f>
        <v>Local Ferry</v>
      </c>
      <c r="B57" s="4">
        <f ca="1">'Total Distance Tables Sup #2'!B57</f>
        <v>0</v>
      </c>
      <c r="C57" s="4">
        <f ca="1">'Total Distance Tables Sup #2'!C57</f>
        <v>0</v>
      </c>
      <c r="D57" s="4">
        <f ca="1">'Total Distance Tables Sup #2'!D57</f>
        <v>0</v>
      </c>
      <c r="E57" s="4">
        <f ca="1">'Total Distance Tables Sup #2'!E57</f>
        <v>0</v>
      </c>
      <c r="F57" s="4">
        <f ca="1">'Total Distance Tables Sup #2'!F57</f>
        <v>0</v>
      </c>
      <c r="G57" s="4">
        <f ca="1">'Total Distance Tables Sup #2'!G57</f>
        <v>0</v>
      </c>
      <c r="H57" s="4">
        <f ca="1">'Total Distance Tables Sup #2'!H57</f>
        <v>0</v>
      </c>
      <c r="I57" s="1">
        <f ca="1">'Total Distance Tables Sup #2'!I57</f>
        <v>0</v>
      </c>
      <c r="J57" s="1">
        <f ca="1">'Total Distance Tables Sup #2'!J57</f>
        <v>0</v>
      </c>
      <c r="K57" s="1">
        <f ca="1">'Total Distance Tables Sup #2'!K57</f>
        <v>0</v>
      </c>
    </row>
    <row r="58" spans="1:11" x14ac:dyDescent="0.2">
      <c r="A58" t="str">
        <f ca="1">OFFSET(Gisborne_Reference,63,2)</f>
        <v>Other Household Travel</v>
      </c>
      <c r="B58" s="4">
        <f ca="1">'Total Distance Tables Sup #2'!B58</f>
        <v>0</v>
      </c>
      <c r="C58" s="4">
        <f ca="1">'Total Distance Tables Sup #2'!C58</f>
        <v>0</v>
      </c>
      <c r="D58" s="4">
        <f ca="1">'Total Distance Tables Sup #2'!D58</f>
        <v>0</v>
      </c>
      <c r="E58" s="4">
        <f ca="1">'Total Distance Tables Sup #2'!E58</f>
        <v>0</v>
      </c>
      <c r="F58" s="4">
        <f ca="1">'Total Distance Tables Sup #2'!F58</f>
        <v>0</v>
      </c>
      <c r="G58" s="4">
        <f ca="1">'Total Distance Tables Sup #2'!G58</f>
        <v>0</v>
      </c>
      <c r="H58" s="4">
        <f ca="1">'Total Distance Tables Sup #2'!H58</f>
        <v>0</v>
      </c>
      <c r="I58" s="1">
        <f ca="1">'Total Distance Tables Sup #2'!I58</f>
        <v>0</v>
      </c>
      <c r="J58" s="1">
        <f ca="1">'Total Distance Tables Sup #2'!J58</f>
        <v>0</v>
      </c>
      <c r="K58" s="1">
        <f ca="1">'Total Distance Tables Sup #2'!K58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'Total Distance Tables Sup #2'!B60</f>
        <v>22.691613215</v>
      </c>
      <c r="C60" s="4">
        <f ca="1">'Total Distance Tables Sup #2'!C60</f>
        <v>22.961160042880099</v>
      </c>
      <c r="D60" s="4">
        <f ca="1">'Total Distance Tables Sup #2'!D60</f>
        <v>23.485263278558563</v>
      </c>
      <c r="E60" s="4">
        <f ca="1">'Total Distance Tables Sup #2'!E60</f>
        <v>23.699879907467604</v>
      </c>
      <c r="F60" s="4">
        <f ca="1">'Total Distance Tables Sup #2'!F60</f>
        <v>23.676831960988626</v>
      </c>
      <c r="G60" s="4">
        <f ca="1">'Total Distance Tables Sup #2'!G60</f>
        <v>23.626994489160509</v>
      </c>
      <c r="H60" s="4">
        <f ca="1">'Total Distance Tables Sup #2'!H60</f>
        <v>23.414461984505031</v>
      </c>
      <c r="I60" s="1">
        <f ca="1">'Total Distance Tables Sup #2'!I60</f>
        <v>23.68419653590913</v>
      </c>
      <c r="J60" s="1">
        <f ca="1">'Total Distance Tables Sup #2'!J60</f>
        <v>23.881114104103823</v>
      </c>
      <c r="K60" s="1">
        <f ca="1">'Total Distance Tables Sup #2'!K60</f>
        <v>24.021567942147367</v>
      </c>
    </row>
    <row r="61" spans="1:11" x14ac:dyDescent="0.2">
      <c r="A61" t="str">
        <f ca="1">OFFSET(Hawkes_Bay_Reference,7,2)</f>
        <v>Cyclist</v>
      </c>
      <c r="B61" s="4">
        <f ca="1">'Total Distance Tables Sup #2'!B61</f>
        <v>9.5482363540000001</v>
      </c>
      <c r="C61" s="4">
        <f ca="1">'Total Distance Tables Sup #2'!C61</f>
        <v>9.9008656245466291</v>
      </c>
      <c r="D61" s="4">
        <f ca="1">'Total Distance Tables Sup #2'!D61</f>
        <v>11.546660771305834</v>
      </c>
      <c r="E61" s="4">
        <f ca="1">'Total Distance Tables Sup #2'!E61</f>
        <v>12.772218037276653</v>
      </c>
      <c r="F61" s="4">
        <f ca="1">'Total Distance Tables Sup #2'!F61</f>
        <v>14.171407403356829</v>
      </c>
      <c r="G61" s="4">
        <f ca="1">'Total Distance Tables Sup #2'!G61</f>
        <v>15.826954302194862</v>
      </c>
      <c r="H61" s="4">
        <f ca="1">'Total Distance Tables Sup #2'!H61</f>
        <v>17.485692758026211</v>
      </c>
      <c r="I61" s="1">
        <f ca="1">'Total Distance Tables Sup #2'!I61</f>
        <v>17.816023783627735</v>
      </c>
      <c r="J61" s="1">
        <f ca="1">'Total Distance Tables Sup #2'!J61</f>
        <v>18.14919002522636</v>
      </c>
      <c r="K61" s="1">
        <f ca="1">'Total Distance Tables Sup #2'!K61</f>
        <v>18.44777414789278</v>
      </c>
    </row>
    <row r="62" spans="1:11" x14ac:dyDescent="0.2">
      <c r="A62" t="str">
        <f ca="1">OFFSET(Hawkes_Bay_Reference,14,2)</f>
        <v>Light Vehicle Driver</v>
      </c>
      <c r="B62" s="4">
        <f ca="1">'Total Distance Tables Sup #2'!B62</f>
        <v>1001.7566771</v>
      </c>
      <c r="C62" s="4">
        <f ca="1">'Total Distance Tables Sup #2'!C62*(1-'Other Assumptions'!G11)</f>
        <v>1056.1285444742146</v>
      </c>
      <c r="D62" s="4">
        <f ca="1">'Total Distance Tables Sup #2'!D62*(1-'Other Assumptions'!H11)</f>
        <v>1091.9455912365918</v>
      </c>
      <c r="E62" s="4">
        <f ca="1">'Total Distance Tables Sup #2'!E62*(1-'Other Assumptions'!I11)</f>
        <v>960.55192509427775</v>
      </c>
      <c r="F62" s="4">
        <f ca="1">'Total Distance Tables Sup #2'!F62*(1-'Other Assumptions'!J11)</f>
        <v>808.08794768619259</v>
      </c>
      <c r="G62" s="4">
        <f ca="1">'Total Distance Tables Sup #2'!G62*(1-'Other Assumptions'!K11)</f>
        <v>640.28739229110431</v>
      </c>
      <c r="H62" s="4">
        <f ca="1">'Total Distance Tables Sup #2'!H62*(1-'Other Assumptions'!L11)</f>
        <v>465.12337597651305</v>
      </c>
      <c r="I62" s="1">
        <f ca="1">'Total Distance Tables Sup #2'!I62*(1-'Other Assumptions'!M11)</f>
        <v>470.30530866900483</v>
      </c>
      <c r="J62" s="1">
        <f ca="1">'Total Distance Tables Sup #2'!J62*(1-'Other Assumptions'!N11)</f>
        <v>473.86700378058077</v>
      </c>
      <c r="K62" s="1">
        <f ca="1">'Total Distance Tables Sup #2'!K62*(1-'Other Assumptions'!O11)</f>
        <v>476.28037997716046</v>
      </c>
    </row>
    <row r="63" spans="1:11" x14ac:dyDescent="0.2">
      <c r="A63" t="str">
        <f ca="1">OFFSET(Hawkes_Bay_Reference,21,2)</f>
        <v>Light Vehicle Passenger</v>
      </c>
      <c r="B63" s="4">
        <f ca="1">'Total Distance Tables Sup #2'!B63</f>
        <v>607.82570181000006</v>
      </c>
      <c r="C63" s="4">
        <f ca="1">'Total Distance Tables Sup #2'!C63*(1-'Other Assumptions'!G11)</f>
        <v>613.66475065561042</v>
      </c>
      <c r="D63" s="4">
        <f ca="1">'Total Distance Tables Sup #2'!D63*(1-'Other Assumptions'!H11)</f>
        <v>628.01414471000726</v>
      </c>
      <c r="E63" s="4">
        <f ca="1">'Total Distance Tables Sup #2'!E63*(1-'Other Assumptions'!I11)</f>
        <v>545.23302001267439</v>
      </c>
      <c r="F63" s="4">
        <f ca="1">'Total Distance Tables Sup #2'!F63*(1-'Other Assumptions'!J11)</f>
        <v>453.36250890200864</v>
      </c>
      <c r="G63" s="4">
        <f ca="1">'Total Distance Tables Sup #2'!G63*(1-'Other Assumptions'!K11)</f>
        <v>357.08410222838063</v>
      </c>
      <c r="H63" s="4">
        <f ca="1">'Total Distance Tables Sup #2'!H63*(1-'Other Assumptions'!L11)</f>
        <v>258.25705515988278</v>
      </c>
      <c r="I63" s="1">
        <f ca="1">'Total Distance Tables Sup #2'!I63*(1-'Other Assumptions'!M11)</f>
        <v>261.36286641264212</v>
      </c>
      <c r="J63" s="1">
        <f ca="1">'Total Distance Tables Sup #2'!J63*(1-'Other Assumptions'!N11)</f>
        <v>263.63059371716719</v>
      </c>
      <c r="K63" s="1">
        <f ca="1">'Total Distance Tables Sup #2'!K63*(1-'Other Assumptions'!O11)</f>
        <v>265.26129020653428</v>
      </c>
    </row>
    <row r="64" spans="1:11" x14ac:dyDescent="0.2">
      <c r="A64" t="str">
        <f ca="1">OFFSET(Hawkes_Bay_Reference,28,2)</f>
        <v>Taxi/Vehicle Share</v>
      </c>
      <c r="B64" s="4">
        <f ca="1">'Total Distance Tables Sup #2'!B64</f>
        <v>1.7589425135000001</v>
      </c>
      <c r="C64" s="4">
        <f ca="1">'Total Distance Tables Sup #2'!C64+((C62+C63)*'Other Assumptions'!G11/(1-'Other Assumptions'!G11))</f>
        <v>1.9684894007348599</v>
      </c>
      <c r="D64" s="4">
        <f ca="1">'Total Distance Tables Sup #2'!D64+((D62+D63)*'Other Assumptions'!H11/(1-'Other Assumptions'!H11))</f>
        <v>2.2203906480321751</v>
      </c>
      <c r="E64" s="4">
        <f ca="1">'Total Distance Tables Sup #2'!E64+((E62+E63)*'Other Assumptions'!I11/(1-'Other Assumptions'!I11))</f>
        <v>268.17629721252081</v>
      </c>
      <c r="F64" s="4">
        <f ca="1">'Total Distance Tables Sup #2'!F64+((F62+F63)*'Other Assumptions'!J11/(1-'Other Assumptions'!J11))</f>
        <v>543.25152365443307</v>
      </c>
      <c r="G64" s="4">
        <f ca="1">'Total Distance Tables Sup #2'!G64+((G62+G63)*'Other Assumptions'!K11/(1-'Other Assumptions'!K11))</f>
        <v>818.78293994464616</v>
      </c>
      <c r="H64" s="4">
        <f ca="1">'Total Distance Tables Sup #2'!H64+((H62+H63)*'Other Assumptions'!L11/(1-'Other Assumptions'!L11))</f>
        <v>1087.9078618628771</v>
      </c>
      <c r="I64" s="1">
        <f ca="1">'Total Distance Tables Sup #2'!I64+((I62+I63)*'Other Assumptions'!M11/(1-'Other Assumptions'!M11))</f>
        <v>1100.3764911578617</v>
      </c>
      <c r="J64" s="1">
        <f ca="1">'Total Distance Tables Sup #2'!J64+((J62+J63)*'Other Assumptions'!N11/(1-'Other Assumptions'!N11))</f>
        <v>1109.1504157753652</v>
      </c>
      <c r="K64" s="1">
        <f ca="1">'Total Distance Tables Sup #2'!K64+((K62+K63)*'Other Assumptions'!O11/(1-'Other Assumptions'!O11))</f>
        <v>1115.2395740947952</v>
      </c>
    </row>
    <row r="65" spans="1:11" x14ac:dyDescent="0.2">
      <c r="A65" t="str">
        <f ca="1">OFFSET(Hawkes_Bay_Reference,35,2)</f>
        <v>Motorcyclist</v>
      </c>
      <c r="B65" s="4">
        <f ca="1">'Total Distance Tables Sup #2'!B65</f>
        <v>3.0321841239</v>
      </c>
      <c r="C65" s="4">
        <f ca="1">'Total Distance Tables Sup #2'!C65</f>
        <v>3.1750913296869894</v>
      </c>
      <c r="D65" s="4">
        <f ca="1">'Total Distance Tables Sup #2'!D65</f>
        <v>3.2974975536063118</v>
      </c>
      <c r="E65" s="4">
        <f ca="1">'Total Distance Tables Sup #2'!E65</f>
        <v>3.3369985146029117</v>
      </c>
      <c r="F65" s="4">
        <f ca="1">'Total Distance Tables Sup #2'!F65</f>
        <v>3.2969097416629429</v>
      </c>
      <c r="G65" s="4">
        <f ca="1">'Total Distance Tables Sup #2'!G65</f>
        <v>3.1815043211597285</v>
      </c>
      <c r="H65" s="4">
        <f ca="1">'Total Distance Tables Sup #2'!H65</f>
        <v>3.0346692166692359</v>
      </c>
      <c r="I65" s="1">
        <f ca="1">'Total Distance Tables Sup #2'!I65</f>
        <v>3.0763700218515662</v>
      </c>
      <c r="J65" s="1">
        <f ca="1">'Total Distance Tables Sup #2'!J65</f>
        <v>3.1080779282254758</v>
      </c>
      <c r="K65" s="1">
        <f ca="1">'Total Distance Tables Sup #2'!K65</f>
        <v>3.1320422189176349</v>
      </c>
    </row>
    <row r="66" spans="1:11" x14ac:dyDescent="0.2">
      <c r="A66" t="str">
        <f ca="1">OFFSET(Auckland_Reference,42,2)</f>
        <v>Local Train</v>
      </c>
      <c r="B66" s="4">
        <f ca="1">'Total Distance Tables Sup #2'!B66</f>
        <v>0</v>
      </c>
      <c r="C66" s="4">
        <f ca="1">'Total Distance Tables Sup #2'!C66</f>
        <v>0</v>
      </c>
      <c r="D66" s="4">
        <f ca="1">'Total Distance Tables Sup #2'!D66</f>
        <v>0</v>
      </c>
      <c r="E66" s="4">
        <f ca="1">'Total Distance Tables Sup #2'!E66</f>
        <v>0</v>
      </c>
      <c r="F66" s="4">
        <f ca="1">'Total Distance Tables Sup #2'!F66</f>
        <v>0</v>
      </c>
      <c r="G66" s="4">
        <f ca="1">'Total Distance Tables Sup #2'!G66</f>
        <v>0</v>
      </c>
      <c r="H66" s="4">
        <f ca="1">'Total Distance Tables Sup #2'!H66</f>
        <v>0</v>
      </c>
      <c r="I66" s="1">
        <f ca="1">'Total Distance Tables Sup #2'!I66</f>
        <v>0</v>
      </c>
      <c r="J66" s="1">
        <f ca="1">'Total Distance Tables Sup #2'!J66</f>
        <v>0</v>
      </c>
      <c r="K66" s="1">
        <f ca="1">'Total Distance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Distance Tables Sup #2'!B67</f>
        <v>39.591997026999998</v>
      </c>
      <c r="C67" s="4">
        <f ca="1">'Total Distance Tables Sup #2'!C67</f>
        <v>35.491946384259734</v>
      </c>
      <c r="D67" s="4">
        <f ca="1">'Total Distance Tables Sup #2'!D67</f>
        <v>35.342292456008785</v>
      </c>
      <c r="E67" s="4">
        <f ca="1">'Total Distance Tables Sup #2'!E67</f>
        <v>34.598772123349065</v>
      </c>
      <c r="F67" s="4">
        <f ca="1">'Total Distance Tables Sup #2'!F67</f>
        <v>33.511852585660073</v>
      </c>
      <c r="G67" s="4">
        <f ca="1">'Total Distance Tables Sup #2'!G67</f>
        <v>32.810242354636422</v>
      </c>
      <c r="H67" s="4">
        <f ca="1">'Total Distance Tables Sup #2'!H67</f>
        <v>32.08031883973841</v>
      </c>
      <c r="I67" s="1">
        <f ca="1">'Total Distance Tables Sup #2'!I67</f>
        <v>32.549631739488298</v>
      </c>
      <c r="J67" s="1">
        <f ca="1">'Total Distance Tables Sup #2'!J67</f>
        <v>32.932943947952253</v>
      </c>
      <c r="K67" s="1">
        <f ca="1">'Total Distance Tables Sup #2'!K67</f>
        <v>33.239003827751674</v>
      </c>
    </row>
    <row r="68" spans="1:11" x14ac:dyDescent="0.2">
      <c r="A68" t="str">
        <f ca="1">OFFSET(Waikato_Reference,56,2)</f>
        <v>Local Ferry</v>
      </c>
      <c r="B68" s="4">
        <f>'Total Distance Tables Sup #2'!B68</f>
        <v>0</v>
      </c>
      <c r="C68" s="4">
        <f ca="1">'Total Distance Tables Sup #2'!C68</f>
        <v>0</v>
      </c>
      <c r="D68" s="4">
        <f ca="1">'Total Distance Tables Sup #2'!D68</f>
        <v>0</v>
      </c>
      <c r="E68" s="4">
        <f ca="1">'Total Distance Tables Sup #2'!E68</f>
        <v>0</v>
      </c>
      <c r="F68" s="4">
        <f ca="1">'Total Distance Tables Sup #2'!F68</f>
        <v>0</v>
      </c>
      <c r="G68" s="4">
        <f ca="1">'Total Distance Tables Sup #2'!G68</f>
        <v>0</v>
      </c>
      <c r="H68" s="4">
        <f ca="1">'Total Distance Tables Sup #2'!H68</f>
        <v>0</v>
      </c>
      <c r="I68" s="1">
        <f ca="1">'Total Distance Tables Sup #2'!I68</f>
        <v>0</v>
      </c>
      <c r="J68" s="1">
        <f ca="1">'Total Distance Tables Sup #2'!J68</f>
        <v>0</v>
      </c>
      <c r="K68" s="1">
        <f ca="1">'Total Distance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Distance Tables Sup #2'!B69</f>
        <v>0</v>
      </c>
      <c r="C69" s="4">
        <f ca="1">'Total Distance Tables Sup #2'!C69</f>
        <v>0</v>
      </c>
      <c r="D69" s="4">
        <f ca="1">'Total Distance Tables Sup #2'!D69</f>
        <v>0</v>
      </c>
      <c r="E69" s="4">
        <f ca="1">'Total Distance Tables Sup #2'!E69</f>
        <v>0</v>
      </c>
      <c r="F69" s="4">
        <f ca="1">'Total Distance Tables Sup #2'!F69</f>
        <v>0</v>
      </c>
      <c r="G69" s="4">
        <f ca="1">'Total Distance Tables Sup #2'!G69</f>
        <v>0</v>
      </c>
      <c r="H69" s="4">
        <f ca="1">'Total Distance Tables Sup #2'!H69</f>
        <v>0</v>
      </c>
      <c r="I69" s="1">
        <f ca="1">'Total Distance Tables Sup #2'!I69</f>
        <v>0</v>
      </c>
      <c r="J69" s="1">
        <f ca="1">'Total Distance Tables Sup #2'!J69</f>
        <v>0</v>
      </c>
      <c r="K69" s="1">
        <f ca="1">'Total Distance Tables Sup #2'!K69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'Total Distance Tables Sup #2'!B71</f>
        <v>16.820589198</v>
      </c>
      <c r="C71" s="4">
        <f ca="1">'Total Distance Tables Sup #2'!C71</f>
        <v>17.181124851854559</v>
      </c>
      <c r="D71" s="4">
        <f ca="1">'Total Distance Tables Sup #2'!D71</f>
        <v>17.71865107418509</v>
      </c>
      <c r="E71" s="4">
        <f ca="1">'Total Distance Tables Sup #2'!E71</f>
        <v>18.048914180786536</v>
      </c>
      <c r="F71" s="4">
        <f ca="1">'Total Distance Tables Sup #2'!F71</f>
        <v>18.222387304202101</v>
      </c>
      <c r="G71" s="4">
        <f ca="1">'Total Distance Tables Sup #2'!G71</f>
        <v>18.404415038331706</v>
      </c>
      <c r="H71" s="4">
        <f ca="1">'Total Distance Tables Sup #2'!H71</f>
        <v>18.486668276636038</v>
      </c>
      <c r="I71" s="1">
        <f ca="1">'Total Distance Tables Sup #2'!I71</f>
        <v>18.953702010560882</v>
      </c>
      <c r="J71" s="1">
        <f ca="1">'Total Distance Tables Sup #2'!J71</f>
        <v>19.370949217189196</v>
      </c>
      <c r="K71" s="1">
        <f ca="1">'Total Distance Tables Sup #2'!K71</f>
        <v>19.749613326442155</v>
      </c>
    </row>
    <row r="72" spans="1:11" x14ac:dyDescent="0.2">
      <c r="A72" t="str">
        <f ca="1">OFFSET(Taranaki_Reference,7,2)</f>
        <v>Cyclist</v>
      </c>
      <c r="B72" s="4">
        <f ca="1">'Total Distance Tables Sup #2'!B72</f>
        <v>5.5737915155</v>
      </c>
      <c r="C72" s="4">
        <f ca="1">'Total Distance Tables Sup #2'!C72</f>
        <v>5.8342181172956042</v>
      </c>
      <c r="D72" s="4">
        <f ca="1">'Total Distance Tables Sup #2'!D72</f>
        <v>6.8603039339106386</v>
      </c>
      <c r="E72" s="4">
        <f ca="1">'Total Distance Tables Sup #2'!E72</f>
        <v>7.6598979844803843</v>
      </c>
      <c r="F72" s="4">
        <f ca="1">'Total Distance Tables Sup #2'!F72</f>
        <v>8.5890749357041116</v>
      </c>
      <c r="G72" s="4">
        <f ca="1">'Total Distance Tables Sup #2'!G72</f>
        <v>9.7087342606047766</v>
      </c>
      <c r="H72" s="4">
        <f ca="1">'Total Distance Tables Sup #2'!H72</f>
        <v>10.871989783447701</v>
      </c>
      <c r="I72" s="1">
        <f ca="1">'Total Distance Tables Sup #2'!I72</f>
        <v>11.22788363786319</v>
      </c>
      <c r="J72" s="1">
        <f ca="1">'Total Distance Tables Sup #2'!J72</f>
        <v>11.593252474819121</v>
      </c>
      <c r="K72" s="1">
        <f ca="1">'Total Distance Tables Sup #2'!K72</f>
        <v>11.944086665164349</v>
      </c>
    </row>
    <row r="73" spans="1:11" x14ac:dyDescent="0.2">
      <c r="A73" t="str">
        <f ca="1">OFFSET(Taranaki_Reference,14,2)</f>
        <v>Light Vehicle Driver</v>
      </c>
      <c r="B73" s="4">
        <f ca="1">'Total Distance Tables Sup #2'!B73</f>
        <v>933.36875414999997</v>
      </c>
      <c r="C73" s="4">
        <f ca="1">'Total Distance Tables Sup #2'!C73*(1-'Other Assumptions'!G12)</f>
        <v>993.32125593770331</v>
      </c>
      <c r="D73" s="4">
        <f ca="1">'Total Distance Tables Sup #2'!D73*(1-'Other Assumptions'!H12)</f>
        <v>1035.6183573421702</v>
      </c>
      <c r="E73" s="4">
        <f ca="1">'Total Distance Tables Sup #2'!E73*(1-'Other Assumptions'!I12)</f>
        <v>919.67681447284895</v>
      </c>
      <c r="F73" s="4">
        <f ca="1">'Total Distance Tables Sup #2'!F73*(1-'Other Assumptions'!J12)</f>
        <v>781.98083205584578</v>
      </c>
      <c r="G73" s="4">
        <f ca="1">'Total Distance Tables Sup #2'!G73*(1-'Other Assumptions'!K12)</f>
        <v>627.18332405676256</v>
      </c>
      <c r="H73" s="4">
        <f ca="1">'Total Distance Tables Sup #2'!H73*(1-'Other Assumptions'!L12)</f>
        <v>461.85072258412976</v>
      </c>
      <c r="I73" s="1">
        <f ca="1">'Total Distance Tables Sup #2'!I73*(1-'Other Assumptions'!M12)</f>
        <v>473.34287128390372</v>
      </c>
      <c r="J73" s="1">
        <f ca="1">'Total Distance Tables Sup #2'!J73*(1-'Other Assumptions'!N12)</f>
        <v>483.41001789697685</v>
      </c>
      <c r="K73" s="1">
        <f ca="1">'Total Distance Tables Sup #2'!K73*(1-'Other Assumptions'!O12)</f>
        <v>492.47610821635067</v>
      </c>
    </row>
    <row r="74" spans="1:11" x14ac:dyDescent="0.2">
      <c r="A74" t="str">
        <f ca="1">OFFSET(Taranaki_Reference,21,2)</f>
        <v>Light Vehicle Passenger</v>
      </c>
      <c r="B74" s="4">
        <f ca="1">'Total Distance Tables Sup #2'!B74</f>
        <v>656.25872372000003</v>
      </c>
      <c r="C74" s="4">
        <f ca="1">'Total Distance Tables Sup #2'!C74*(1-'Other Assumptions'!G12)</f>
        <v>668.81983319229835</v>
      </c>
      <c r="D74" s="4">
        <f ca="1">'Total Distance Tables Sup #2'!D74*(1-'Other Assumptions'!H12)</f>
        <v>690.29248098627318</v>
      </c>
      <c r="E74" s="4">
        <f ca="1">'Total Distance Tables Sup #2'!E74*(1-'Other Assumptions'!I12)</f>
        <v>605.09155265211393</v>
      </c>
      <c r="F74" s="4">
        <f ca="1">'Total Distance Tables Sup #2'!F74*(1-'Other Assumptions'!J12)</f>
        <v>508.59209298498916</v>
      </c>
      <c r="G74" s="4">
        <f ca="1">'Total Distance Tables Sup #2'!G74*(1-'Other Assumptions'!K12)</f>
        <v>405.54879870549587</v>
      </c>
      <c r="H74" s="4">
        <f ca="1">'Total Distance Tables Sup #2'!H74*(1-'Other Assumptions'!L12)</f>
        <v>297.37804577331639</v>
      </c>
      <c r="I74" s="1">
        <f ca="1">'Total Distance Tables Sup #2'!I74*(1-'Other Assumptions'!M12)</f>
        <v>305.04542369741148</v>
      </c>
      <c r="J74" s="1">
        <f ca="1">'Total Distance Tables Sup #2'!J74*(1-'Other Assumptions'!N12)</f>
        <v>311.87590443484254</v>
      </c>
      <c r="K74" s="1">
        <f ca="1">'Total Distance Tables Sup #2'!K74*(1-'Other Assumptions'!O12)</f>
        <v>318.07200744472311</v>
      </c>
    </row>
    <row r="75" spans="1:11" x14ac:dyDescent="0.2">
      <c r="A75" t="str">
        <f ca="1">OFFSET(Taranaki_Reference,28,2)</f>
        <v>Taxi/Vehicle Share</v>
      </c>
      <c r="B75" s="4">
        <f ca="1">'Total Distance Tables Sup #2'!B75</f>
        <v>1.1335038904000001</v>
      </c>
      <c r="C75" s="4">
        <f ca="1">'Total Distance Tables Sup #2'!C75+((C73+C74)*'Other Assumptions'!G12/(1-'Other Assumptions'!G12))</f>
        <v>1.2805200586642826</v>
      </c>
      <c r="D75" s="4">
        <f ca="1">'Total Distance Tables Sup #2'!D75+((D73+D74)*'Other Assumptions'!H12/(1-'Other Assumptions'!H12))</f>
        <v>1.4563311847281093</v>
      </c>
      <c r="E75" s="4">
        <f ca="1">'Total Distance Tables Sup #2'!E75+((E73+E74)*'Other Assumptions'!I12/(1-'Other Assumptions'!I12))</f>
        <v>270.69852623200768</v>
      </c>
      <c r="F75" s="4">
        <f ca="1">'Total Distance Tables Sup #2'!F75+((F73+F74)*'Other Assumptions'!J12/(1-'Other Assumptions'!J12))</f>
        <v>554.86229188952188</v>
      </c>
      <c r="G75" s="4">
        <f ca="1">'Total Distance Tables Sup #2'!G75+((G73+G74)*'Other Assumptions'!K12/(1-'Other Assumptions'!K12))</f>
        <v>846.82607496964454</v>
      </c>
      <c r="H75" s="4">
        <f ca="1">'Total Distance Tables Sup #2'!H75+((H73+H74)*'Other Assumptions'!L12/(1-'Other Assumptions'!L12))</f>
        <v>1140.7905844098395</v>
      </c>
      <c r="I75" s="1">
        <f ca="1">'Total Distance Tables Sup #2'!I75+((I73+I74)*'Other Assumptions'!M12/(1-'Other Assumptions'!M12))</f>
        <v>1169.5820843611543</v>
      </c>
      <c r="J75" s="1">
        <f ca="1">'Total Distance Tables Sup #2'!J75+((J73+J74)*'Other Assumptions'!N12/(1-'Other Assumptions'!N12))</f>
        <v>1194.9767016508226</v>
      </c>
      <c r="K75" s="1">
        <f ca="1">'Total Distance Tables Sup #2'!K75+((K73+K74)*'Other Assumptions'!O12/(1-'Other Assumptions'!O12))</f>
        <v>1217.9142892763098</v>
      </c>
    </row>
    <row r="76" spans="1:11" x14ac:dyDescent="0.2">
      <c r="A76" t="str">
        <f ca="1">OFFSET(Taranaki_Reference,35,2)</f>
        <v>Motorcyclist</v>
      </c>
      <c r="B76" s="4">
        <f ca="1">'Total Distance Tables Sup #2'!B76</f>
        <v>7.0100687938000004</v>
      </c>
      <c r="C76" s="4">
        <f ca="1">'Total Distance Tables Sup #2'!C76</f>
        <v>7.4097724033601011</v>
      </c>
      <c r="D76" s="4">
        <f ca="1">'Total Distance Tables Sup #2'!D76</f>
        <v>7.7590863140896209</v>
      </c>
      <c r="E76" s="4">
        <f ca="1">'Total Distance Tables Sup #2'!E76</f>
        <v>7.9259590888957803</v>
      </c>
      <c r="F76" s="4">
        <f ca="1">'Total Distance Tables Sup #2'!F76</f>
        <v>7.9137006323156811</v>
      </c>
      <c r="G76" s="4">
        <f ca="1">'Total Distance Tables Sup #2'!G76</f>
        <v>7.7292425192945649</v>
      </c>
      <c r="H76" s="4">
        <f ca="1">'Total Distance Tables Sup #2'!H76</f>
        <v>7.4726854704032588</v>
      </c>
      <c r="I76" s="1">
        <f ca="1">'Total Distance Tables Sup #2'!I76</f>
        <v>7.6782958388042584</v>
      </c>
      <c r="J76" s="1">
        <f ca="1">'Total Distance Tables Sup #2'!J76</f>
        <v>7.8628338113976692</v>
      </c>
      <c r="K76" s="1">
        <f ca="1">'Total Distance Tables Sup #2'!K76</f>
        <v>8.0311129088242481</v>
      </c>
    </row>
    <row r="77" spans="1:11" x14ac:dyDescent="0.2">
      <c r="A77" t="str">
        <f ca="1">OFFSET(Taranaki_Reference,42,2)</f>
        <v>Local Train</v>
      </c>
      <c r="B77" s="4">
        <f ca="1">'Total Distance Tables Sup #2'!B77</f>
        <v>0</v>
      </c>
      <c r="C77" s="4">
        <f ca="1">'Total Distance Tables Sup #2'!C77</f>
        <v>0</v>
      </c>
      <c r="D77" s="4">
        <f ca="1">'Total Distance Tables Sup #2'!D77</f>
        <v>0</v>
      </c>
      <c r="E77" s="4">
        <f ca="1">'Total Distance Tables Sup #2'!E77</f>
        <v>0</v>
      </c>
      <c r="F77" s="4">
        <f ca="1">'Total Distance Tables Sup #2'!F77</f>
        <v>0</v>
      </c>
      <c r="G77" s="4">
        <f ca="1">'Total Distance Tables Sup #2'!G77</f>
        <v>0</v>
      </c>
      <c r="H77" s="4">
        <f ca="1">'Total Distance Tables Sup #2'!H77</f>
        <v>0</v>
      </c>
      <c r="I77" s="1">
        <f ca="1">'Total Distance Tables Sup #2'!I77</f>
        <v>0</v>
      </c>
      <c r="J77" s="1">
        <f ca="1">'Total Distance Tables Sup #2'!J77</f>
        <v>0</v>
      </c>
      <c r="K77" s="1">
        <f ca="1">'Total Distance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Distance Tables Sup #2'!B78</f>
        <v>14.084735078</v>
      </c>
      <c r="C78" s="4">
        <f ca="1">'Total Distance Tables Sup #2'!C78</f>
        <v>12.745387011562251</v>
      </c>
      <c r="D78" s="4">
        <f ca="1">'Total Distance Tables Sup #2'!D78</f>
        <v>12.796623177173977</v>
      </c>
      <c r="E78" s="4">
        <f ca="1">'Total Distance Tables Sup #2'!E78</f>
        <v>12.645356087841121</v>
      </c>
      <c r="F78" s="4">
        <f ca="1">'Total Distance Tables Sup #2'!F78</f>
        <v>12.37785983517287</v>
      </c>
      <c r="G78" s="4">
        <f ca="1">'Total Distance Tables Sup #2'!G78</f>
        <v>12.265589314893601</v>
      </c>
      <c r="H78" s="4">
        <f ca="1">'Total Distance Tables Sup #2'!H78</f>
        <v>12.155661107437268</v>
      </c>
      <c r="I78" s="1">
        <f ca="1">'Total Distance Tables Sup #2'!I78</f>
        <v>12.501062138694104</v>
      </c>
      <c r="J78" s="1">
        <f ca="1">'Total Distance Tables Sup #2'!J78</f>
        <v>12.820126670733453</v>
      </c>
      <c r="K78" s="1">
        <f ca="1">'Total Distance Tables Sup #2'!K78</f>
        <v>13.115072256166888</v>
      </c>
    </row>
    <row r="79" spans="1:11" x14ac:dyDescent="0.2">
      <c r="A79" t="str">
        <f ca="1">OFFSET(Waikato_Reference,56,2)</f>
        <v>Local Ferry</v>
      </c>
      <c r="B79" s="4">
        <f>'Total Distance Tables Sup #2'!B79</f>
        <v>0</v>
      </c>
      <c r="C79" s="4">
        <f ca="1">'Total Distance Tables Sup #2'!C79</f>
        <v>0</v>
      </c>
      <c r="D79" s="4">
        <f ca="1">'Total Distance Tables Sup #2'!D79</f>
        <v>0</v>
      </c>
      <c r="E79" s="4">
        <f ca="1">'Total Distance Tables Sup #2'!E79</f>
        <v>0</v>
      </c>
      <c r="F79" s="4">
        <f ca="1">'Total Distance Tables Sup #2'!F79</f>
        <v>0</v>
      </c>
      <c r="G79" s="4">
        <f ca="1">'Total Distance Tables Sup #2'!G79</f>
        <v>0</v>
      </c>
      <c r="H79" s="4">
        <f ca="1">'Total Distance Tables Sup #2'!H79</f>
        <v>0</v>
      </c>
      <c r="I79" s="1">
        <f ca="1">'Total Distance Tables Sup #2'!I79</f>
        <v>0</v>
      </c>
      <c r="J79" s="1">
        <f ca="1">'Total Distance Tables Sup #2'!J79</f>
        <v>0</v>
      </c>
      <c r="K79" s="1">
        <f ca="1">'Total Distance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Distance Tables Sup #2'!B80</f>
        <v>0</v>
      </c>
      <c r="C80" s="4">
        <f ca="1">'Total Distance Tables Sup #2'!C80</f>
        <v>0</v>
      </c>
      <c r="D80" s="4">
        <f ca="1">'Total Distance Tables Sup #2'!D80</f>
        <v>0</v>
      </c>
      <c r="E80" s="4">
        <f ca="1">'Total Distance Tables Sup #2'!E80</f>
        <v>0</v>
      </c>
      <c r="F80" s="4">
        <f ca="1">'Total Distance Tables Sup #2'!F80</f>
        <v>0</v>
      </c>
      <c r="G80" s="4">
        <f ca="1">'Total Distance Tables Sup #2'!G80</f>
        <v>0</v>
      </c>
      <c r="H80" s="4">
        <f ca="1">'Total Distance Tables Sup #2'!H80</f>
        <v>0</v>
      </c>
      <c r="I80" s="1">
        <f ca="1">'Total Distance Tables Sup #2'!I80</f>
        <v>0</v>
      </c>
      <c r="J80" s="1">
        <f ca="1">'Total Distance Tables Sup #2'!J80</f>
        <v>0</v>
      </c>
      <c r="K80" s="1">
        <f ca="1">'Total Distance Tables Sup #2'!K80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'Total Distance Tables Sup #2'!B82</f>
        <v>32.265609755</v>
      </c>
      <c r="C82" s="4">
        <f ca="1">'Total Distance Tables Sup #2'!C82</f>
        <v>32.699724003089933</v>
      </c>
      <c r="D82" s="4">
        <f ca="1">'Total Distance Tables Sup #2'!D82</f>
        <v>33.345727278477199</v>
      </c>
      <c r="E82" s="4">
        <f ca="1">'Total Distance Tables Sup #2'!E82</f>
        <v>33.548393741636239</v>
      </c>
      <c r="F82" s="4">
        <f ca="1">'Total Distance Tables Sup #2'!F82</f>
        <v>33.449412160912701</v>
      </c>
      <c r="G82" s="4">
        <f ca="1">'Total Distance Tables Sup #2'!G82</f>
        <v>33.326660717079001</v>
      </c>
      <c r="H82" s="4">
        <f ca="1">'Total Distance Tables Sup #2'!H82</f>
        <v>32.983042834417539</v>
      </c>
      <c r="I82" s="1">
        <f ca="1">'Total Distance Tables Sup #2'!I82</f>
        <v>33.318727575421441</v>
      </c>
      <c r="J82" s="1">
        <f ca="1">'Total Distance Tables Sup #2'!J82</f>
        <v>33.551160806934888</v>
      </c>
      <c r="K82" s="1">
        <f ca="1">'Total Distance Tables Sup #2'!K82</f>
        <v>33.703696380395733</v>
      </c>
    </row>
    <row r="83" spans="1:11" x14ac:dyDescent="0.2">
      <c r="A83" t="str">
        <f ca="1">OFFSET(Manawatu_Reference,7,2)</f>
        <v>Cyclist</v>
      </c>
      <c r="B83" s="4">
        <f ca="1">'Total Distance Tables Sup #2'!B83</f>
        <v>20.722330986999999</v>
      </c>
      <c r="C83" s="4">
        <f ca="1">'Total Distance Tables Sup #2'!C83</f>
        <v>21.52109519138385</v>
      </c>
      <c r="D83" s="4">
        <f ca="1">'Total Distance Tables Sup #2'!D83</f>
        <v>25.023157443425788</v>
      </c>
      <c r="E83" s="4">
        <f ca="1">'Total Distance Tables Sup #2'!E83</f>
        <v>27.595155825351554</v>
      </c>
      <c r="F83" s="4">
        <f ca="1">'Total Distance Tables Sup #2'!F83</f>
        <v>30.557570487586684</v>
      </c>
      <c r="G83" s="4">
        <f ca="1">'Total Distance Tables Sup #2'!G83</f>
        <v>34.07388155194942</v>
      </c>
      <c r="H83" s="4">
        <f ca="1">'Total Distance Tables Sup #2'!H83</f>
        <v>37.595019951305019</v>
      </c>
      <c r="I83" s="1">
        <f ca="1">'Total Distance Tables Sup #2'!I83</f>
        <v>38.254407153109803</v>
      </c>
      <c r="J83" s="1">
        <f ca="1">'Total Distance Tables Sup #2'!J83</f>
        <v>38.918057506671282</v>
      </c>
      <c r="K83" s="1">
        <f ca="1">'Total Distance Tables Sup #2'!K83</f>
        <v>39.505821418777202</v>
      </c>
    </row>
    <row r="84" spans="1:11" x14ac:dyDescent="0.2">
      <c r="A84" t="str">
        <f ca="1">OFFSET(Manawatu_Reference,14,2)</f>
        <v>Light Vehicle Driver</v>
      </c>
      <c r="B84" s="4">
        <f ca="1">'Total Distance Tables Sup #2'!B84</f>
        <v>1782.4745101999999</v>
      </c>
      <c r="C84" s="4">
        <f ca="1">'Total Distance Tables Sup #2'!C84*(1-'Other Assumptions'!G13)</f>
        <v>1882.147346308637</v>
      </c>
      <c r="D84" s="4">
        <f ca="1">'Total Distance Tables Sup #2'!D84*(1-'Other Assumptions'!H13)</f>
        <v>1940.0753782742295</v>
      </c>
      <c r="E84" s="4">
        <f ca="1">'Total Distance Tables Sup #2'!E84*(1-'Other Assumptions'!I13)</f>
        <v>1701.3970213097591</v>
      </c>
      <c r="F84" s="4">
        <f ca="1">'Total Distance Tables Sup #2'!F84*(1-'Other Assumptions'!J13)</f>
        <v>1428.4592220025206</v>
      </c>
      <c r="G84" s="4">
        <f ca="1">'Total Distance Tables Sup #2'!G84*(1-'Other Assumptions'!K13)</f>
        <v>1130.0169949833203</v>
      </c>
      <c r="H84" s="4">
        <f ca="1">'Total Distance Tables Sup #2'!H84*(1-'Other Assumptions'!L13)</f>
        <v>819.7503846074178</v>
      </c>
      <c r="I84" s="1">
        <f ca="1">'Total Distance Tables Sup #2'!I84*(1-'Other Assumptions'!M13)</f>
        <v>827.78138773539877</v>
      </c>
      <c r="J84" s="1">
        <f ca="1">'Total Distance Tables Sup #2'!J84*(1-'Other Assumptions'!N13)</f>
        <v>832.94084561300542</v>
      </c>
      <c r="K84" s="1">
        <f ca="1">'Total Distance Tables Sup #2'!K84*(1-'Other Assumptions'!O13)</f>
        <v>836.06925225413363</v>
      </c>
    </row>
    <row r="85" spans="1:11" x14ac:dyDescent="0.2">
      <c r="A85" t="str">
        <f ca="1">OFFSET(Manawatu_Reference,21,2)</f>
        <v>Light Vehicle Passenger</v>
      </c>
      <c r="B85" s="4">
        <f ca="1">'Total Distance Tables Sup #2'!B85</f>
        <v>885.65568203999999</v>
      </c>
      <c r="C85" s="4">
        <f ca="1">'Total Distance Tables Sup #2'!C85*(1-'Other Assumptions'!G13)</f>
        <v>895.55608212227492</v>
      </c>
      <c r="D85" s="4">
        <f ca="1">'Total Distance Tables Sup #2'!D85*(1-'Other Assumptions'!H13)</f>
        <v>913.56325258041375</v>
      </c>
      <c r="E85" s="4">
        <f ca="1">'Total Distance Tables Sup #2'!E85*(1-'Other Assumptions'!I13)</f>
        <v>790.58107810857973</v>
      </c>
      <c r="F85" s="4">
        <f ca="1">'Total Distance Tables Sup #2'!F85*(1-'Other Assumptions'!J13)</f>
        <v>655.93205002840796</v>
      </c>
      <c r="G85" s="4">
        <f ca="1">'Total Distance Tables Sup #2'!G85*(1-'Other Assumptions'!K13)</f>
        <v>515.7057305573577</v>
      </c>
      <c r="H85" s="4">
        <f ca="1">'Total Distance Tables Sup #2'!H85*(1-'Other Assumptions'!L13)</f>
        <v>372.39060451723066</v>
      </c>
      <c r="I85" s="1">
        <f ca="1">'Total Distance Tables Sup #2'!I85*(1-'Other Assumptions'!M13)</f>
        <v>376.36597812914465</v>
      </c>
      <c r="J85" s="1">
        <f ca="1">'Total Distance Tables Sup #2'!J85*(1-'Other Assumptions'!N13)</f>
        <v>379.12348573841717</v>
      </c>
      <c r="K85" s="1">
        <f ca="1">'Total Distance Tables Sup #2'!K85*(1-'Other Assumptions'!O13)</f>
        <v>380.95790436401609</v>
      </c>
    </row>
    <row r="86" spans="1:11" x14ac:dyDescent="0.2">
      <c r="A86" t="str">
        <f ca="1">OFFSET(Manawatu_Reference,28,2)</f>
        <v>Taxi/Vehicle Share</v>
      </c>
      <c r="B86" s="4">
        <f ca="1">'Total Distance Tables Sup #2'!B86</f>
        <v>5.6344181790999999</v>
      </c>
      <c r="C86" s="4">
        <f ca="1">'Total Distance Tables Sup #2'!C86+((C84+C85)*'Other Assumptions'!G13/(1-'Other Assumptions'!G13))</f>
        <v>6.3154786057753372</v>
      </c>
      <c r="D86" s="4">
        <f ca="1">'Total Distance Tables Sup #2'!D86+((D84+D85)*'Other Assumptions'!H13/(1-'Other Assumptions'!H13))</f>
        <v>7.1022683322299747</v>
      </c>
      <c r="E86" s="4">
        <f ca="1">'Total Distance Tables Sup #2'!E86+((E84+E85)*'Other Assumptions'!I13/(1-'Other Assumptions'!I13))</f>
        <v>447.572323084537</v>
      </c>
      <c r="F86" s="4">
        <f ca="1">'Total Distance Tables Sup #2'!F86+((F84+F85)*'Other Assumptions'!J13/(1-'Other Assumptions'!J13))</f>
        <v>901.68057411482994</v>
      </c>
      <c r="G86" s="4">
        <f ca="1">'Total Distance Tables Sup #2'!G86+((G84+G85)*'Other Assumptions'!K13/(1-'Other Assumptions'!K13))</f>
        <v>1355.2444095696787</v>
      </c>
      <c r="H86" s="4">
        <f ca="1">'Total Distance Tables Sup #2'!H86+((H84+H85)*'Other Assumptions'!L13/(1-'Other Assumptions'!L13))</f>
        <v>1797.2151985589983</v>
      </c>
      <c r="I86" s="1">
        <f ca="1">'Total Distance Tables Sup #2'!I86+((I84+I85)*'Other Assumptions'!M13/(1-'Other Assumptions'!M13))</f>
        <v>1815.330117428153</v>
      </c>
      <c r="J86" s="1">
        <f ca="1">'Total Distance Tables Sup #2'!J86+((J84+J85)*'Other Assumptions'!N13/(1-'Other Assumptions'!N13))</f>
        <v>1827.2877649446045</v>
      </c>
      <c r="K86" s="1">
        <f ca="1">'Total Distance Tables Sup #2'!K86+((K84+K85)*'Other Assumptions'!O13/(1-'Other Assumptions'!O13))</f>
        <v>1834.7926586162087</v>
      </c>
    </row>
    <row r="87" spans="1:11" x14ac:dyDescent="0.2">
      <c r="A87" t="str">
        <f ca="1">OFFSET(Manawatu_Reference,35,2)</f>
        <v>Motorcyclist</v>
      </c>
      <c r="B87" s="4">
        <f ca="1">'Total Distance Tables Sup #2'!B87</f>
        <v>3.8744282972000001</v>
      </c>
      <c r="C87" s="4">
        <f ca="1">'Total Distance Tables Sup #2'!C87</f>
        <v>4.063348176465932</v>
      </c>
      <c r="D87" s="4">
        <f ca="1">'Total Distance Tables Sup #2'!D87</f>
        <v>4.2073321281266809</v>
      </c>
      <c r="E87" s="4">
        <f ca="1">'Total Distance Tables Sup #2'!E87</f>
        <v>4.2448187735013709</v>
      </c>
      <c r="F87" s="4">
        <f ca="1">'Total Distance Tables Sup #2'!F87</f>
        <v>4.185520850083285</v>
      </c>
      <c r="G87" s="4">
        <f ca="1">'Total Distance Tables Sup #2'!G87</f>
        <v>4.0326765657298402</v>
      </c>
      <c r="H87" s="4">
        <f ca="1">'Total Distance Tables Sup #2'!H87</f>
        <v>3.8414523359761543</v>
      </c>
      <c r="I87" s="1">
        <f ca="1">'Total Distance Tables Sup #2'!I87</f>
        <v>3.8890710361981609</v>
      </c>
      <c r="J87" s="1">
        <f ca="1">'Total Distance Tables Sup #2'!J87</f>
        <v>3.9239405597436905</v>
      </c>
      <c r="K87" s="1">
        <f ca="1">'Total Distance Tables Sup #2'!K87</f>
        <v>3.9489473540149556</v>
      </c>
    </row>
    <row r="88" spans="1:11" x14ac:dyDescent="0.2">
      <c r="A88" t="str">
        <f ca="1">OFFSET(Taranaki_Reference,42,2)</f>
        <v>Local Train</v>
      </c>
      <c r="B88" s="4">
        <f ca="1">'Total Distance Tables Sup #2'!B88</f>
        <v>0</v>
      </c>
      <c r="C88" s="4">
        <f ca="1">'Total Distance Tables Sup #2'!C88</f>
        <v>0</v>
      </c>
      <c r="D88" s="4">
        <f ca="1">'Total Distance Tables Sup #2'!D88</f>
        <v>0</v>
      </c>
      <c r="E88" s="4">
        <f ca="1">'Total Distance Tables Sup #2'!E88</f>
        <v>0</v>
      </c>
      <c r="F88" s="4">
        <f ca="1">'Total Distance Tables Sup #2'!F88</f>
        <v>0</v>
      </c>
      <c r="G88" s="4">
        <f ca="1">'Total Distance Tables Sup #2'!G88</f>
        <v>0</v>
      </c>
      <c r="H88" s="4">
        <f ca="1">'Total Distance Tables Sup #2'!H88</f>
        <v>0</v>
      </c>
      <c r="I88" s="1">
        <f ca="1">'Total Distance Tables Sup #2'!I88</f>
        <v>0</v>
      </c>
      <c r="J88" s="1">
        <f ca="1">'Total Distance Tables Sup #2'!J88</f>
        <v>0</v>
      </c>
      <c r="K88" s="1">
        <f ca="1">'Total Distance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Distance Tables Sup #2'!B89</f>
        <v>39.768452936000003</v>
      </c>
      <c r="C89" s="4">
        <f ca="1">'Total Distance Tables Sup #2'!C89</f>
        <v>35.705643289716967</v>
      </c>
      <c r="D89" s="4">
        <f ca="1">'Total Distance Tables Sup #2'!D89</f>
        <v>35.448369247281576</v>
      </c>
      <c r="E89" s="4">
        <f ca="1">'Total Distance Tables Sup #2'!E89</f>
        <v>34.597367621183778</v>
      </c>
      <c r="F89" s="4">
        <f ca="1">'Total Distance Tables Sup #2'!F89</f>
        <v>33.444146619394836</v>
      </c>
      <c r="G89" s="4">
        <f ca="1">'Total Distance Tables Sup #2'!G89</f>
        <v>32.692606130288425</v>
      </c>
      <c r="H89" s="4">
        <f ca="1">'Total Distance Tables Sup #2'!H89</f>
        <v>31.922874862986866</v>
      </c>
      <c r="I89" s="1">
        <f ca="1">'Total Distance Tables Sup #2'!I89</f>
        <v>32.346896167176531</v>
      </c>
      <c r="J89" s="1">
        <f ca="1">'Total Distance Tables Sup #2'!J89</f>
        <v>32.684384100451098</v>
      </c>
      <c r="K89" s="1">
        <f ca="1">'Total Distance Tables Sup #2'!K89</f>
        <v>32.944351703725083</v>
      </c>
    </row>
    <row r="90" spans="1:11" x14ac:dyDescent="0.2">
      <c r="A90" t="str">
        <f ca="1">OFFSET(Manawatu_Reference,49,2)</f>
        <v>Local Ferry</v>
      </c>
      <c r="B90" s="4">
        <f ca="1">'Total Distance Tables Sup #2'!B90</f>
        <v>0</v>
      </c>
      <c r="C90" s="4">
        <f ca="1">'Total Distance Tables Sup #2'!C90</f>
        <v>0</v>
      </c>
      <c r="D90" s="4">
        <f ca="1">'Total Distance Tables Sup #2'!D90</f>
        <v>0</v>
      </c>
      <c r="E90" s="4">
        <f ca="1">'Total Distance Tables Sup #2'!E90</f>
        <v>0</v>
      </c>
      <c r="F90" s="4">
        <f ca="1">'Total Distance Tables Sup #2'!F90</f>
        <v>0</v>
      </c>
      <c r="G90" s="4">
        <f ca="1">'Total Distance Tables Sup #2'!G90</f>
        <v>0</v>
      </c>
      <c r="H90" s="4">
        <f ca="1">'Total Distance Tables Sup #2'!H90</f>
        <v>0</v>
      </c>
      <c r="I90" s="1">
        <f ca="1">'Total Distance Tables Sup #2'!I90</f>
        <v>0</v>
      </c>
      <c r="J90" s="1">
        <f ca="1">'Total Distance Tables Sup #2'!J90</f>
        <v>0</v>
      </c>
      <c r="K90" s="1">
        <f ca="1">'Total Distance Tables Sup #2'!K90</f>
        <v>0</v>
      </c>
    </row>
    <row r="91" spans="1:11" x14ac:dyDescent="0.2">
      <c r="A91" t="str">
        <f ca="1">OFFSET(Manawatu_Reference,56,2)</f>
        <v>Other Household Travel</v>
      </c>
      <c r="B91" s="4">
        <f ca="1">'Total Distance Tables Sup #2'!B91</f>
        <v>0</v>
      </c>
      <c r="C91" s="4">
        <f ca="1">'Total Distance Tables Sup #2'!C91</f>
        <v>0</v>
      </c>
      <c r="D91" s="4">
        <f ca="1">'Total Distance Tables Sup #2'!D91</f>
        <v>0</v>
      </c>
      <c r="E91" s="4">
        <f ca="1">'Total Distance Tables Sup #2'!E91</f>
        <v>0</v>
      </c>
      <c r="F91" s="4">
        <f ca="1">'Total Distance Tables Sup #2'!F91</f>
        <v>0</v>
      </c>
      <c r="G91" s="4">
        <f ca="1">'Total Distance Tables Sup #2'!G91</f>
        <v>0</v>
      </c>
      <c r="H91" s="4">
        <f ca="1">'Total Distance Tables Sup #2'!H91</f>
        <v>0</v>
      </c>
      <c r="I91" s="1">
        <f ca="1">'Total Distance Tables Sup #2'!I91</f>
        <v>0</v>
      </c>
      <c r="J91" s="1">
        <f ca="1">'Total Distance Tables Sup #2'!J91</f>
        <v>0</v>
      </c>
      <c r="K91" s="1">
        <f ca="1">'Total Distance Tables Sup #2'!K91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'Total Distance Tables Sup #2'!B93</f>
        <v>126.13499251</v>
      </c>
      <c r="C93" s="4">
        <f ca="1">'Total Distance Tables Sup #2'!C93+'Total Distance Tables Sup #2'!C95*'Other Assumptions'!G77*'Other Assumptions'!G84+'Total Distance Tables Sup #2'!C96*'Other Assumptions'!G77*'Other Assumptions'!G84</f>
        <v>130.1076834923893</v>
      </c>
      <c r="D93" s="4">
        <f ca="1">'Total Distance Tables Sup #2'!D93+'Total Distance Tables Sup #2'!D95*'Other Assumptions'!H77*'Other Assumptions'!H84+'Total Distance Tables Sup #2'!D96*'Other Assumptions'!H77*'Other Assumptions'!H84</f>
        <v>133.9338902635607</v>
      </c>
      <c r="E93" s="4">
        <f ca="1">'Total Distance Tables Sup #2'!E93+'Total Distance Tables Sup #2'!E95*'Other Assumptions'!I77*'Other Assumptions'!I84+'Total Distance Tables Sup #2'!E96*'Other Assumptions'!I77*'Other Assumptions'!I84</f>
        <v>135.95782553584925</v>
      </c>
      <c r="F93" s="4">
        <f ca="1">'Total Distance Tables Sup #2'!F93+'Total Distance Tables Sup #2'!F95*'Other Assumptions'!J77*'Other Assumptions'!J84+'Total Distance Tables Sup #2'!F96*'Other Assumptions'!J77*'Other Assumptions'!J84</f>
        <v>137.2942271587165</v>
      </c>
      <c r="G93" s="4">
        <f ca="1">'Total Distance Tables Sup #2'!G93+'Total Distance Tables Sup #2'!G95*'Other Assumptions'!K77*'Other Assumptions'!K84+'Total Distance Tables Sup #2'!G96*'Other Assumptions'!K77*'Other Assumptions'!K84</f>
        <v>138.54525648646774</v>
      </c>
      <c r="H93" s="4">
        <f ca="1">'Total Distance Tables Sup #2'!H93+'Total Distance Tables Sup #2'!H95*'Other Assumptions'!L77*'Other Assumptions'!L84+'Total Distance Tables Sup #2'!H96*'Other Assumptions'!L77*'Other Assumptions'!L84</f>
        <v>138.78207809229934</v>
      </c>
      <c r="I93" s="1">
        <f ca="1">'Total Distance Tables Sup #2'!I93+'Total Distance Tables Sup #2'!I95*'Other Assumptions'!M77*'Other Assumptions'!M84+'Total Distance Tables Sup #2'!I96*'Other Assumptions'!M77*'Other Assumptions'!M84</f>
        <v>142.05772000844598</v>
      </c>
      <c r="J93" s="1">
        <f ca="1">'Total Distance Tables Sup #2'!J93+'Total Distance Tables Sup #2'!J95*'Other Assumptions'!N77*'Other Assumptions'!N84+'Total Distance Tables Sup #2'!J96*'Other Assumptions'!N77*'Other Assumptions'!N84</f>
        <v>144.90430168477511</v>
      </c>
      <c r="K93" s="1">
        <f ca="1">'Total Distance Tables Sup #2'!K93+'Total Distance Tables Sup #2'!K95*'Other Assumptions'!O77*'Other Assumptions'!O84+'Total Distance Tables Sup #2'!K96*'Other Assumptions'!O77*'Other Assumptions'!O84</f>
        <v>147.41465500985839</v>
      </c>
    </row>
    <row r="94" spans="1:11" x14ac:dyDescent="0.2">
      <c r="A94" t="str">
        <f ca="1">OFFSET(Wellington_Reference,7,2)</f>
        <v>Cyclist</v>
      </c>
      <c r="B94" s="4">
        <f ca="1">'Total Distance Tables Sup #2'!B94</f>
        <v>52.092312808000003</v>
      </c>
      <c r="C94" s="4">
        <f ca="1">'Total Distance Tables Sup #2'!C94+'Total Distance Tables Sup #2'!C95*'Other Assumptions'!G77*'Other Assumptions'!G83+'Total Distance Tables Sup #2'!C96*'Other Assumptions'!G77*'Other Assumptions'!G83</f>
        <v>55.053718664547944</v>
      </c>
      <c r="D94" s="4">
        <f ca="1">'Total Distance Tables Sup #2'!D94+'Total Distance Tables Sup #2'!D95*'Other Assumptions'!H77*'Other Assumptions'!H83+'Total Distance Tables Sup #2'!D96*'Other Assumptions'!H77*'Other Assumptions'!H83</f>
        <v>65.052918452569727</v>
      </c>
      <c r="E94" s="4">
        <f ca="1">'Total Distance Tables Sup #2'!E94+'Total Distance Tables Sup #2'!E95*'Other Assumptions'!I77*'Other Assumptions'!I83+'Total Distance Tables Sup #2'!E96*'Other Assumptions'!I77*'Other Assumptions'!I83</f>
        <v>72.722844966078497</v>
      </c>
      <c r="F94" s="4">
        <f ca="1">'Total Distance Tables Sup #2'!F94+'Total Distance Tables Sup #2'!F95*'Other Assumptions'!J77*'Other Assumptions'!J83+'Total Distance Tables Sup #2'!F96*'Other Assumptions'!J77*'Other Assumptions'!J83</f>
        <v>81.718880250446048</v>
      </c>
      <c r="G94" s="4">
        <f ca="1">'Total Distance Tables Sup #2'!G94+'Total Distance Tables Sup #2'!G95*'Other Assumptions'!K77*'Other Assumptions'!K83+'Total Distance Tables Sup #2'!G96*'Other Assumptions'!K77*'Other Assumptions'!K83</f>
        <v>92.500089136766633</v>
      </c>
      <c r="H94" s="4">
        <f ca="1">'Total Distance Tables Sup #2'!H94+'Total Distance Tables Sup #2'!H95*'Other Assumptions'!L77*'Other Assumptions'!L83+'Total Distance Tables Sup #2'!H96*'Other Assumptions'!L77*'Other Assumptions'!L83</f>
        <v>103.58703932559459</v>
      </c>
      <c r="I94" s="1">
        <f ca="1">'Total Distance Tables Sup #2'!I94+'Total Distance Tables Sup #2'!I95*'Other Assumptions'!M77*'Other Assumptions'!M83+'Total Distance Tables Sup #2'!I96*'Other Assumptions'!M77*'Other Assumptions'!M83</f>
        <v>106.98210419621938</v>
      </c>
      <c r="J94" s="1">
        <f ca="1">'Total Distance Tables Sup #2'!J94+'Total Distance Tables Sup #2'!J95*'Other Assumptions'!N77*'Other Assumptions'!N83+'Total Distance Tables Sup #2'!J96*'Other Assumptions'!N77*'Other Assumptions'!N83</f>
        <v>110.4677158505736</v>
      </c>
      <c r="K94" s="1">
        <f ca="1">'Total Distance Tables Sup #2'!K94+'Total Distance Tables Sup #2'!K95*'Other Assumptions'!O77*'Other Assumptions'!O83+'Total Distance Tables Sup #2'!K96*'Other Assumptions'!O77*'Other Assumptions'!O83</f>
        <v>113.81509726537121</v>
      </c>
    </row>
    <row r="95" spans="1:11" x14ac:dyDescent="0.2">
      <c r="A95" t="str">
        <f ca="1">OFFSET(Wellington_Reference,14,2)</f>
        <v>Light Vehicle Driver</v>
      </c>
      <c r="B95" s="4">
        <f ca="1">'Total Distance Tables Sup #2'!B95</f>
        <v>3481.4296611999998</v>
      </c>
      <c r="C95" s="4">
        <f ca="1">'Total Distance Tables Sup #2'!C95*(1-'Other Assumptions'!G14)*(1-'Other Assumptions'!G77)</f>
        <v>3740.6207664405542</v>
      </c>
      <c r="D95" s="4">
        <f ca="1">'Total Distance Tables Sup #2'!D95*(1-'Other Assumptions'!H14)*(1-'Other Assumptions'!H77)</f>
        <v>3904.7581290306257</v>
      </c>
      <c r="E95" s="4">
        <f ca="1">'Total Distance Tables Sup #2'!E95*(1-'Other Assumptions'!I14)*(1-'Other Assumptions'!I77)</f>
        <v>3462.3555599915567</v>
      </c>
      <c r="F95" s="4">
        <f ca="1">'Total Distance Tables Sup #2'!F95*(1-'Other Assumptions'!J14)*(1-'Other Assumptions'!J77)</f>
        <v>2944.545957777048</v>
      </c>
      <c r="G95" s="4">
        <f ca="1">'Total Distance Tables Sup #2'!G95*(1-'Other Assumptions'!K14)*(1-'Other Assumptions'!K77)</f>
        <v>2360.0752205695944</v>
      </c>
      <c r="H95" s="4">
        <f ca="1">'Total Distance Tables Sup #2'!H95*(1-'Other Assumptions'!L14)*(1-'Other Assumptions'!L77)</f>
        <v>1733.8725753780518</v>
      </c>
      <c r="I95" s="1">
        <f ca="1">'Total Distance Tables Sup #2'!I95*(1-'Other Assumptions'!M14)*(1-'Other Assumptions'!M77)</f>
        <v>1773.6114517772662</v>
      </c>
      <c r="J95" s="1">
        <f ca="1">'Total Distance Tables Sup #2'!J95*(1-'Other Assumptions'!N14)*(1-'Other Assumptions'!N77)</f>
        <v>1807.3898922917797</v>
      </c>
      <c r="K95" s="1">
        <f ca="1">'Total Distance Tables Sup #2'!K95*(1-'Other Assumptions'!O14)*(1-'Other Assumptions'!O77)</f>
        <v>1836.8441518762438</v>
      </c>
    </row>
    <row r="96" spans="1:11" x14ac:dyDescent="0.2">
      <c r="A96" t="str">
        <f ca="1">OFFSET(Wellington_Reference,21,2)</f>
        <v>Light Vehicle Passenger</v>
      </c>
      <c r="B96" s="4">
        <f ca="1">'Total Distance Tables Sup #2'!B96</f>
        <v>2005.8850408000001</v>
      </c>
      <c r="C96" s="4">
        <f ca="1">'Total Distance Tables Sup #2'!C96*(1-'Other Assumptions'!G14)*(1-'Other Assumptions'!G77+'Other Assumptions'!G77*'Other Assumptions'!G80)+'Total Distance Tables Sup #2'!C95*(1-'Other Assumptions'!G14)*'Other Assumptions'!G77*'Other Assumptions'!G80</f>
        <v>2063.7832861446568</v>
      </c>
      <c r="D96" s="4">
        <f ca="1">'Total Distance Tables Sup #2'!D96*(1-'Other Assumptions'!H14)*(1-'Other Assumptions'!H77+'Other Assumptions'!H77*'Other Assumptions'!H80)+'Total Distance Tables Sup #2'!D95*(1-'Other Assumptions'!H14)*'Other Assumptions'!H77*'Other Assumptions'!H80</f>
        <v>2126.0707148435622</v>
      </c>
      <c r="E96" s="4">
        <f ca="1">'Total Distance Tables Sup #2'!E96*(1-'Other Assumptions'!I14)*(1-'Other Assumptions'!I77+'Other Assumptions'!I77*'Other Assumptions'!I80)+'Total Distance Tables Sup #2'!E95*(1-'Other Assumptions'!I14)*'Other Assumptions'!I77*'Other Assumptions'!I80</f>
        <v>1856.1603826756004</v>
      </c>
      <c r="F96" s="4">
        <f ca="1">'Total Distance Tables Sup #2'!F96*(1-'Other Assumptions'!J14)*(1-'Other Assumptions'!J77+'Other Assumptions'!J77*'Other Assumptions'!J80)+'Total Distance Tables Sup #2'!F95*(1-'Other Assumptions'!J14)*'Other Assumptions'!J77*'Other Assumptions'!J80</f>
        <v>1557.4240805986947</v>
      </c>
      <c r="G96" s="4">
        <f ca="1">'Total Distance Tables Sup #2'!G96*(1-'Other Assumptions'!K14)*(1-'Other Assumptions'!K77+'Other Assumptions'!K77*'Other Assumptions'!K80)+'Total Distance Tables Sup #2'!G95*(1-'Other Assumptions'!K14)*'Other Assumptions'!K77*'Other Assumptions'!K80</f>
        <v>1238.5266475586898</v>
      </c>
      <c r="H96" s="4">
        <f ca="1">'Total Distance Tables Sup #2'!H96*(1-'Other Assumptions'!L14)*(1-'Other Assumptions'!L77+'Other Assumptions'!L77*'Other Assumptions'!L80)+'Total Distance Tables Sup #2'!H95*(1-'Other Assumptions'!L14)*'Other Assumptions'!L77*'Other Assumptions'!L80</f>
        <v>903.93106751514824</v>
      </c>
      <c r="I96" s="1">
        <f ca="1">'Total Distance Tables Sup #2'!I96*(1-'Other Assumptions'!M14)*(1-'Other Assumptions'!M77+'Other Assumptions'!M77*'Other Assumptions'!M80)+'Total Distance Tables Sup #2'!I95*(1-'Other Assumptions'!M14)*'Other Assumptions'!M77*'Other Assumptions'!M80</f>
        <v>923.8180902501789</v>
      </c>
      <c r="J96" s="1">
        <f ca="1">'Total Distance Tables Sup #2'!J96*(1-'Other Assumptions'!N14)*(1-'Other Assumptions'!N77+'Other Assumptions'!N77*'Other Assumptions'!N80)+'Total Distance Tables Sup #2'!J95*(1-'Other Assumptions'!N14)*'Other Assumptions'!N77*'Other Assumptions'!N80</f>
        <v>940.55431447158685</v>
      </c>
      <c r="K96" s="1">
        <f ca="1">'Total Distance Tables Sup #2'!K96*(1-'Other Assumptions'!O14)*(1-'Other Assumptions'!O77+'Other Assumptions'!O77*'Other Assumptions'!O80)+'Total Distance Tables Sup #2'!K95*(1-'Other Assumptions'!O14)*'Other Assumptions'!O77*'Other Assumptions'!O80</f>
        <v>954.79566253255109</v>
      </c>
    </row>
    <row r="97" spans="1:11" x14ac:dyDescent="0.2">
      <c r="A97" t="str">
        <f ca="1">OFFSET(Wellington_Reference,28,2)</f>
        <v>Taxi/Vehicle Share</v>
      </c>
      <c r="B97" s="4">
        <f ca="1">'Total Distance Tables Sup #2'!B97</f>
        <v>19.359252680000001</v>
      </c>
      <c r="C97" s="4">
        <f ca="1">'Total Distance Tables Sup #2'!C97+((C95+C96)*'Other Assumptions'!G14/(1-'Other Assumptions'!G14))</f>
        <v>22.081727041884886</v>
      </c>
      <c r="D97" s="4">
        <f ca="1">'Total Distance Tables Sup #2'!D97+((D95+D96)*'Other Assumptions'!H14/(1-'Other Assumptions'!H14))</f>
        <v>25.236331936044259</v>
      </c>
      <c r="E97" s="4">
        <f ca="1">'Total Distance Tables Sup #2'!E97+((E95+E96)*'Other Assumptions'!I14/(1-'Other Assumptions'!I14))</f>
        <v>966.69851605681004</v>
      </c>
      <c r="F97" s="4">
        <f ca="1">'Total Distance Tables Sup #2'!F97+((F95+F96)*'Other Assumptions'!J14/(1-'Other Assumptions'!J14))</f>
        <v>1960.0096434669317</v>
      </c>
      <c r="G97" s="4">
        <f ca="1">'Total Distance Tables Sup #2'!G97+((G95+G96)*'Other Assumptions'!K14/(1-'Other Assumptions'!K14))</f>
        <v>2976.7546690675886</v>
      </c>
      <c r="H97" s="4">
        <f ca="1">'Total Distance Tables Sup #2'!H97+((H95+H96)*'Other Assumptions'!L14/(1-'Other Assumptions'!L14))</f>
        <v>3990.6133970269066</v>
      </c>
      <c r="I97" s="1">
        <f ca="1">'Total Distance Tables Sup #2'!I97+((I95+I96)*'Other Assumptions'!M14/(1-'Other Assumptions'!M14))</f>
        <v>4080.962657072715</v>
      </c>
      <c r="J97" s="1">
        <f ca="1">'Total Distance Tables Sup #2'!J97+((J95+J96)*'Other Assumptions'!N14/(1-'Other Assumptions'!N14))</f>
        <v>4157.5748965305156</v>
      </c>
      <c r="K97" s="1">
        <f ca="1">'Total Distance Tables Sup #2'!K97+((K95+K96)*'Other Assumptions'!O14/(1-'Other Assumptions'!O14))</f>
        <v>4223.8910743831821</v>
      </c>
    </row>
    <row r="98" spans="1:11" x14ac:dyDescent="0.2">
      <c r="A98" t="str">
        <f ca="1">OFFSET(Wellington_Reference,35,2)</f>
        <v>Motorcyclist</v>
      </c>
      <c r="B98" s="4">
        <f ca="1">'Total Distance Tables Sup #2'!B98</f>
        <v>24.444631151999999</v>
      </c>
      <c r="C98" s="4">
        <f ca="1">'Total Distance Tables Sup #2'!C98</f>
        <v>26.088382603893169</v>
      </c>
      <c r="D98" s="4">
        <f ca="1">'Total Distance Tables Sup #2'!D98</f>
        <v>27.451893173276456</v>
      </c>
      <c r="E98" s="4">
        <f ca="1">'Total Distance Tables Sup #2'!E98</f>
        <v>28.076178185680536</v>
      </c>
      <c r="F98" s="4">
        <f ca="1">'Total Distance Tables Sup #2'!F98</f>
        <v>28.092728470246836</v>
      </c>
      <c r="G98" s="4">
        <f ca="1">'Total Distance Tables Sup #2'!G98</f>
        <v>27.476079250955976</v>
      </c>
      <c r="H98" s="4">
        <f ca="1">'Total Distance Tables Sup #2'!H98</f>
        <v>26.565095205783582</v>
      </c>
      <c r="I98" s="1">
        <f ca="1">'Total Distance Tables Sup #2'!I98</f>
        <v>27.29709068852716</v>
      </c>
      <c r="J98" s="1">
        <f ca="1">'Total Distance Tables Sup #2'!J98</f>
        <v>27.954225596541068</v>
      </c>
      <c r="K98" s="1">
        <f ca="1">'Total Distance Tables Sup #2'!K98</f>
        <v>28.553605077262596</v>
      </c>
    </row>
    <row r="99" spans="1:11" x14ac:dyDescent="0.2">
      <c r="A99" t="str">
        <f ca="1">OFFSET(Wellington_Reference,42,2)</f>
        <v>Local Train</v>
      </c>
      <c r="B99" s="4">
        <f ca="1">'Total Distance Tables Sup #2'!B99</f>
        <v>297.83</v>
      </c>
      <c r="C99" s="4">
        <f ca="1">'Total Distance Tables Sup #2'!C99+'Total Distance Tables Sup #2'!C95*'Other Assumptions'!G77*'Other Assumptions'!G82+'Total Distance Tables Sup #2'!C96*'Other Assumptions'!G77*'Other Assumptions'!G82</f>
        <v>296.32381974434077</v>
      </c>
      <c r="D99" s="4">
        <f ca="1">'Total Distance Tables Sup #2'!D99+'Total Distance Tables Sup #2'!D95*'Other Assumptions'!H77*'Other Assumptions'!H82+'Total Distance Tables Sup #2'!D96*'Other Assumptions'!H77*'Other Assumptions'!H82</f>
        <v>344.24629237594803</v>
      </c>
      <c r="E99" s="4">
        <f ca="1">'Total Distance Tables Sup #2'!E99+'Total Distance Tables Sup #2'!E95*'Other Assumptions'!I77*'Other Assumptions'!I82+'Total Distance Tables Sup #2'!E96*'Other Assumptions'!I77*'Other Assumptions'!I82</f>
        <v>366.54021706351227</v>
      </c>
      <c r="F99" s="4">
        <f ca="1">'Total Distance Tables Sup #2'!F99+'Total Distance Tables Sup #2'!F95*'Other Assumptions'!J77*'Other Assumptions'!J82+'Total Distance Tables Sup #2'!F96*'Other Assumptions'!J77*'Other Assumptions'!J82</f>
        <v>380.25688401764108</v>
      </c>
      <c r="G99" s="4">
        <f ca="1">'Total Distance Tables Sup #2'!G99+'Total Distance Tables Sup #2'!G95*'Other Assumptions'!K77*'Other Assumptions'!K82+'Total Distance Tables Sup #2'!G96*'Other Assumptions'!K77*'Other Assumptions'!K82</f>
        <v>391.88267473686017</v>
      </c>
      <c r="H99" s="4">
        <f ca="1">'Total Distance Tables Sup #2'!H99+'Total Distance Tables Sup #2'!H95*'Other Assumptions'!L77*'Other Assumptions'!L82+'Total Distance Tables Sup #2'!H96*'Other Assumptions'!L77*'Other Assumptions'!L82</f>
        <v>401.79136950755253</v>
      </c>
      <c r="I99" s="1">
        <f ca="1">'Total Distance Tables Sup #2'!I99+'Total Distance Tables Sup #2'!I95*'Other Assumptions'!M77*'Other Assumptions'!M82+'Total Distance Tables Sup #2'!I96*'Other Assumptions'!M77*'Other Assumptions'!M82</f>
        <v>432.61117023219794</v>
      </c>
      <c r="J99" s="1">
        <f ca="1">'Total Distance Tables Sup #2'!J99+'Total Distance Tables Sup #2'!J95*'Other Assumptions'!N77*'Other Assumptions'!N82+'Total Distance Tables Sup #2'!J96*'Other Assumptions'!N77*'Other Assumptions'!N82</f>
        <v>465.47109673554678</v>
      </c>
      <c r="K99" s="1">
        <f ca="1">'Total Distance Tables Sup #2'!K99+'Total Distance Tables Sup #2'!K95*'Other Assumptions'!O77*'Other Assumptions'!O82+'Total Distance Tables Sup #2'!K96*'Other Assumptions'!O77*'Other Assumptions'!O82</f>
        <v>500.67282270464256</v>
      </c>
    </row>
    <row r="100" spans="1:11" x14ac:dyDescent="0.2">
      <c r="A100" t="str">
        <f ca="1">OFFSET(Wellington_Reference,49,2)</f>
        <v>Local Bus</v>
      </c>
      <c r="B100" s="4">
        <f ca="1">'Total Distance Tables Sup #2'!B100</f>
        <v>164.37</v>
      </c>
      <c r="C100" s="4">
        <f ca="1">'Total Distance Tables Sup #2'!C100+'Total Distance Tables Sup #2'!C95*'Other Assumptions'!G77*'Other Assumptions'!G81+'Total Distance Tables Sup #2'!C96*'Other Assumptions'!G77*'Other Assumptions'!G81</f>
        <v>159.01779495627051</v>
      </c>
      <c r="D100" s="4">
        <f ca="1">'Total Distance Tables Sup #2'!D100+'Total Distance Tables Sup #2'!D95*'Other Assumptions'!H77*'Other Assumptions'!H81+'Total Distance Tables Sup #2'!D96*'Other Assumptions'!H77*'Other Assumptions'!H81</f>
        <v>183.79240194579793</v>
      </c>
      <c r="E100" s="4">
        <f ca="1">'Total Distance Tables Sup #2'!E100+'Total Distance Tables Sup #2'!E95*'Other Assumptions'!I77*'Other Assumptions'!I81+'Total Distance Tables Sup #2'!E96*'Other Assumptions'!I77*'Other Assumptions'!I81</f>
        <v>193.80834416024541</v>
      </c>
      <c r="F100" s="4">
        <f ca="1">'Total Distance Tables Sup #2'!F100+'Total Distance Tables Sup #2'!F95*'Other Assumptions'!J77*'Other Assumptions'!J81+'Total Distance Tables Sup #2'!F96*'Other Assumptions'!J77*'Other Assumptions'!J81</f>
        <v>196.11811964247474</v>
      </c>
      <c r="G100" s="4">
        <f ca="1">'Total Distance Tables Sup #2'!G100+'Total Distance Tables Sup #2'!G95*'Other Assumptions'!K77*'Other Assumptions'!K81+'Total Distance Tables Sup #2'!G96*'Other Assumptions'!K77*'Other Assumptions'!K81</f>
        <v>199.04835494368302</v>
      </c>
      <c r="H100" s="4">
        <f ca="1">'Total Distance Tables Sup #2'!H100+'Total Distance Tables Sup #2'!H95*'Other Assumptions'!L77*'Other Assumptions'!L81+'Total Distance Tables Sup #2'!H96*'Other Assumptions'!L77*'Other Assumptions'!L81</f>
        <v>202.36414743266039</v>
      </c>
      <c r="I100" s="1">
        <f ca="1">'Total Distance Tables Sup #2'!I100+'Total Distance Tables Sup #2'!I95*'Other Assumptions'!M77*'Other Assumptions'!M81+'Total Distance Tables Sup #2'!I96*'Other Assumptions'!M77*'Other Assumptions'!M81</f>
        <v>211.28647820856457</v>
      </c>
      <c r="J100" s="1">
        <f ca="1">'Total Distance Tables Sup #2'!J100+'Total Distance Tables Sup #2'!J95*'Other Assumptions'!N77*'Other Assumptions'!N81+'Total Distance Tables Sup #2'!J96*'Other Assumptions'!N77*'Other Assumptions'!N81</f>
        <v>220.51510595850343</v>
      </c>
      <c r="K100" s="1">
        <f ca="1">'Total Distance Tables Sup #2'!K100+'Total Distance Tables Sup #2'!K95*'Other Assumptions'!O77*'Other Assumptions'!O81+'Total Distance Tables Sup #2'!K96*'Other Assumptions'!O77*'Other Assumptions'!O81</f>
        <v>230.0759879957881</v>
      </c>
    </row>
    <row r="101" spans="1:11" x14ac:dyDescent="0.2">
      <c r="A101" t="str">
        <f ca="1">OFFSET(Wellington_Reference,56,2)</f>
        <v>Local Ferry</v>
      </c>
      <c r="B101" s="4">
        <f ca="1">'Total Distance Tables Sup #2'!B101</f>
        <v>0</v>
      </c>
      <c r="C101" s="4">
        <f ca="1">'Total Distance Tables Sup #2'!C101</f>
        <v>0</v>
      </c>
      <c r="D101" s="4">
        <f ca="1">'Total Distance Tables Sup #2'!D101</f>
        <v>0</v>
      </c>
      <c r="E101" s="4">
        <f ca="1">'Total Distance Tables Sup #2'!E101</f>
        <v>0</v>
      </c>
      <c r="F101" s="4">
        <f ca="1">'Total Distance Tables Sup #2'!F101</f>
        <v>0</v>
      </c>
      <c r="G101" s="4">
        <f ca="1">'Total Distance Tables Sup #2'!G101</f>
        <v>0</v>
      </c>
      <c r="H101" s="4">
        <f ca="1">'Total Distance Tables Sup #2'!H101</f>
        <v>0</v>
      </c>
      <c r="I101" s="1">
        <f ca="1">'Total Distance Tables Sup #2'!I101</f>
        <v>0</v>
      </c>
      <c r="J101" s="1">
        <f ca="1">'Total Distance Tables Sup #2'!J101</f>
        <v>0</v>
      </c>
      <c r="K101" s="1">
        <f ca="1">'Total Distance Tables Sup #2'!K101</f>
        <v>0</v>
      </c>
    </row>
    <row r="102" spans="1:11" x14ac:dyDescent="0.2">
      <c r="A102" t="str">
        <f ca="1">OFFSET(Wellington_Reference,63,2)</f>
        <v>Other Household Travel</v>
      </c>
      <c r="B102" s="4">
        <f ca="1">'Total Distance Tables Sup #2'!B102</f>
        <v>0</v>
      </c>
      <c r="C102" s="4">
        <f ca="1">'Total Distance Tables Sup #2'!C102</f>
        <v>0</v>
      </c>
      <c r="D102" s="4">
        <f ca="1">'Total Distance Tables Sup #2'!D102</f>
        <v>0</v>
      </c>
      <c r="E102" s="4">
        <f ca="1">'Total Distance Tables Sup #2'!E102</f>
        <v>0</v>
      </c>
      <c r="F102" s="4">
        <f ca="1">'Total Distance Tables Sup #2'!F102</f>
        <v>0</v>
      </c>
      <c r="G102" s="4">
        <f ca="1">'Total Distance Tables Sup #2'!G102</f>
        <v>0</v>
      </c>
      <c r="H102" s="4">
        <f ca="1">'Total Distance Tables Sup #2'!H102</f>
        <v>0</v>
      </c>
      <c r="I102" s="1">
        <f ca="1">'Total Distance Tables Sup #2'!I102</f>
        <v>0</v>
      </c>
      <c r="J102" s="1">
        <f ca="1">'Total Distance Tables Sup #2'!J102</f>
        <v>0</v>
      </c>
      <c r="K102" s="1">
        <f ca="1">'Total Distance Tables Sup #2'!K102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'Total Distance Tables Sup #2'!B104</f>
        <v>28.582749250999999</v>
      </c>
      <c r="C104" s="4">
        <f ca="1">'Total Distance Tables Sup #2'!C104</f>
        <v>29.198396766200727</v>
      </c>
      <c r="D104" s="4">
        <f ca="1">'Total Distance Tables Sup #2'!D104</f>
        <v>30.159720525691547</v>
      </c>
      <c r="E104" s="4">
        <f ca="1">'Total Distance Tables Sup #2'!E104</f>
        <v>30.651274433737903</v>
      </c>
      <c r="F104" s="4">
        <f ca="1">'Total Distance Tables Sup #2'!F104</f>
        <v>30.853487853386895</v>
      </c>
      <c r="G104" s="4">
        <f ca="1">'Total Distance Tables Sup #2'!G104</f>
        <v>31.003423793935411</v>
      </c>
      <c r="H104" s="4">
        <f ca="1">'Total Distance Tables Sup #2'!H104</f>
        <v>30.890028598573256</v>
      </c>
      <c r="I104" s="1">
        <f ca="1">'Total Distance Tables Sup #2'!I104</f>
        <v>31.415661852648881</v>
      </c>
      <c r="J104" s="1">
        <f ca="1">'Total Distance Tables Sup #2'!J104</f>
        <v>31.850486810091677</v>
      </c>
      <c r="K104" s="1">
        <f ca="1">'Total Distance Tables Sup #2'!K104</f>
        <v>32.214938122314521</v>
      </c>
    </row>
    <row r="105" spans="1:11" x14ac:dyDescent="0.2">
      <c r="A105" t="str">
        <f ca="1">OFFSET(Nelson_Reference,7,2)</f>
        <v>Cyclist</v>
      </c>
      <c r="B105" s="4">
        <f ca="1">'Total Distance Tables Sup #2'!B105</f>
        <v>10.809874027999999</v>
      </c>
      <c r="C105" s="4">
        <f ca="1">'Total Distance Tables Sup #2'!C105</f>
        <v>11.316110805333675</v>
      </c>
      <c r="D105" s="4">
        <f ca="1">'Total Distance Tables Sup #2'!D105</f>
        <v>13.327452139620229</v>
      </c>
      <c r="E105" s="4">
        <f ca="1">'Total Distance Tables Sup #2'!E105</f>
        <v>14.846618878516198</v>
      </c>
      <c r="F105" s="4">
        <f ca="1">'Total Distance Tables Sup #2'!F105</f>
        <v>16.597875506912729</v>
      </c>
      <c r="G105" s="4">
        <f ca="1">'Total Distance Tables Sup #2'!G105</f>
        <v>18.666262556754702</v>
      </c>
      <c r="H105" s="4">
        <f ca="1">'Total Distance Tables Sup #2'!H105</f>
        <v>20.733652502841643</v>
      </c>
      <c r="I105" s="1">
        <f ca="1">'Total Distance Tables Sup #2'!I105</f>
        <v>21.2401307683803</v>
      </c>
      <c r="J105" s="1">
        <f ca="1">'Total Distance Tables Sup #2'!J105</f>
        <v>21.755926539993773</v>
      </c>
      <c r="K105" s="1">
        <f ca="1">'Total Distance Tables Sup #2'!K105</f>
        <v>22.236107663732863</v>
      </c>
    </row>
    <row r="106" spans="1:11" x14ac:dyDescent="0.2">
      <c r="A106" t="str">
        <f ca="1">OFFSET(Nelson_Reference,14,2)</f>
        <v>Light Vehicle Driver</v>
      </c>
      <c r="B106" s="4">
        <f ca="1">'Total Distance Tables Sup #2'!B106</f>
        <v>1012.1329009999999</v>
      </c>
      <c r="C106" s="4">
        <f ca="1">'Total Distance Tables Sup #2'!C106*(1-'Other Assumptions'!G15)</f>
        <v>1077.2552772566671</v>
      </c>
      <c r="D106" s="4">
        <f ca="1">'Total Distance Tables Sup #2'!D106*(1-'Other Assumptions'!H15)</f>
        <v>1124.7232479782203</v>
      </c>
      <c r="E106" s="4">
        <f ca="1">'Total Distance Tables Sup #2'!E106*(1-'Other Assumptions'!I15)</f>
        <v>996.35395484364176</v>
      </c>
      <c r="F106" s="4">
        <f ca="1">'Total Distance Tables Sup #2'!F106*(1-'Other Assumptions'!J15)</f>
        <v>844.51584146144444</v>
      </c>
      <c r="G106" s="4">
        <f ca="1">'Total Distance Tables Sup #2'!G106*(1-'Other Assumptions'!K15)</f>
        <v>673.78554313386962</v>
      </c>
      <c r="H106" s="4">
        <f ca="1">'Total Distance Tables Sup #2'!H106*(1-'Other Assumptions'!L15)</f>
        <v>492.06709292383761</v>
      </c>
      <c r="I106" s="1">
        <f ca="1">'Total Distance Tables Sup #2'!I106*(1-'Other Assumptions'!M15)</f>
        <v>500.25212896679818</v>
      </c>
      <c r="J106" s="1">
        <f ca="1">'Total Distance Tables Sup #2'!J106*(1-'Other Assumptions'!N15)</f>
        <v>506.80244442501311</v>
      </c>
      <c r="K106" s="1">
        <f ca="1">'Total Distance Tables Sup #2'!K106*(1-'Other Assumptions'!O15)</f>
        <v>512.19883769070736</v>
      </c>
    </row>
    <row r="107" spans="1:11" x14ac:dyDescent="0.2">
      <c r="A107" t="str">
        <f ca="1">OFFSET(Nelson_Reference,21,2)</f>
        <v>Light Vehicle Passenger</v>
      </c>
      <c r="B107" s="4">
        <f ca="1">'Total Distance Tables Sup #2'!B107</f>
        <v>528.66856442999995</v>
      </c>
      <c r="C107" s="4">
        <f ca="1">'Total Distance Tables Sup #2'!C107*(1-'Other Assumptions'!G15)</f>
        <v>538.84289134343646</v>
      </c>
      <c r="D107" s="4">
        <f ca="1">'Total Distance Tables Sup #2'!D107*(1-'Other Assumptions'!H15)</f>
        <v>556.77108191513389</v>
      </c>
      <c r="E107" s="4">
        <f ca="1">'Total Distance Tables Sup #2'!E107*(1-'Other Assumptions'!I15)</f>
        <v>486.71245818271569</v>
      </c>
      <c r="F107" s="4">
        <f ca="1">'Total Distance Tables Sup #2'!F107*(1-'Other Assumptions'!J15)</f>
        <v>407.68611534056316</v>
      </c>
      <c r="G107" s="4">
        <f ca="1">'Total Distance Tables Sup #2'!G107*(1-'Other Assumptions'!K15)</f>
        <v>323.27941343999714</v>
      </c>
      <c r="H107" s="4">
        <f ca="1">'Total Distance Tables Sup #2'!H107*(1-'Other Assumptions'!L15)</f>
        <v>235.01510817243462</v>
      </c>
      <c r="I107" s="1">
        <f ca="1">'Total Distance Tables Sup #2'!I107*(1-'Other Assumptions'!M15)</f>
        <v>239.13270400217735</v>
      </c>
      <c r="J107" s="1">
        <f ca="1">'Total Distance Tables Sup #2'!J107*(1-'Other Assumptions'!N15)</f>
        <v>242.52802370883012</v>
      </c>
      <c r="K107" s="1">
        <f ca="1">'Total Distance Tables Sup #2'!K107*(1-'Other Assumptions'!O15)</f>
        <v>245.37563414720518</v>
      </c>
    </row>
    <row r="108" spans="1:11" x14ac:dyDescent="0.2">
      <c r="A108" t="str">
        <f ca="1">OFFSET(Nelson_Reference,28,2)</f>
        <v>Taxi/Vehicle Share</v>
      </c>
      <c r="B108" s="4">
        <f ca="1">'Total Distance Tables Sup #2'!B108</f>
        <v>2.5483198348</v>
      </c>
      <c r="C108" s="4">
        <f ca="1">'Total Distance Tables Sup #2'!C108+((C106+C107)*'Other Assumptions'!G15/(1-'Other Assumptions'!G15))</f>
        <v>2.8791342925844576</v>
      </c>
      <c r="D108" s="4">
        <f ca="1">'Total Distance Tables Sup #2'!D108+((D106+D107)*'Other Assumptions'!H15/(1-'Other Assumptions'!H15))</f>
        <v>3.2796306066421188</v>
      </c>
      <c r="E108" s="4">
        <f ca="1">'Total Distance Tables Sup #2'!E108+((E106+E107)*'Other Assumptions'!I15/(1-'Other Assumptions'!I15))</f>
        <v>265.36137247936176</v>
      </c>
      <c r="F108" s="4">
        <f ca="1">'Total Distance Tables Sup #2'!F108+((F106+F107)*'Other Assumptions'!J15/(1-'Other Assumptions'!J15))</f>
        <v>540.59968062412463</v>
      </c>
      <c r="G108" s="4">
        <f ca="1">'Total Distance Tables Sup #2'!G108+((G106+G107)*'Other Assumptions'!K15/(1-'Other Assumptions'!K15))</f>
        <v>819.93348307375379</v>
      </c>
      <c r="H108" s="4">
        <f ca="1">'Total Distance Tables Sup #2'!H108+((H106+H107)*'Other Assumptions'!L15/(1-'Other Assumptions'!L15))</f>
        <v>1094.928469216595</v>
      </c>
      <c r="I108" s="1">
        <f ca="1">'Total Distance Tables Sup #2'!I108+((I106+I107)*'Other Assumptions'!M15/(1-'Other Assumptions'!M15))</f>
        <v>1113.4622789165385</v>
      </c>
      <c r="J108" s="1">
        <f ca="1">'Total Distance Tables Sup #2'!J108+((J106+J107)*'Other Assumptions'!N15/(1-'Other Assumptions'!N15))</f>
        <v>1128.4504660331797</v>
      </c>
      <c r="K108" s="1">
        <f ca="1">'Total Distance Tables Sup #2'!K108+((K106+K107)*'Other Assumptions'!O15/(1-'Other Assumptions'!O15))</f>
        <v>1140.876653597765</v>
      </c>
    </row>
    <row r="109" spans="1:11" x14ac:dyDescent="0.2">
      <c r="A109" t="str">
        <f ca="1">OFFSET(Nelson_Reference,35,2)</f>
        <v>Motorcyclist</v>
      </c>
      <c r="B109" s="4">
        <f ca="1">'Total Distance Tables Sup #2'!B109</f>
        <v>34.127286998000002</v>
      </c>
      <c r="C109" s="4">
        <f ca="1">'Total Distance Tables Sup #2'!C109</f>
        <v>36.076879865239263</v>
      </c>
      <c r="D109" s="4">
        <f ca="1">'Total Distance Tables Sup #2'!D109</f>
        <v>37.837630327082216</v>
      </c>
      <c r="E109" s="4">
        <f ca="1">'Total Distance Tables Sup #2'!E109</f>
        <v>38.562570261013676</v>
      </c>
      <c r="F109" s="4">
        <f ca="1">'Total Distance Tables Sup #2'!F109</f>
        <v>38.387983572512141</v>
      </c>
      <c r="G109" s="4">
        <f ca="1">'Total Distance Tables Sup #2'!G109</f>
        <v>37.302785451355959</v>
      </c>
      <c r="H109" s="4">
        <f ca="1">'Total Distance Tables Sup #2'!H109</f>
        <v>35.772809905487279</v>
      </c>
      <c r="I109" s="1">
        <f ca="1">'Total Distance Tables Sup #2'!I109</f>
        <v>36.461429892902828</v>
      </c>
      <c r="J109" s="1">
        <f ca="1">'Total Distance Tables Sup #2'!J109</f>
        <v>37.03914544959401</v>
      </c>
      <c r="K109" s="1">
        <f ca="1">'Total Distance Tables Sup #2'!K109</f>
        <v>37.531085523726503</v>
      </c>
    </row>
    <row r="110" spans="1:11" x14ac:dyDescent="0.2">
      <c r="A110" t="str">
        <f ca="1">OFFSET(Nelson_Reference,42,2)</f>
        <v>Local Train</v>
      </c>
      <c r="B110" s="4">
        <f ca="1">'Total Distance Tables Sup #2'!B110</f>
        <v>0</v>
      </c>
      <c r="C110" s="4">
        <f ca="1">'Total Distance Tables Sup #2'!C110</f>
        <v>0</v>
      </c>
      <c r="D110" s="4">
        <f ca="1">'Total Distance Tables Sup #2'!D110</f>
        <v>0</v>
      </c>
      <c r="E110" s="4">
        <f ca="1">'Total Distance Tables Sup #2'!E110</f>
        <v>0</v>
      </c>
      <c r="F110" s="4">
        <f ca="1">'Total Distance Tables Sup #2'!F110</f>
        <v>0</v>
      </c>
      <c r="G110" s="4">
        <f ca="1">'Total Distance Tables Sup #2'!G110</f>
        <v>0</v>
      </c>
      <c r="H110" s="4">
        <f ca="1">'Total Distance Tables Sup #2'!H110</f>
        <v>0</v>
      </c>
      <c r="I110" s="1">
        <f ca="1">'Total Distance Tables Sup #2'!I110</f>
        <v>0</v>
      </c>
      <c r="J110" s="1">
        <f ca="1">'Total Distance Tables Sup #2'!J110</f>
        <v>0</v>
      </c>
      <c r="K110" s="1">
        <f ca="1">'Total Distance Tables Sup #2'!K110</f>
        <v>0</v>
      </c>
    </row>
    <row r="111" spans="1:11" x14ac:dyDescent="0.2">
      <c r="A111" t="str">
        <f ca="1">OFFSET(Nelson_Reference,49,2)</f>
        <v>Local Bus</v>
      </c>
      <c r="B111" s="4">
        <f ca="1">'Total Distance Tables Sup #2'!B111</f>
        <v>19.807462209000001</v>
      </c>
      <c r="C111" s="4">
        <f ca="1">'Total Distance Tables Sup #2'!C111</f>
        <v>17.925769080716467</v>
      </c>
      <c r="D111" s="4">
        <f ca="1">'Total Distance Tables Sup #2'!D111</f>
        <v>18.026416314262061</v>
      </c>
      <c r="E111" s="4">
        <f ca="1">'Total Distance Tables Sup #2'!E111</f>
        <v>17.772391775745707</v>
      </c>
      <c r="F111" s="4">
        <f ca="1">'Total Distance Tables Sup #2'!F111</f>
        <v>17.344505085705364</v>
      </c>
      <c r="G111" s="4">
        <f ca="1">'Total Distance Tables Sup #2'!G111</f>
        <v>17.099893906229632</v>
      </c>
      <c r="H111" s="4">
        <f ca="1">'Total Distance Tables Sup #2'!H111</f>
        <v>16.809531294883321</v>
      </c>
      <c r="I111" s="1">
        <f ca="1">'Total Distance Tables Sup #2'!I111</f>
        <v>17.148116981674146</v>
      </c>
      <c r="J111" s="1">
        <f ca="1">'Total Distance Tables Sup #2'!J111</f>
        <v>17.445155566335945</v>
      </c>
      <c r="K111" s="1">
        <f ca="1">'Total Distance Tables Sup #2'!K111</f>
        <v>17.704625730332086</v>
      </c>
    </row>
    <row r="112" spans="1:11" x14ac:dyDescent="0.2">
      <c r="A112" t="str">
        <f ca="1">OFFSET(Wellington_Reference,56,2)</f>
        <v>Local Ferry</v>
      </c>
      <c r="B112" s="4">
        <f>'Total Distance Tables Sup #2'!B112</f>
        <v>0</v>
      </c>
      <c r="C112" s="4">
        <f ca="1">'Total Distance Tables Sup #2'!C112</f>
        <v>0</v>
      </c>
      <c r="D112" s="4">
        <f ca="1">'Total Distance Tables Sup #2'!D112</f>
        <v>0</v>
      </c>
      <c r="E112" s="4">
        <f ca="1">'Total Distance Tables Sup #2'!E112</f>
        <v>0</v>
      </c>
      <c r="F112" s="4">
        <f ca="1">'Total Distance Tables Sup #2'!F112</f>
        <v>0</v>
      </c>
      <c r="G112" s="4">
        <f ca="1">'Total Distance Tables Sup #2'!G112</f>
        <v>0</v>
      </c>
      <c r="H112" s="4">
        <f ca="1">'Total Distance Tables Sup #2'!H112</f>
        <v>0</v>
      </c>
      <c r="I112" s="1">
        <f ca="1">'Total Distance Tables Sup #2'!I112</f>
        <v>0</v>
      </c>
      <c r="J112" s="1">
        <f ca="1">'Total Distance Tables Sup #2'!J112</f>
        <v>0</v>
      </c>
      <c r="K112" s="1">
        <f ca="1">'Total Distance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Distance Tables Sup #2'!B113</f>
        <v>0</v>
      </c>
      <c r="C113" s="4">
        <f ca="1">'Total Distance Tables Sup #2'!C113</f>
        <v>0</v>
      </c>
      <c r="D113" s="4">
        <f ca="1">'Total Distance Tables Sup #2'!D113</f>
        <v>0</v>
      </c>
      <c r="E113" s="4">
        <f ca="1">'Total Distance Tables Sup #2'!E113</f>
        <v>0</v>
      </c>
      <c r="F113" s="4">
        <f ca="1">'Total Distance Tables Sup #2'!F113</f>
        <v>0</v>
      </c>
      <c r="G113" s="4">
        <f ca="1">'Total Distance Tables Sup #2'!G113</f>
        <v>0</v>
      </c>
      <c r="H113" s="4">
        <f ca="1">'Total Distance Tables Sup #2'!H113</f>
        <v>0</v>
      </c>
      <c r="I113" s="1">
        <f ca="1">'Total Distance Tables Sup #2'!I113</f>
        <v>0</v>
      </c>
      <c r="J113" s="1">
        <f ca="1">'Total Distance Tables Sup #2'!J113</f>
        <v>0</v>
      </c>
      <c r="K113" s="1">
        <f ca="1">'Total Distance Tables Sup #2'!K113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'Total Distance Tables Sup #2'!B115</f>
        <v>4.6474841125999999</v>
      </c>
      <c r="C115" s="4">
        <f ca="1">'Total Distance Tables Sup #2'!C115</f>
        <v>4.4592753947604997</v>
      </c>
      <c r="D115" s="4">
        <f ca="1">'Total Distance Tables Sup #2'!D115</f>
        <v>4.4711478284714437</v>
      </c>
      <c r="E115" s="4">
        <f ca="1">'Total Distance Tables Sup #2'!E115</f>
        <v>4.4182570327796444</v>
      </c>
      <c r="F115" s="4">
        <f ca="1">'Total Distance Tables Sup #2'!F115</f>
        <v>4.3261961173680348</v>
      </c>
      <c r="G115" s="4">
        <f ca="1">'Total Distance Tables Sup #2'!G115</f>
        <v>4.2309480082781645</v>
      </c>
      <c r="H115" s="4">
        <f ca="1">'Total Distance Tables Sup #2'!H115</f>
        <v>4.1135182817603635</v>
      </c>
      <c r="I115" s="1">
        <f ca="1">'Total Distance Tables Sup #2'!I115</f>
        <v>4.0821404709320941</v>
      </c>
      <c r="J115" s="1">
        <f ca="1">'Total Distance Tables Sup #2'!J115</f>
        <v>4.0381636280328408</v>
      </c>
      <c r="K115" s="1">
        <f ca="1">'Total Distance Tables Sup #2'!K115</f>
        <v>3.9850219750758842</v>
      </c>
    </row>
    <row r="116" spans="1:11" x14ac:dyDescent="0.2">
      <c r="A116" t="str">
        <f ca="1">OFFSET(West_Coast_Reference,7,2)</f>
        <v>Cyclist</v>
      </c>
      <c r="B116" s="4">
        <f ca="1">'Total Distance Tables Sup #2'!B116</f>
        <v>1.9571055828999999</v>
      </c>
      <c r="C116" s="4">
        <f ca="1">'Total Distance Tables Sup #2'!C116</f>
        <v>1.9243416877100059</v>
      </c>
      <c r="D116" s="4">
        <f ca="1">'Total Distance Tables Sup #2'!D116</f>
        <v>2.199979106333704</v>
      </c>
      <c r="E116" s="4">
        <f ca="1">'Total Distance Tables Sup #2'!E116</f>
        <v>2.3829213554040134</v>
      </c>
      <c r="F116" s="4">
        <f ca="1">'Total Distance Tables Sup #2'!F116</f>
        <v>2.5913981726756101</v>
      </c>
      <c r="G116" s="4">
        <f ca="1">'Total Distance Tables Sup #2'!G116</f>
        <v>2.8363845456603509</v>
      </c>
      <c r="H116" s="4">
        <f ca="1">'Total Distance Tables Sup #2'!H116</f>
        <v>3.0743311485343323</v>
      </c>
      <c r="I116" s="1">
        <f ca="1">'Total Distance Tables Sup #2'!I116</f>
        <v>3.0731136817455025</v>
      </c>
      <c r="J116" s="1">
        <f ca="1">'Total Distance Tables Sup #2'!J116</f>
        <v>3.0713204419513609</v>
      </c>
      <c r="K116" s="1">
        <f ca="1">'Total Distance Tables Sup #2'!K116</f>
        <v>3.062752448222676</v>
      </c>
    </row>
    <row r="117" spans="1:11" x14ac:dyDescent="0.2">
      <c r="A117" t="str">
        <f ca="1">OFFSET(West_Coast_Reference,14,2)</f>
        <v>Light Vehicle Driver</v>
      </c>
      <c r="B117" s="4">
        <f ca="1">'Total Distance Tables Sup #2'!B117</f>
        <v>226.22434741999999</v>
      </c>
      <c r="C117" s="4">
        <f ca="1">'Total Distance Tables Sup #2'!C117*(1-'Other Assumptions'!G16)</f>
        <v>226.15792242414088</v>
      </c>
      <c r="D117" s="4">
        <f ca="1">'Total Distance Tables Sup #2'!D117*(1-'Other Assumptions'!H16)</f>
        <v>229.22556542121862</v>
      </c>
      <c r="E117" s="4">
        <f ca="1">'Total Distance Tables Sup #2'!E117*(1-'Other Assumptions'!I16)</f>
        <v>197.45915520705762</v>
      </c>
      <c r="F117" s="4">
        <f ca="1">'Total Distance Tables Sup #2'!F117*(1-'Other Assumptions'!J16)</f>
        <v>162.81931903370949</v>
      </c>
      <c r="G117" s="4">
        <f ca="1">'Total Distance Tables Sup #2'!G117*(1-'Other Assumptions'!K16)</f>
        <v>126.43952460988626</v>
      </c>
      <c r="H117" s="4">
        <f ca="1">'Total Distance Tables Sup #2'!H117*(1-'Other Assumptions'!L16)</f>
        <v>90.113680474119747</v>
      </c>
      <c r="I117" s="1">
        <f ca="1">'Total Distance Tables Sup #2'!I117*(1-'Other Assumptions'!M16)</f>
        <v>89.392868694503179</v>
      </c>
      <c r="J117" s="1">
        <f ca="1">'Total Distance Tables Sup #2'!J117*(1-'Other Assumptions'!N16)</f>
        <v>88.364958026812431</v>
      </c>
      <c r="K117" s="1">
        <f ca="1">'Total Distance Tables Sup #2'!K117*(1-'Other Assumptions'!O16)</f>
        <v>87.133855517917738</v>
      </c>
    </row>
    <row r="118" spans="1:11" x14ac:dyDescent="0.2">
      <c r="A118" t="str">
        <f ca="1">OFFSET(West_Coast_Reference,21,2)</f>
        <v>Light Vehicle Passenger</v>
      </c>
      <c r="B118" s="4">
        <f ca="1">'Total Distance Tables Sup #2'!B118</f>
        <v>160.37072223999999</v>
      </c>
      <c r="C118" s="4">
        <f ca="1">'Total Distance Tables Sup #2'!C118*(1-'Other Assumptions'!G16)</f>
        <v>153.53066453128227</v>
      </c>
      <c r="D118" s="4">
        <f ca="1">'Total Distance Tables Sup #2'!D118*(1-'Other Assumptions'!H16)</f>
        <v>154.04400703782827</v>
      </c>
      <c r="E118" s="4">
        <f ca="1">'Total Distance Tables Sup #2'!E118*(1-'Other Assumptions'!I16)</f>
        <v>130.97709940445162</v>
      </c>
      <c r="F118" s="4">
        <f ca="1">'Total Distance Tables Sup #2'!F118*(1-'Other Assumptions'!J16)</f>
        <v>106.75648414749739</v>
      </c>
      <c r="G118" s="4">
        <f ca="1">'Total Distance Tables Sup #2'!G118*(1-'Other Assumptions'!K16)</f>
        <v>82.41900502211692</v>
      </c>
      <c r="H118" s="4">
        <f ca="1">'Total Distance Tables Sup #2'!H118*(1-'Other Assumptions'!L16)</f>
        <v>58.488922336621798</v>
      </c>
      <c r="I118" s="1">
        <f ca="1">'Total Distance Tables Sup #2'!I118*(1-'Other Assumptions'!M16)</f>
        <v>58.072001183160857</v>
      </c>
      <c r="J118" s="1">
        <f ca="1">'Total Distance Tables Sup #2'!J118*(1-'Other Assumptions'!N16)</f>
        <v>57.467315947511366</v>
      </c>
      <c r="K118" s="1">
        <f ca="1">'Total Distance Tables Sup #2'!K118*(1-'Other Assumptions'!O16)</f>
        <v>56.728495644048238</v>
      </c>
    </row>
    <row r="119" spans="1:11" x14ac:dyDescent="0.2">
      <c r="A119" t="str">
        <f ca="1">OFFSET(West_Coast_Reference,28,2)</f>
        <v>Taxi/Vehicle Share</v>
      </c>
      <c r="B119" s="4">
        <f ca="1">'Total Distance Tables Sup #2'!B119</f>
        <v>1.6916956777000001</v>
      </c>
      <c r="C119" s="4">
        <f ca="1">'Total Distance Tables Sup #2'!C119+((C117+C118)*'Other Assumptions'!G16/(1-'Other Assumptions'!G16))</f>
        <v>1.7952362185742954</v>
      </c>
      <c r="D119" s="4">
        <f ca="1">'Total Distance Tables Sup #2'!D119+((D117+D118)*'Other Assumptions'!H16/(1-'Other Assumptions'!H16))</f>
        <v>1.9850481136306077</v>
      </c>
      <c r="E119" s="4">
        <f ca="1">'Total Distance Tables Sup #2'!E119+((E117+E118)*'Other Assumptions'!I16/(1-'Other Assumptions'!I16))</f>
        <v>60.103748975806042</v>
      </c>
      <c r="F119" s="4">
        <f ca="1">'Total Distance Tables Sup #2'!F119+((F117+F118)*'Other Assumptions'!J16/(1-'Other Assumptions'!J16))</f>
        <v>117.7890102619228</v>
      </c>
      <c r="G119" s="4">
        <f ca="1">'Total Distance Tables Sup #2'!G119+((G117+G118)*'Other Assumptions'!K16/(1-'Other Assumptions'!K16))</f>
        <v>173.19818596925009</v>
      </c>
      <c r="H119" s="4">
        <f ca="1">'Total Distance Tables Sup #2'!H119+((H117+H118)*'Other Assumptions'!L16/(1-'Other Assumptions'!L16))</f>
        <v>225.24457089385635</v>
      </c>
      <c r="I119" s="1">
        <f ca="1">'Total Distance Tables Sup #2'!I119+((I117+I118)*'Other Assumptions'!M16/(1-'Other Assumptions'!M16))</f>
        <v>223.52362044270197</v>
      </c>
      <c r="J119" s="1">
        <f ca="1">'Total Distance Tables Sup #2'!J119+((J117+J118)*'Other Assumptions'!N16/(1-'Other Assumptions'!N16))</f>
        <v>221.05434517938775</v>
      </c>
      <c r="K119" s="1">
        <f ca="1">'Total Distance Tables Sup #2'!K119+((K117+K118)*'Other Assumptions'!O16/(1-'Other Assumptions'!O16))</f>
        <v>218.07376566707381</v>
      </c>
    </row>
    <row r="120" spans="1:11" x14ac:dyDescent="0.2">
      <c r="A120" t="str">
        <f ca="1">OFFSET(West_Coast_Reference,35,2)</f>
        <v>Motorcyclist</v>
      </c>
      <c r="B120" s="4">
        <f ca="1">'Total Distance Tables Sup #2'!B120</f>
        <v>0.29466348679999999</v>
      </c>
      <c r="C120" s="4">
        <f ca="1">'Total Distance Tables Sup #2'!C120</f>
        <v>0.29258018026713739</v>
      </c>
      <c r="D120" s="4">
        <f ca="1">'Total Distance Tables Sup #2'!D120</f>
        <v>0.29786967428979072</v>
      </c>
      <c r="E120" s="4">
        <f ca="1">'Total Distance Tables Sup #2'!E120</f>
        <v>0.29517465070487409</v>
      </c>
      <c r="F120" s="4">
        <f ca="1">'Total Distance Tables Sup #2'!F120</f>
        <v>0.28583004763529318</v>
      </c>
      <c r="G120" s="4">
        <f ca="1">'Total Distance Tables Sup #2'!G120</f>
        <v>0.27032109537496918</v>
      </c>
      <c r="H120" s="4">
        <f ca="1">'Total Distance Tables Sup #2'!H120</f>
        <v>0.25296405862445165</v>
      </c>
      <c r="I120" s="1">
        <f ca="1">'Total Distance Tables Sup #2'!I120</f>
        <v>0.25158576936559512</v>
      </c>
      <c r="J120" s="1">
        <f ca="1">'Total Distance Tables Sup #2'!J120</f>
        <v>0.24936726432746198</v>
      </c>
      <c r="K120" s="1">
        <f ca="1">'Total Distance Tables Sup #2'!K120</f>
        <v>0.24653307313543302</v>
      </c>
    </row>
    <row r="121" spans="1:11" x14ac:dyDescent="0.2">
      <c r="A121" t="str">
        <f ca="1">OFFSET(Nelson_Reference,42,2)</f>
        <v>Local Train</v>
      </c>
      <c r="B121" s="4">
        <f ca="1">'Total Distance Tables Sup #2'!B121</f>
        <v>0</v>
      </c>
      <c r="C121" s="4">
        <f ca="1">'Total Distance Tables Sup #2'!C121</f>
        <v>0</v>
      </c>
      <c r="D121" s="4">
        <f ca="1">'Total Distance Tables Sup #2'!D121</f>
        <v>0</v>
      </c>
      <c r="E121" s="4">
        <f ca="1">'Total Distance Tables Sup #2'!E121</f>
        <v>0</v>
      </c>
      <c r="F121" s="4">
        <f ca="1">'Total Distance Tables Sup #2'!F121</f>
        <v>0</v>
      </c>
      <c r="G121" s="4">
        <f ca="1">'Total Distance Tables Sup #2'!G121</f>
        <v>0</v>
      </c>
      <c r="H121" s="4">
        <f ca="1">'Total Distance Tables Sup #2'!H121</f>
        <v>0</v>
      </c>
      <c r="I121" s="1">
        <f ca="1">'Total Distance Tables Sup #2'!I121</f>
        <v>0</v>
      </c>
      <c r="J121" s="1">
        <f ca="1">'Total Distance Tables Sup #2'!J121</f>
        <v>0</v>
      </c>
      <c r="K121" s="1">
        <f ca="1">'Total Distance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Distance Tables Sup #2'!B122</f>
        <v>6.0600083682000001</v>
      </c>
      <c r="C122" s="4">
        <f ca="1">'Total Distance Tables Sup #2'!C122</f>
        <v>5.1512610539294794</v>
      </c>
      <c r="D122" s="4">
        <f ca="1">'Total Distance Tables Sup #2'!D122</f>
        <v>5.0284204785714115</v>
      </c>
      <c r="E122" s="4">
        <f ca="1">'Total Distance Tables Sup #2'!E122</f>
        <v>4.8203524374553961</v>
      </c>
      <c r="F122" s="4">
        <f ca="1">'Total Distance Tables Sup #2'!F122</f>
        <v>4.5760875248979342</v>
      </c>
      <c r="G122" s="4">
        <f ca="1">'Total Distance Tables Sup #2'!G122</f>
        <v>4.3908835668484665</v>
      </c>
      <c r="H122" s="4">
        <f ca="1">'Total Distance Tables Sup #2'!H122</f>
        <v>4.211930524259909</v>
      </c>
      <c r="I122" s="1">
        <f ca="1">'Total Distance Tables Sup #2'!I122</f>
        <v>4.1926503205346455</v>
      </c>
      <c r="J122" s="1">
        <f ca="1">'Total Distance Tables Sup #2'!J122</f>
        <v>4.1617228808810696</v>
      </c>
      <c r="K122" s="1">
        <f ca="1">'Total Distance Tables Sup #2'!K122</f>
        <v>4.1208864034889796</v>
      </c>
    </row>
    <row r="123" spans="1:11" x14ac:dyDescent="0.2">
      <c r="A123" t="str">
        <f ca="1">OFFSET(Wellington_Reference,56,2)</f>
        <v>Local Ferry</v>
      </c>
      <c r="B123" s="4">
        <f>'Total Distance Tables Sup #2'!B123</f>
        <v>0</v>
      </c>
      <c r="C123" s="4">
        <f ca="1">'Total Distance Tables Sup #2'!C123</f>
        <v>0</v>
      </c>
      <c r="D123" s="4">
        <f ca="1">'Total Distance Tables Sup #2'!D123</f>
        <v>0</v>
      </c>
      <c r="E123" s="4">
        <f ca="1">'Total Distance Tables Sup #2'!E123</f>
        <v>0</v>
      </c>
      <c r="F123" s="4">
        <f ca="1">'Total Distance Tables Sup #2'!F123</f>
        <v>0</v>
      </c>
      <c r="G123" s="4">
        <f ca="1">'Total Distance Tables Sup #2'!G123</f>
        <v>0</v>
      </c>
      <c r="H123" s="4">
        <f ca="1">'Total Distance Tables Sup #2'!H123</f>
        <v>0</v>
      </c>
      <c r="I123" s="1">
        <f ca="1">'Total Distance Tables Sup #2'!I123</f>
        <v>0</v>
      </c>
      <c r="J123" s="1">
        <f ca="1">'Total Distance Tables Sup #2'!J123</f>
        <v>0</v>
      </c>
      <c r="K123" s="1">
        <f ca="1">'Total Distance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Distance Tables Sup #2'!B124</f>
        <v>0</v>
      </c>
      <c r="C124" s="4">
        <f ca="1">'Total Distance Tables Sup #2'!C124</f>
        <v>0</v>
      </c>
      <c r="D124" s="4">
        <f ca="1">'Total Distance Tables Sup #2'!D124</f>
        <v>0</v>
      </c>
      <c r="E124" s="4">
        <f ca="1">'Total Distance Tables Sup #2'!E124</f>
        <v>0</v>
      </c>
      <c r="F124" s="4">
        <f ca="1">'Total Distance Tables Sup #2'!F124</f>
        <v>0</v>
      </c>
      <c r="G124" s="4">
        <f ca="1">'Total Distance Tables Sup #2'!G124</f>
        <v>0</v>
      </c>
      <c r="H124" s="4">
        <f ca="1">'Total Distance Tables Sup #2'!H124</f>
        <v>0</v>
      </c>
      <c r="I124" s="1">
        <f ca="1">'Total Distance Tables Sup #2'!I124</f>
        <v>0</v>
      </c>
      <c r="J124" s="1">
        <f ca="1">'Total Distance Tables Sup #2'!J124</f>
        <v>0</v>
      </c>
      <c r="K124" s="1">
        <f ca="1">'Total Distance Tables Sup #2'!K124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'Total Distance Tables Sup #2'!B126</f>
        <v>113.37513976</v>
      </c>
      <c r="C126" s="4">
        <f ca="1">'Total Distance Tables Sup #2'!C126+'Total Distance Tables Sup #2'!C128*'Other Assumptions'!G88*'Other Assumptions'!G95+'Total Distance Tables Sup #2'!C129*'Other Assumptions'!G88*'Other Assumptions'!G95</f>
        <v>122.29001288196953</v>
      </c>
      <c r="D126" s="4">
        <f ca="1">'Total Distance Tables Sup #2'!D126+'Total Distance Tables Sup #2'!D128*'Other Assumptions'!H88*'Other Assumptions'!H95+'Total Distance Tables Sup #2'!D129*'Other Assumptions'!H88*'Other Assumptions'!H95</f>
        <v>130.6824151793337</v>
      </c>
      <c r="E126" s="4">
        <f ca="1">'Total Distance Tables Sup #2'!E126+'Total Distance Tables Sup #2'!E128*'Other Assumptions'!I88*'Other Assumptions'!I95+'Total Distance Tables Sup #2'!E129*'Other Assumptions'!I88*'Other Assumptions'!I95</f>
        <v>135.82453696876107</v>
      </c>
      <c r="F126" s="4">
        <f ca="1">'Total Distance Tables Sup #2'!F126+'Total Distance Tables Sup #2'!F128*'Other Assumptions'!J88*'Other Assumptions'!J95+'Total Distance Tables Sup #2'!F129*'Other Assumptions'!J88*'Other Assumptions'!J95</f>
        <v>139.97640593831591</v>
      </c>
      <c r="G126" s="4">
        <f ca="1">'Total Distance Tables Sup #2'!G126+'Total Distance Tables Sup #2'!G128*'Other Assumptions'!K88*'Other Assumptions'!K95+'Total Distance Tables Sup #2'!G129*'Other Assumptions'!K88*'Other Assumptions'!K95</f>
        <v>144.17778290815505</v>
      </c>
      <c r="H126" s="4">
        <f ca="1">'Total Distance Tables Sup #2'!H126+'Total Distance Tables Sup #2'!H128*'Other Assumptions'!L88*'Other Assumptions'!L95+'Total Distance Tables Sup #2'!H129*'Other Assumptions'!L88*'Other Assumptions'!L95</f>
        <v>147.51623392087347</v>
      </c>
      <c r="I126" s="1">
        <f ca="1">'Total Distance Tables Sup #2'!I126+'Total Distance Tables Sup #2'!I128*'Other Assumptions'!M88*'Other Assumptions'!M95+'Total Distance Tables Sup #2'!I129*'Other Assumptions'!M88*'Other Assumptions'!M95</f>
        <v>154.05651172572746</v>
      </c>
      <c r="J126" s="1">
        <f ca="1">'Total Distance Tables Sup #2'!J126+'Total Distance Tables Sup #2'!J128*'Other Assumptions'!N88*'Other Assumptions'!N95+'Total Distance Tables Sup #2'!J129*'Other Assumptions'!N88*'Other Assumptions'!N95</f>
        <v>160.37687904324625</v>
      </c>
      <c r="K126" s="1">
        <f ca="1">'Total Distance Tables Sup #2'!K126+'Total Distance Tables Sup #2'!K128*'Other Assumptions'!O88*'Other Assumptions'!O95+'Total Distance Tables Sup #2'!K129*'Other Assumptions'!O88*'Other Assumptions'!O95</f>
        <v>166.55370417489377</v>
      </c>
    </row>
    <row r="127" spans="1:11" x14ac:dyDescent="0.2">
      <c r="A127" t="str">
        <f ca="1">OFFSET(Canterbury_Reference,7,2)</f>
        <v>Cyclist</v>
      </c>
      <c r="B127" s="4">
        <f ca="1">'Total Distance Tables Sup #2'!B127</f>
        <v>97.023488555</v>
      </c>
      <c r="C127" s="4">
        <f ca="1">'Total Distance Tables Sup #2'!C127+'Total Distance Tables Sup #2'!C128*'Other Assumptions'!G88*'Other Assumptions'!G94+'Total Distance Tables Sup #2'!C129*'Other Assumptions'!G88*'Other Assumptions'!G94</f>
        <v>107.24365164506339</v>
      </c>
      <c r="D127" s="4">
        <f ca="1">'Total Distance Tables Sup #2'!D127+'Total Distance Tables Sup #2'!D128*'Other Assumptions'!H88*'Other Assumptions'!H94+'Total Distance Tables Sup #2'!D129*'Other Assumptions'!H88*'Other Assumptions'!H94</f>
        <v>130.67105211700493</v>
      </c>
      <c r="E127" s="4">
        <f ca="1">'Total Distance Tables Sup #2'!E127+'Total Distance Tables Sup #2'!E128*'Other Assumptions'!I88*'Other Assumptions'!I94+'Total Distance Tables Sup #2'!E129*'Other Assumptions'!I88*'Other Assumptions'!I94</f>
        <v>148.86742408587776</v>
      </c>
      <c r="F127" s="4">
        <f ca="1">'Total Distance Tables Sup #2'!F127+'Total Distance Tables Sup #2'!F128*'Other Assumptions'!J88*'Other Assumptions'!J94+'Total Distance Tables Sup #2'!F129*'Other Assumptions'!J88*'Other Assumptions'!J94</f>
        <v>170.39054490760154</v>
      </c>
      <c r="G127" s="4">
        <f ca="1">'Total Distance Tables Sup #2'!G127+'Total Distance Tables Sup #2'!G128*'Other Assumptions'!K88*'Other Assumptions'!K94+'Total Distance Tables Sup #2'!G129*'Other Assumptions'!K88*'Other Assumptions'!K94</f>
        <v>196.42125123873225</v>
      </c>
      <c r="H127" s="4">
        <f ca="1">'Total Distance Tables Sup #2'!H127+'Total Distance Tables Sup #2'!H128*'Other Assumptions'!L88*'Other Assumptions'!L94+'Total Distance Tables Sup #2'!H129*'Other Assumptions'!L88*'Other Assumptions'!L94</f>
        <v>224.04731226629036</v>
      </c>
      <c r="I127" s="1">
        <f ca="1">'Total Distance Tables Sup #2'!I127+'Total Distance Tables Sup #2'!I128*'Other Assumptions'!M88*'Other Assumptions'!M94+'Total Distance Tables Sup #2'!I129*'Other Assumptions'!M88*'Other Assumptions'!M94</f>
        <v>235.68581750501295</v>
      </c>
      <c r="J127" s="1">
        <f ca="1">'Total Distance Tables Sup #2'!J127+'Total Distance Tables Sup #2'!J128*'Other Assumptions'!N88*'Other Assumptions'!N94+'Total Distance Tables Sup #2'!J129*'Other Assumptions'!N88*'Other Assumptions'!N94</f>
        <v>247.88239516973508</v>
      </c>
      <c r="K127" s="1">
        <f ca="1">'Total Distance Tables Sup #2'!K127+'Total Distance Tables Sup #2'!K128*'Other Assumptions'!O88*'Other Assumptions'!O94+'Total Distance Tables Sup #2'!K129*'Other Assumptions'!O88*'Other Assumptions'!O94</f>
        <v>260.13463521149436</v>
      </c>
    </row>
    <row r="128" spans="1:11" x14ac:dyDescent="0.2">
      <c r="A128" t="str">
        <f ca="1">OFFSET(Canterbury_Reference,14,2)</f>
        <v>Light Vehicle Driver</v>
      </c>
      <c r="B128" s="4">
        <f ca="1">'Total Distance Tables Sup #2'!B128</f>
        <v>3777.041205</v>
      </c>
      <c r="C128" s="4">
        <f ca="1">'Total Distance Tables Sup #2'!C128*(1-'Other Assumptions'!G17)*(1-'Other Assumptions'!G88)</f>
        <v>4244.7386859587114</v>
      </c>
      <c r="D128" s="4">
        <f ca="1">'Total Distance Tables Sup #2'!D128*(1-'Other Assumptions'!H17)*(1-'Other Assumptions'!H88)</f>
        <v>4583.190263741586</v>
      </c>
      <c r="E128" s="4">
        <f ca="1">'Total Distance Tables Sup #2'!E128*(1-'Other Assumptions'!I17)*(1-'Other Assumptions'!I88)</f>
        <v>4150.635927887286</v>
      </c>
      <c r="F128" s="4">
        <f ca="1">'Total Distance Tables Sup #2'!F128*(1-'Other Assumptions'!J17)*(1-'Other Assumptions'!J88)</f>
        <v>3600.5113758640664</v>
      </c>
      <c r="G128" s="4">
        <f ca="1">'Total Distance Tables Sup #2'!G128*(1-'Other Assumptions'!K17)*(1-'Other Assumptions'!K88)</f>
        <v>2943.2911027602149</v>
      </c>
      <c r="H128" s="4">
        <f ca="1">'Total Distance Tables Sup #2'!H128*(1-'Other Assumptions'!L17)*(1-'Other Assumptions'!L88)</f>
        <v>2206.3407664572583</v>
      </c>
      <c r="I128" s="1">
        <f ca="1">'Total Distance Tables Sup #2'!I128*(1-'Other Assumptions'!M17)*(1-'Other Assumptions'!M88)</f>
        <v>2303.2599865735783</v>
      </c>
      <c r="J128" s="1">
        <f ca="1">'Total Distance Tables Sup #2'!J128*(1-'Other Assumptions'!N17)*(1-'Other Assumptions'!N88)</f>
        <v>2395.9347389912982</v>
      </c>
      <c r="K128" s="1">
        <f ca="1">'Total Distance Tables Sup #2'!K128*(1-'Other Assumptions'!O17)*(1-'Other Assumptions'!O88)</f>
        <v>2486.201251091265</v>
      </c>
    </row>
    <row r="129" spans="1:11" x14ac:dyDescent="0.2">
      <c r="A129" t="str">
        <f ca="1">OFFSET(Canterbury_Reference,21,2)</f>
        <v>Light Vehicle Passenger</v>
      </c>
      <c r="B129" s="4">
        <f ca="1">'Total Distance Tables Sup #2'!B129</f>
        <v>2033.7115475000001</v>
      </c>
      <c r="C129" s="4">
        <f ca="1">'Total Distance Tables Sup #2'!C129*(1-'Other Assumptions'!G17)*(1-'Other Assumptions'!G88+'Other Assumptions'!G88*'Other Assumptions'!G91)+'Total Distance Tables Sup #2'!C128*(1-'Other Assumptions'!G17)*'Other Assumptions'!G88*'Other Assumptions'!G91</f>
        <v>2188.6996783577706</v>
      </c>
      <c r="D129" s="4">
        <f ca="1">'Total Distance Tables Sup #2'!D129*(1-'Other Assumptions'!H17)*(1-'Other Assumptions'!H88+'Other Assumptions'!H88*'Other Assumptions'!H91)+'Total Distance Tables Sup #2'!D128*(1-'Other Assumptions'!H17)*'Other Assumptions'!H88*'Other Assumptions'!H91</f>
        <v>2337.9749156003813</v>
      </c>
      <c r="E129" s="4">
        <f ca="1">'Total Distance Tables Sup #2'!E129*(1-'Other Assumptions'!I17)*(1-'Other Assumptions'!I88+'Other Assumptions'!I88*'Other Assumptions'!I91)+'Total Distance Tables Sup #2'!E128*(1-'Other Assumptions'!I17)*'Other Assumptions'!I88*'Other Assumptions'!I91</f>
        <v>2088.6287715956314</v>
      </c>
      <c r="F129" s="4">
        <f ca="1">'Total Distance Tables Sup #2'!F129*(1-'Other Assumptions'!J17)*(1-'Other Assumptions'!J88+'Other Assumptions'!J88*'Other Assumptions'!J91)+'Total Distance Tables Sup #2'!F128*(1-'Other Assumptions'!J17)*'Other Assumptions'!J88*'Other Assumptions'!J91</f>
        <v>1789.8035476733503</v>
      </c>
      <c r="G129" s="4">
        <f ca="1">'Total Distance Tables Sup #2'!G129*(1-'Other Assumptions'!K17)*(1-'Other Assumptions'!K88+'Other Assumptions'!K88*'Other Assumptions'!K91)+'Total Distance Tables Sup #2'!G128*(1-'Other Assumptions'!K17)*'Other Assumptions'!K88*'Other Assumptions'!K91</f>
        <v>1453.5506009172138</v>
      </c>
      <c r="H129" s="4">
        <f ca="1">'Total Distance Tables Sup #2'!H129*(1-'Other Assumptions'!L17)*(1-'Other Assumptions'!L88+'Other Assumptions'!L88*'Other Assumptions'!L91)+'Total Distance Tables Sup #2'!H128*(1-'Other Assumptions'!L17)*'Other Assumptions'!L88*'Other Assumptions'!L91</f>
        <v>1084.1442508666275</v>
      </c>
      <c r="I129" s="1">
        <f ca="1">'Total Distance Tables Sup #2'!I129*(1-'Other Assumptions'!M17)*(1-'Other Assumptions'!M88+'Other Assumptions'!M88*'Other Assumptions'!M91)+'Total Distance Tables Sup #2'!I128*(1-'Other Assumptions'!M17)*'Other Assumptions'!M88*'Other Assumptions'!M91</f>
        <v>1132.7420098449854</v>
      </c>
      <c r="J129" s="1">
        <f ca="1">'Total Distance Tables Sup #2'!J129*(1-'Other Assumptions'!N17)*(1-'Other Assumptions'!N88+'Other Assumptions'!N88*'Other Assumptions'!N91)+'Total Distance Tables Sup #2'!J128*(1-'Other Assumptions'!N17)*'Other Assumptions'!N88*'Other Assumptions'!N91</f>
        <v>1179.5834961581202</v>
      </c>
      <c r="K129" s="1">
        <f ca="1">'Total Distance Tables Sup #2'!K129*(1-'Other Assumptions'!O17)*(1-'Other Assumptions'!O88+'Other Assumptions'!O88*'Other Assumptions'!O91)+'Total Distance Tables Sup #2'!K128*(1-'Other Assumptions'!O17)*'Other Assumptions'!O88*'Other Assumptions'!O91</f>
        <v>1225.3263203201302</v>
      </c>
    </row>
    <row r="130" spans="1:11" x14ac:dyDescent="0.2">
      <c r="A130" t="str">
        <f ca="1">OFFSET(Canterbury_Reference,28,2)</f>
        <v>Taxi/Vehicle Share</v>
      </c>
      <c r="B130" s="4">
        <f ca="1">'Total Distance Tables Sup #2'!B130</f>
        <v>16.530142167000001</v>
      </c>
      <c r="C130" s="4">
        <f ca="1">'Total Distance Tables Sup #2'!C130+((C128+C129)*'Other Assumptions'!G17/(1-'Other Assumptions'!G17))</f>
        <v>19.719809964496918</v>
      </c>
      <c r="D130" s="4">
        <f ca="1">'Total Distance Tables Sup #2'!D130+((D128+D129)*'Other Assumptions'!H17/(1-'Other Assumptions'!H17))</f>
        <v>23.239329208424483</v>
      </c>
      <c r="E130" s="4">
        <f ca="1">'Total Distance Tables Sup #2'!E130+((E128+E129)*'Other Assumptions'!I17/(1-'Other Assumptions'!I17))</f>
        <v>1127.4519135486839</v>
      </c>
      <c r="F130" s="4">
        <f ca="1">'Total Distance Tables Sup #2'!F130+((F128+F129)*'Other Assumptions'!J17/(1-'Other Assumptions'!J17))</f>
        <v>2339.3793771278738</v>
      </c>
      <c r="G130" s="4">
        <f ca="1">'Total Distance Tables Sup #2'!G130+((G128+G129)*'Other Assumptions'!K17/(1-'Other Assumptions'!K17))</f>
        <v>3628.9998668721919</v>
      </c>
      <c r="H130" s="4">
        <f ca="1">'Total Distance Tables Sup #2'!H130+((H128+H129)*'Other Assumptions'!L17/(1-'Other Assumptions'!L17))</f>
        <v>4969.3492813957473</v>
      </c>
      <c r="I130" s="1">
        <f ca="1">'Total Distance Tables Sup #2'!I130+((I128+I129)*'Other Assumptions'!M17/(1-'Other Assumptions'!M17))</f>
        <v>5189.168363724124</v>
      </c>
      <c r="J130" s="1">
        <f ca="1">'Total Distance Tables Sup #2'!J130+((J128+J129)*'Other Assumptions'!N17/(1-'Other Assumptions'!N17))</f>
        <v>5399.9598746958072</v>
      </c>
      <c r="K130" s="1">
        <f ca="1">'Total Distance Tables Sup #2'!K130+((K128+K129)*'Other Assumptions'!O17/(1-'Other Assumptions'!O17))</f>
        <v>5605.46453864864</v>
      </c>
    </row>
    <row r="131" spans="1:11" x14ac:dyDescent="0.2">
      <c r="A131" t="str">
        <f ca="1">OFFSET(Canterbury_Reference,35,2)</f>
        <v>Motorcyclist</v>
      </c>
      <c r="B131" s="4">
        <f ca="1">'Total Distance Tables Sup #2'!B131</f>
        <v>12.048552727000001</v>
      </c>
      <c r="C131" s="4">
        <f ca="1">'Total Distance Tables Sup #2'!C131</f>
        <v>13.44869786658874</v>
      </c>
      <c r="D131" s="4">
        <f ca="1">'Total Distance Tables Sup #2'!D131</f>
        <v>14.592612527988063</v>
      </c>
      <c r="E131" s="4">
        <f ca="1">'Total Distance Tables Sup #2'!E131</f>
        <v>15.20950048550076</v>
      </c>
      <c r="F131" s="4">
        <f ca="1">'Total Distance Tables Sup #2'!F131</f>
        <v>15.501194089776341</v>
      </c>
      <c r="G131" s="4">
        <f ca="1">'Total Distance Tables Sup #2'!G131</f>
        <v>15.440068765431787</v>
      </c>
      <c r="H131" s="4">
        <f ca="1">'Total Distance Tables Sup #2'!H131</f>
        <v>15.205259711632998</v>
      </c>
      <c r="I131" s="1">
        <f ca="1">'Total Distance Tables Sup #2'!I131</f>
        <v>15.914273747683474</v>
      </c>
      <c r="J131" s="1">
        <f ca="1">'Total Distance Tables Sup #2'!J131</f>
        <v>16.599917255954534</v>
      </c>
      <c r="K131" s="1">
        <f ca="1">'Total Distance Tables Sup #2'!K131</f>
        <v>17.27059905716489</v>
      </c>
    </row>
    <row r="132" spans="1:11" x14ac:dyDescent="0.2">
      <c r="A132" t="str">
        <f ca="1">OFFSET(Canterbury_Reference,42,2)</f>
        <v>Local Train</v>
      </c>
      <c r="B132" s="4">
        <f ca="1">'Total Distance Tables Sup #2'!B132</f>
        <v>0</v>
      </c>
      <c r="C132" s="4">
        <f ca="1">'Total Distance Tables Sup #2'!C132+'Total Distance Tables Sup #2'!C128*'Other Assumptions'!G88*'Other Assumptions'!G93+'Total Distance Tables Sup #2'!C129*'Other Assumptions'!G88*'Other Assumptions'!G93</f>
        <v>0</v>
      </c>
      <c r="D132" s="4">
        <f ca="1">'Total Distance Tables Sup #2'!D132+'Total Distance Tables Sup #2'!D128*'Other Assumptions'!H88*'Other Assumptions'!H93+'Total Distance Tables Sup #2'!D129*'Other Assumptions'!H88*'Other Assumptions'!H93</f>
        <v>0</v>
      </c>
      <c r="E132" s="4">
        <f ca="1">'Total Distance Tables Sup #2'!E132+'Total Distance Tables Sup #2'!E128*'Other Assumptions'!I88*'Other Assumptions'!I93+'Total Distance Tables Sup #2'!E129*'Other Assumptions'!I88*'Other Assumptions'!I93</f>
        <v>0</v>
      </c>
      <c r="F132" s="4">
        <f ca="1">'Total Distance Tables Sup #2'!F132+'Total Distance Tables Sup #2'!F128*'Other Assumptions'!J88*'Other Assumptions'!J93+'Total Distance Tables Sup #2'!F129*'Other Assumptions'!J88*'Other Assumptions'!J93</f>
        <v>0</v>
      </c>
      <c r="G132" s="4">
        <f ca="1">'Total Distance Tables Sup #2'!G132+'Total Distance Tables Sup #2'!G128*'Other Assumptions'!K88*'Other Assumptions'!K93+'Total Distance Tables Sup #2'!G129*'Other Assumptions'!K88*'Other Assumptions'!K93</f>
        <v>0</v>
      </c>
      <c r="H132" s="4">
        <f ca="1">'Total Distance Tables Sup #2'!H132+'Total Distance Tables Sup #2'!H128*'Other Assumptions'!L88*'Other Assumptions'!L93+'Total Distance Tables Sup #2'!H129*'Other Assumptions'!L88*'Other Assumptions'!L93</f>
        <v>0</v>
      </c>
      <c r="I132" s="1">
        <f ca="1">'Total Distance Tables Sup #2'!I132+'Total Distance Tables Sup #2'!I128*'Other Assumptions'!M88*'Other Assumptions'!M93+'Total Distance Tables Sup #2'!I129*'Other Assumptions'!M88*'Other Assumptions'!M93</f>
        <v>0</v>
      </c>
      <c r="J132" s="1">
        <f ca="1">'Total Distance Tables Sup #2'!J132+'Total Distance Tables Sup #2'!J128*'Other Assumptions'!N88*'Other Assumptions'!N93+'Total Distance Tables Sup #2'!J129*'Other Assumptions'!N88*'Other Assumptions'!N93</f>
        <v>0</v>
      </c>
      <c r="K132" s="1">
        <f ca="1">'Total Distance Tables Sup #2'!K132+'Total Distance Tables Sup #2'!K128*'Other Assumptions'!O88*'Other Assumptions'!O93+'Total Distance Tables Sup #2'!K129*'Other Assumptions'!O88*'Other Assumptions'!O93</f>
        <v>0</v>
      </c>
    </row>
    <row r="133" spans="1:11" x14ac:dyDescent="0.2">
      <c r="A133" t="str">
        <f ca="1">OFFSET(Canterbury_Reference,49,2)</f>
        <v>Local Bus</v>
      </c>
      <c r="B133" s="4">
        <f ca="1">'Total Distance Tables Sup #2'!B133</f>
        <v>174.53993166999999</v>
      </c>
      <c r="C133" s="4">
        <f ca="1">'Total Distance Tables Sup #2'!C133+'Total Distance Tables Sup #2'!C128*'Other Assumptions'!G88*'Other Assumptions'!G92+'Total Distance Tables Sup #2'!C129*'Other Assumptions'!G88*'Other Assumptions'!G92</f>
        <v>161.08250000999999</v>
      </c>
      <c r="D133" s="4">
        <f ca="1">'Total Distance Tables Sup #2'!D133+'Total Distance Tables Sup #2'!D128*'Other Assumptions'!H88*'Other Assumptions'!H92+'Total Distance Tables Sup #2'!D129*'Other Assumptions'!H88*'Other Assumptions'!H92</f>
        <v>161.11330019759998</v>
      </c>
      <c r="E133" s="4">
        <f ca="1">'Total Distance Tables Sup #2'!E133+'Total Distance Tables Sup #2'!E128*'Other Assumptions'!I88*'Other Assumptions'!I92+'Total Distance Tables Sup #2'!E129*'Other Assumptions'!I88*'Other Assumptions'!I92</f>
        <v>155.6887270016</v>
      </c>
      <c r="F133" s="4">
        <f ca="1">'Total Distance Tables Sup #2'!F133+'Total Distance Tables Sup #2'!F128*'Other Assumptions'!J88*'Other Assumptions'!J92+'Total Distance Tables Sup #2'!F129*'Other Assumptions'!J88*'Other Assumptions'!J92</f>
        <v>148.88651087120002</v>
      </c>
      <c r="G133" s="4">
        <f ca="1">'Total Distance Tables Sup #2'!G133+'Total Distance Tables Sup #2'!G128*'Other Assumptions'!K88*'Other Assumptions'!K92+'Total Distance Tables Sup #2'!G129*'Other Assumptions'!K88*'Other Assumptions'!K92</f>
        <v>143.70499158120001</v>
      </c>
      <c r="H133" s="4">
        <f ca="1">'Total Distance Tables Sup #2'!H133+'Total Distance Tables Sup #2'!H128*'Other Assumptions'!L88*'Other Assumptions'!L92+'Total Distance Tables Sup #2'!H129*'Other Assumptions'!L88*'Other Assumptions'!L92</f>
        <v>139.19373204000001</v>
      </c>
      <c r="I133" s="1">
        <f ca="1">'Total Distance Tables Sup #2'!I133+'Total Distance Tables Sup #2'!I128*'Other Assumptions'!M88*'Other Assumptions'!M92+'Total Distance Tables Sup #2'!I129*'Other Assumptions'!M88*'Other Assumptions'!M92</f>
        <v>141.72452716800001</v>
      </c>
      <c r="J133" s="1">
        <f ca="1">'Total Distance Tables Sup #2'!J133+'Total Distance Tables Sup #2'!J128*'Other Assumptions'!N88*'Other Assumptions'!N92+'Total Distance Tables Sup #2'!J129*'Other Assumptions'!N88*'Other Assumptions'!N92</f>
        <v>144.25532229600003</v>
      </c>
      <c r="K133" s="1">
        <f ca="1">'Total Distance Tables Sup #2'!K133+'Total Distance Tables Sup #2'!K128*'Other Assumptions'!O88*'Other Assumptions'!O92+'Total Distance Tables Sup #2'!K129*'Other Assumptions'!O88*'Other Assumptions'!O92</f>
        <v>146.786117424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'Total Distance Tables Sup #2'!C134</f>
        <v>0</v>
      </c>
      <c r="D134" s="4">
        <f ca="1">'Total Distance Tables Sup #2'!D134</f>
        <v>0</v>
      </c>
      <c r="E134" s="4">
        <f ca="1">'Total Distance Tables Sup #2'!E134</f>
        <v>0</v>
      </c>
      <c r="F134" s="4">
        <f ca="1">'Total Distance Tables Sup #2'!F134</f>
        <v>0</v>
      </c>
      <c r="G134" s="4">
        <f ca="1">'Total Distance Tables Sup #2'!G134</f>
        <v>0</v>
      </c>
      <c r="H134" s="4">
        <f ca="1">'Total Distance Tables Sup #2'!H134</f>
        <v>0</v>
      </c>
      <c r="I134" s="1">
        <f ca="1">'Total Distance Tables Sup #2'!I134</f>
        <v>0</v>
      </c>
      <c r="J134" s="1">
        <f ca="1">'Total Distance Tables Sup #2'!J134</f>
        <v>0</v>
      </c>
      <c r="K134" s="1">
        <f ca="1">'Total Distance Tables Sup #2'!K134</f>
        <v>0</v>
      </c>
    </row>
    <row r="135" spans="1:11" x14ac:dyDescent="0.2">
      <c r="A135" t="str">
        <f ca="1">OFFSET(Canterbury_Reference,56,2)</f>
        <v>Other Household Travel</v>
      </c>
      <c r="B135" s="4">
        <f ca="1">'Total Distance Tables Sup #2'!B135</f>
        <v>0</v>
      </c>
      <c r="C135" s="4">
        <f ca="1">'Total Distance Tables Sup #2'!C135</f>
        <v>0</v>
      </c>
      <c r="D135" s="4">
        <f ca="1">'Total Distance Tables Sup #2'!D135</f>
        <v>0</v>
      </c>
      <c r="E135" s="4">
        <f ca="1">'Total Distance Tables Sup #2'!E135</f>
        <v>0</v>
      </c>
      <c r="F135" s="4">
        <f ca="1">'Total Distance Tables Sup #2'!F135</f>
        <v>0</v>
      </c>
      <c r="G135" s="4">
        <f ca="1">'Total Distance Tables Sup #2'!G135</f>
        <v>0</v>
      </c>
      <c r="H135" s="4">
        <f ca="1">'Total Distance Tables Sup #2'!H135</f>
        <v>0</v>
      </c>
      <c r="I135" s="1">
        <f ca="1">'Total Distance Tables Sup #2'!I135</f>
        <v>0</v>
      </c>
      <c r="J135" s="1">
        <f ca="1">'Total Distance Tables Sup #2'!J135</f>
        <v>0</v>
      </c>
      <c r="K135" s="1">
        <f ca="1">'Total Distance Tables Sup #2'!K135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'Total Distance Tables Sup #2'!B137</f>
        <v>45.829100335</v>
      </c>
      <c r="C137" s="4">
        <f ca="1">'Total Distance Tables Sup #2'!C137</f>
        <v>48.284944251656427</v>
      </c>
      <c r="D137" s="4">
        <f ca="1">'Total Distance Tables Sup #2'!D137</f>
        <v>50.600468109388153</v>
      </c>
      <c r="E137" s="4">
        <f ca="1">'Total Distance Tables Sup #2'!E137</f>
        <v>51.739841612148908</v>
      </c>
      <c r="F137" s="4">
        <f ca="1">'Total Distance Tables Sup #2'!F137</f>
        <v>52.480637653956009</v>
      </c>
      <c r="G137" s="4">
        <f ca="1">'Total Distance Tables Sup #2'!G137</f>
        <v>53.236004907484471</v>
      </c>
      <c r="H137" s="4">
        <f ca="1">'Total Distance Tables Sup #2'!H137</f>
        <v>53.654783555992701</v>
      </c>
      <c r="I137" s="1">
        <f ca="1">'Total Distance Tables Sup #2'!I137</f>
        <v>55.196330736158657</v>
      </c>
      <c r="J137" s="1">
        <f ca="1">'Total Distance Tables Sup #2'!J137</f>
        <v>56.602214582518279</v>
      </c>
      <c r="K137" s="1">
        <f ca="1">'Total Distance Tables Sup #2'!K137</f>
        <v>57.903855094133618</v>
      </c>
    </row>
    <row r="138" spans="1:11" x14ac:dyDescent="0.2">
      <c r="A138" t="str">
        <f ca="1">OFFSET(Otago_Reference,7,2)</f>
        <v>Cyclist</v>
      </c>
      <c r="B138" s="4">
        <f ca="1">'Total Distance Tables Sup #2'!B138</f>
        <v>16.325352069000001</v>
      </c>
      <c r="C138" s="4">
        <f ca="1">'Total Distance Tables Sup #2'!C138</f>
        <v>17.626030225360903</v>
      </c>
      <c r="D138" s="4">
        <f ca="1">'Total Distance Tables Sup #2'!D138</f>
        <v>21.06099785600933</v>
      </c>
      <c r="E138" s="4">
        <f ca="1">'Total Distance Tables Sup #2'!E138</f>
        <v>23.605255690783007</v>
      </c>
      <c r="F138" s="4">
        <f ca="1">'Total Distance Tables Sup #2'!F138</f>
        <v>26.592056837411199</v>
      </c>
      <c r="G138" s="4">
        <f ca="1">'Total Distance Tables Sup #2'!G138</f>
        <v>30.189627918356724</v>
      </c>
      <c r="H138" s="4">
        <f ca="1">'Total Distance Tables Sup #2'!H138</f>
        <v>33.921148093491304</v>
      </c>
      <c r="I138" s="1">
        <f ca="1">'Total Distance Tables Sup #2'!I138</f>
        <v>35.150035777803268</v>
      </c>
      <c r="J138" s="1">
        <f ca="1">'Total Distance Tables Sup #2'!J138</f>
        <v>36.41661067690373</v>
      </c>
      <c r="K138" s="1">
        <f ca="1">'Total Distance Tables Sup #2'!K138</f>
        <v>37.645540434023175</v>
      </c>
    </row>
    <row r="139" spans="1:11" x14ac:dyDescent="0.2">
      <c r="A139" t="str">
        <f ca="1">OFFSET(Otago_Reference,14,2)</f>
        <v>Light Vehicle Driver</v>
      </c>
      <c r="B139" s="4">
        <f ca="1">'Total Distance Tables Sup #2'!B139</f>
        <v>1192.1699989000001</v>
      </c>
      <c r="C139" s="4">
        <f ca="1">'Total Distance Tables Sup #2'!C139*(1-'Other Assumptions'!G18)</f>
        <v>1308.6836377012635</v>
      </c>
      <c r="D139" s="4">
        <f ca="1">'Total Distance Tables Sup #2'!D139*(1-'Other Assumptions'!H18)</f>
        <v>1386.0617568353998</v>
      </c>
      <c r="E139" s="4">
        <f ca="1">'Total Distance Tables Sup #2'!E139*(1-'Other Assumptions'!I18)</f>
        <v>1235.2344430025889</v>
      </c>
      <c r="F139" s="4">
        <f ca="1">'Total Distance Tables Sup #2'!F139*(1-'Other Assumptions'!J18)</f>
        <v>1054.9014444436618</v>
      </c>
      <c r="G139" s="4">
        <f ca="1">'Total Distance Tables Sup #2'!G139*(1-'Other Assumptions'!K18)</f>
        <v>849.52049253932967</v>
      </c>
      <c r="H139" s="4">
        <f ca="1">'Total Distance Tables Sup #2'!H139*(1-'Other Assumptions'!L18)</f>
        <v>627.50335209394359</v>
      </c>
      <c r="I139" s="1">
        <f ca="1">'Total Distance Tables Sup #2'!I139*(1-'Other Assumptions'!M18)</f>
        <v>645.28738799898679</v>
      </c>
      <c r="J139" s="1">
        <f ca="1">'Total Distance Tables Sup #2'!J139*(1-'Other Assumptions'!N18)</f>
        <v>661.23267131971261</v>
      </c>
      <c r="K139" s="1">
        <f ca="1">'Total Distance Tables Sup #2'!K139*(1-'Other Assumptions'!O18)</f>
        <v>675.90392184246048</v>
      </c>
    </row>
    <row r="140" spans="1:11" x14ac:dyDescent="0.2">
      <c r="A140" t="str">
        <f ca="1">OFFSET(Otago_Reference,21,2)</f>
        <v>Light Vehicle Passenger</v>
      </c>
      <c r="B140" s="4">
        <f ca="1">'Total Distance Tables Sup #2'!B140</f>
        <v>849.31688999999994</v>
      </c>
      <c r="C140" s="4">
        <f ca="1">'Total Distance Tables Sup #2'!C140*(1-'Other Assumptions'!G18)</f>
        <v>892.81982991377868</v>
      </c>
      <c r="D140" s="4">
        <f ca="1">'Total Distance Tables Sup #2'!D140*(1-'Other Assumptions'!H18)</f>
        <v>935.98140341555495</v>
      </c>
      <c r="E140" s="4">
        <f ca="1">'Total Distance Tables Sup #2'!E140*(1-'Other Assumptions'!I18)</f>
        <v>823.24010813943084</v>
      </c>
      <c r="F140" s="4">
        <f ca="1">'Total Distance Tables Sup #2'!F140*(1-'Other Assumptions'!J18)</f>
        <v>694.88531273885235</v>
      </c>
      <c r="G140" s="4">
        <f ca="1">'Total Distance Tables Sup #2'!G140*(1-'Other Assumptions'!K18)</f>
        <v>556.26618932604549</v>
      </c>
      <c r="H140" s="4">
        <f ca="1">'Total Distance Tables Sup #2'!H140*(1-'Other Assumptions'!L18)</f>
        <v>409.08392963473636</v>
      </c>
      <c r="I140" s="1">
        <f ca="1">'Total Distance Tables Sup #2'!I140*(1-'Other Assumptions'!M18)</f>
        <v>421.04642899747108</v>
      </c>
      <c r="J140" s="1">
        <f ca="1">'Total Distance Tables Sup #2'!J140*(1-'Other Assumptions'!N18)</f>
        <v>431.92372679974392</v>
      </c>
      <c r="K140" s="1">
        <f ca="1">'Total Distance Tables Sup #2'!K140*(1-'Other Assumptions'!O18)</f>
        <v>441.98770827110167</v>
      </c>
    </row>
    <row r="141" spans="1:11" x14ac:dyDescent="0.2">
      <c r="A141" t="str">
        <f ca="1">OFFSET(Otago_Reference,28,2)</f>
        <v>Taxi/Vehicle Share</v>
      </c>
      <c r="B141" s="4">
        <f ca="1">'Total Distance Tables Sup #2'!B141</f>
        <v>7.2892681777000004</v>
      </c>
      <c r="C141" s="4">
        <f ca="1">'Total Distance Tables Sup #2'!C141+((C139+C140)*'Other Assumptions'!G18/(1-'Other Assumptions'!G18))</f>
        <v>8.4939033019915211</v>
      </c>
      <c r="D141" s="4">
        <f ca="1">'Total Distance Tables Sup #2'!D141+((D139+D140)*'Other Assumptions'!H18/(1-'Other Assumptions'!H18))</f>
        <v>9.8162319993097498</v>
      </c>
      <c r="E141" s="4">
        <f ca="1">'Total Distance Tables Sup #2'!E141+((E139+E140)*'Other Assumptions'!I18/(1-'Other Assumptions'!I18))</f>
        <v>374.23308398265118</v>
      </c>
      <c r="F141" s="4">
        <f ca="1">'Total Distance Tables Sup #2'!F141+((F139+F140)*'Other Assumptions'!J18/(1-'Other Assumptions'!J18))</f>
        <v>761.86970607839703</v>
      </c>
      <c r="G141" s="4">
        <f ca="1">'Total Distance Tables Sup #2'!G141+((G139+G140)*'Other Assumptions'!K18/(1-'Other Assumptions'!K18))</f>
        <v>1162.9111531399685</v>
      </c>
      <c r="H141" s="4">
        <f ca="1">'Total Distance Tables Sup #2'!H141+((H139+H140)*'Other Assumptions'!L18/(1-'Other Assumptions'!L18))</f>
        <v>1568.2214456829652</v>
      </c>
      <c r="I141" s="1">
        <f ca="1">'Total Distance Tables Sup #2'!I141+((I139+I140)*'Other Assumptions'!M18/(1-'Other Assumptions'!M18))</f>
        <v>1613.2452326568086</v>
      </c>
      <c r="J141" s="1">
        <f ca="1">'Total Distance Tables Sup #2'!J141+((J139+J140)*'Other Assumptions'!N18/(1-'Other Assumptions'!N18))</f>
        <v>1653.8578487643649</v>
      </c>
      <c r="K141" s="1">
        <f ca="1">'Total Distance Tables Sup #2'!K141+((K139+K140)*'Other Assumptions'!O18/(1-'Other Assumptions'!O18))</f>
        <v>1691.3150055255194</v>
      </c>
    </row>
    <row r="142" spans="1:11" x14ac:dyDescent="0.2">
      <c r="A142" t="str">
        <f ca="1">OFFSET(Otago_Reference,35,2)</f>
        <v>Motorcyclist</v>
      </c>
      <c r="B142" s="4">
        <f ca="1">'Total Distance Tables Sup #2'!B142</f>
        <v>18.503357486999999</v>
      </c>
      <c r="C142" s="4">
        <f ca="1">'Total Distance Tables Sup #2'!C142</f>
        <v>20.174052246234574</v>
      </c>
      <c r="D142" s="4">
        <f ca="1">'Total Distance Tables Sup #2'!D142</f>
        <v>21.466566886555146</v>
      </c>
      <c r="E142" s="4">
        <f ca="1">'Total Distance Tables Sup #2'!E142</f>
        <v>22.01171968117788</v>
      </c>
      <c r="F142" s="4">
        <f ca="1">'Total Distance Tables Sup #2'!F142</f>
        <v>22.080127640825193</v>
      </c>
      <c r="G142" s="4">
        <f ca="1">'Total Distance Tables Sup #2'!G142</f>
        <v>21.659503865311891</v>
      </c>
      <c r="H142" s="4">
        <f ca="1">'Total Distance Tables Sup #2'!H142</f>
        <v>21.011382747303429</v>
      </c>
      <c r="I142" s="1">
        <f ca="1">'Total Distance Tables Sup #2'!I142</f>
        <v>21.662527806696428</v>
      </c>
      <c r="J142" s="1">
        <f ca="1">'Total Distance Tables Sup #2'!J142</f>
        <v>22.258185093117483</v>
      </c>
      <c r="K142" s="1">
        <f ca="1">'Total Distance Tables Sup #2'!K142</f>
        <v>22.811442319994288</v>
      </c>
    </row>
    <row r="143" spans="1:11" x14ac:dyDescent="0.2">
      <c r="A143" t="str">
        <f ca="1">OFFSET(Canterbury_Reference,42,2)</f>
        <v>Local Train</v>
      </c>
      <c r="B143" s="4">
        <f ca="1">'Total Distance Tables Sup #2'!B143</f>
        <v>0</v>
      </c>
      <c r="C143" s="4">
        <f ca="1">'Total Distance Tables Sup #2'!C143</f>
        <v>0</v>
      </c>
      <c r="D143" s="4">
        <f ca="1">'Total Distance Tables Sup #2'!D143</f>
        <v>0</v>
      </c>
      <c r="E143" s="4">
        <f ca="1">'Total Distance Tables Sup #2'!E143</f>
        <v>0</v>
      </c>
      <c r="F143" s="4">
        <f ca="1">'Total Distance Tables Sup #2'!F143</f>
        <v>0</v>
      </c>
      <c r="G143" s="4">
        <f ca="1">'Total Distance Tables Sup #2'!G143</f>
        <v>0</v>
      </c>
      <c r="H143" s="4">
        <f ca="1">'Total Distance Tables Sup #2'!H143</f>
        <v>0</v>
      </c>
      <c r="I143" s="1">
        <f ca="1">'Total Distance Tables Sup #2'!I143</f>
        <v>0</v>
      </c>
      <c r="J143" s="1">
        <f ca="1">'Total Distance Tables Sup #2'!J143</f>
        <v>0</v>
      </c>
      <c r="K143" s="1">
        <f ca="1">'Total Distance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Distance Tables Sup #2'!B144</f>
        <v>27.157477096000001</v>
      </c>
      <c r="C144" s="4">
        <f ca="1">'Total Distance Tables Sup #2'!C144</f>
        <v>25.348588407313787</v>
      </c>
      <c r="D144" s="4">
        <f ca="1">'Total Distance Tables Sup #2'!D144</f>
        <v>25.861866885627869</v>
      </c>
      <c r="E144" s="4">
        <f ca="1">'Total Distance Tables Sup #2'!E144</f>
        <v>25.65344473172491</v>
      </c>
      <c r="F144" s="4">
        <f ca="1">'Total Distance Tables Sup #2'!F144</f>
        <v>25.227836200083203</v>
      </c>
      <c r="G144" s="4">
        <f ca="1">'Total Distance Tables Sup #2'!G144</f>
        <v>25.108020180272035</v>
      </c>
      <c r="H144" s="4">
        <f ca="1">'Total Distance Tables Sup #2'!H144</f>
        <v>24.967151380432735</v>
      </c>
      <c r="I144" s="1">
        <f ca="1">'Total Distance Tables Sup #2'!I144</f>
        <v>25.76343021223073</v>
      </c>
      <c r="J144" s="1">
        <f ca="1">'Total Distance Tables Sup #2'!J144</f>
        <v>26.510349239019163</v>
      </c>
      <c r="K144" s="1">
        <f ca="1">'Total Distance Tables Sup #2'!K144</f>
        <v>27.21198239644724</v>
      </c>
    </row>
    <row r="145" spans="1:11" x14ac:dyDescent="0.2">
      <c r="A145" t="str">
        <f ca="1">OFFSET(Wellington_Reference,56,2)</f>
        <v>Local Ferry</v>
      </c>
      <c r="B145" s="4">
        <f>'Total Distance Tables Sup #2'!B145</f>
        <v>0</v>
      </c>
      <c r="C145" s="4">
        <f ca="1">'Total Distance Tables Sup #2'!C145</f>
        <v>0</v>
      </c>
      <c r="D145" s="4">
        <f ca="1">'Total Distance Tables Sup #2'!D145</f>
        <v>0</v>
      </c>
      <c r="E145" s="4">
        <f ca="1">'Total Distance Tables Sup #2'!E145</f>
        <v>0</v>
      </c>
      <c r="F145" s="4">
        <f ca="1">'Total Distance Tables Sup #2'!F145</f>
        <v>0</v>
      </c>
      <c r="G145" s="4">
        <f ca="1">'Total Distance Tables Sup #2'!G145</f>
        <v>0</v>
      </c>
      <c r="H145" s="4">
        <f ca="1">'Total Distance Tables Sup #2'!H145</f>
        <v>0</v>
      </c>
      <c r="I145" s="1">
        <f ca="1">'Total Distance Tables Sup #2'!I145</f>
        <v>0</v>
      </c>
      <c r="J145" s="1">
        <f ca="1">'Total Distance Tables Sup #2'!J145</f>
        <v>0</v>
      </c>
      <c r="K145" s="1">
        <f ca="1">'Total Distance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Distance Tables Sup #2'!B146</f>
        <v>0</v>
      </c>
      <c r="C146" s="4">
        <f ca="1">'Total Distance Tables Sup #2'!C146</f>
        <v>0</v>
      </c>
      <c r="D146" s="4">
        <f ca="1">'Total Distance Tables Sup #2'!D146</f>
        <v>0</v>
      </c>
      <c r="E146" s="4">
        <f ca="1">'Total Distance Tables Sup #2'!E146</f>
        <v>0</v>
      </c>
      <c r="F146" s="4">
        <f ca="1">'Total Distance Tables Sup #2'!F146</f>
        <v>0</v>
      </c>
      <c r="G146" s="4">
        <f ca="1">'Total Distance Tables Sup #2'!G146</f>
        <v>0</v>
      </c>
      <c r="H146" s="4">
        <f ca="1">'Total Distance Tables Sup #2'!H146</f>
        <v>0</v>
      </c>
      <c r="I146" s="1">
        <f ca="1">'Total Distance Tables Sup #2'!I146</f>
        <v>0</v>
      </c>
      <c r="J146" s="1">
        <f ca="1">'Total Distance Tables Sup #2'!J146</f>
        <v>0</v>
      </c>
      <c r="K146" s="1">
        <f ca="1">'Total Distance Tables Sup #2'!K146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'Total Distance Tables Sup #2'!B148</f>
        <v>8.8466785109000003</v>
      </c>
      <c r="C148" s="4">
        <f ca="1">'Total Distance Tables Sup #2'!C148</f>
        <v>8.9063066414476744</v>
      </c>
      <c r="D148" s="4">
        <f ca="1">'Total Distance Tables Sup #2'!D148</f>
        <v>9.0110372266107781</v>
      </c>
      <c r="E148" s="4">
        <f ca="1">'Total Distance Tables Sup #2'!E148</f>
        <v>9.0043314719805885</v>
      </c>
      <c r="F148" s="4">
        <f ca="1">'Total Distance Tables Sup #2'!F148</f>
        <v>8.9272673114117342</v>
      </c>
      <c r="G148" s="4">
        <f ca="1">'Total Distance Tables Sup #2'!G148</f>
        <v>8.8450112433762715</v>
      </c>
      <c r="H148" s="4">
        <f ca="1">'Total Distance Tables Sup #2'!H148</f>
        <v>8.7082770642133358</v>
      </c>
      <c r="I148" s="1">
        <f ca="1">'Total Distance Tables Sup #2'!I148</f>
        <v>8.7511445447730836</v>
      </c>
      <c r="J148" s="1">
        <f ca="1">'Total Distance Tables Sup #2'!J148</f>
        <v>8.7663525117160912</v>
      </c>
      <c r="K148" s="1">
        <f ca="1">'Total Distance Tables Sup #2'!K148</f>
        <v>8.7603981339716963</v>
      </c>
    </row>
    <row r="149" spans="1:11" x14ac:dyDescent="0.2">
      <c r="A149" t="str">
        <f ca="1">OFFSET(Southland_Reference,7,2)</f>
        <v>Cyclist</v>
      </c>
      <c r="B149" s="4">
        <f ca="1">'Total Distance Tables Sup #2'!B149</f>
        <v>7.5402861329000004</v>
      </c>
      <c r="C149" s="4">
        <f ca="1">'Total Distance Tables Sup #2'!C149</f>
        <v>7.7790538321603107</v>
      </c>
      <c r="D149" s="4">
        <f ca="1">'Total Distance Tables Sup #2'!D149</f>
        <v>8.9739893588609885</v>
      </c>
      <c r="E149" s="4">
        <f ca="1">'Total Distance Tables Sup #2'!E149</f>
        <v>9.8292740822563616</v>
      </c>
      <c r="F149" s="4">
        <f ca="1">'Total Distance Tables Sup #2'!F149</f>
        <v>10.823250828310302</v>
      </c>
      <c r="G149" s="4">
        <f ca="1">'Total Distance Tables Sup #2'!G149</f>
        <v>12.001542028345893</v>
      </c>
      <c r="H149" s="4">
        <f ca="1">'Total Distance Tables Sup #2'!H149</f>
        <v>13.172878643652339</v>
      </c>
      <c r="I149" s="1">
        <f ca="1">'Total Distance Tables Sup #2'!I149</f>
        <v>13.334194244568913</v>
      </c>
      <c r="J149" s="1">
        <f ca="1">'Total Distance Tables Sup #2'!J149</f>
        <v>13.494953338182778</v>
      </c>
      <c r="K149" s="1">
        <f ca="1">'Total Distance Tables Sup #2'!K149</f>
        <v>13.627502119950151</v>
      </c>
    </row>
    <row r="150" spans="1:11" x14ac:dyDescent="0.2">
      <c r="A150" t="str">
        <f ca="1">OFFSET(Southland_Reference,14,2)</f>
        <v>Light Vehicle Driver</v>
      </c>
      <c r="B150" s="4">
        <f ca="1">'Total Distance Tables Sup #2'!B150</f>
        <v>657.74873722999996</v>
      </c>
      <c r="C150" s="4">
        <f ca="1">'Total Distance Tables Sup #2'!C150*(1-'Other Assumptions'!G19)</f>
        <v>689.92757443140044</v>
      </c>
      <c r="D150" s="4">
        <f ca="1">'Total Distance Tables Sup #2'!D150*(1-'Other Assumptions'!H19)</f>
        <v>705.60344953543483</v>
      </c>
      <c r="E150" s="4">
        <f ca="1">'Total Distance Tables Sup #2'!E150*(1-'Other Assumptions'!I19)</f>
        <v>614.61505593763377</v>
      </c>
      <c r="F150" s="4">
        <f ca="1">'Total Distance Tables Sup #2'!F150*(1-'Other Assumptions'!J19)</f>
        <v>513.12754790203951</v>
      </c>
      <c r="G150" s="4">
        <f ca="1">'Total Distance Tables Sup #2'!G150*(1-'Other Assumptions'!K19)</f>
        <v>403.67195069107964</v>
      </c>
      <c r="H150" s="4">
        <f ca="1">'Total Distance Tables Sup #2'!H150*(1-'Other Assumptions'!L19)</f>
        <v>291.31948591918001</v>
      </c>
      <c r="I150" s="1">
        <f ca="1">'Total Distance Tables Sup #2'!I150*(1-'Other Assumptions'!M19)</f>
        <v>292.64329600752228</v>
      </c>
      <c r="J150" s="1">
        <f ca="1">'Total Distance Tables Sup #2'!J150*(1-'Other Assumptions'!N19)</f>
        <v>292.93559395081246</v>
      </c>
      <c r="K150" s="1">
        <f ca="1">'Total Distance Tables Sup #2'!K150*(1-'Other Assumptions'!O19)</f>
        <v>292.50635520167901</v>
      </c>
    </row>
    <row r="151" spans="1:11" x14ac:dyDescent="0.2">
      <c r="A151" t="str">
        <f ca="1">OFFSET(Southland_Reference,21,2)</f>
        <v>Light Vehicle Passenger</v>
      </c>
      <c r="B151" s="4">
        <f ca="1">'Total Distance Tables Sup #2'!B151</f>
        <v>380.70733008000002</v>
      </c>
      <c r="C151" s="4">
        <f ca="1">'Total Distance Tables Sup #2'!C151*(1-'Other Assumptions'!G19)</f>
        <v>382.41269516762293</v>
      </c>
      <c r="D151" s="4">
        <f ca="1">'Total Distance Tables Sup #2'!D151*(1-'Other Assumptions'!H19)</f>
        <v>387.10502327485091</v>
      </c>
      <c r="E151" s="4">
        <f ca="1">'Total Distance Tables Sup #2'!E151*(1-'Other Assumptions'!I19)</f>
        <v>332.7737485582366</v>
      </c>
      <c r="F151" s="4">
        <f ca="1">'Total Distance Tables Sup #2'!F151*(1-'Other Assumptions'!J19)</f>
        <v>274.58681955103594</v>
      </c>
      <c r="G151" s="4">
        <f ca="1">'Total Distance Tables Sup #2'!G151*(1-'Other Assumptions'!K19)</f>
        <v>214.71925332884209</v>
      </c>
      <c r="H151" s="4">
        <f ca="1">'Total Distance Tables Sup #2'!H151*(1-'Other Assumptions'!L19)</f>
        <v>154.26842377192432</v>
      </c>
      <c r="I151" s="1">
        <f ca="1">'Total Distance Tables Sup #2'!I151*(1-'Other Assumptions'!M19)</f>
        <v>155.10474197651376</v>
      </c>
      <c r="J151" s="1">
        <f ca="1">'Total Distance Tables Sup #2'!J151*(1-'Other Assumptions'!N19)</f>
        <v>155.42917352310826</v>
      </c>
      <c r="K151" s="1">
        <f ca="1">'Total Distance Tables Sup #2'!K151*(1-'Other Assumptions'!O19)</f>
        <v>155.36960434158328</v>
      </c>
    </row>
    <row r="152" spans="1:11" x14ac:dyDescent="0.2">
      <c r="A152" t="str">
        <f ca="1">OFFSET(Southland_Reference,28,2)</f>
        <v>Taxi/Vehicle Share</v>
      </c>
      <c r="B152" s="4">
        <f ca="1">'Total Distance Tables Sup #2'!B152</f>
        <v>1.2430116738999999</v>
      </c>
      <c r="C152" s="4">
        <f ca="1">'Total Distance Tables Sup #2'!C152+((C150+C151)*'Other Assumptions'!G19/(1-'Other Assumptions'!G19))</f>
        <v>1.3840302654185297</v>
      </c>
      <c r="D152" s="4">
        <f ca="1">'Total Distance Tables Sup #2'!D152+((D150+D151)*'Other Assumptions'!H19/(1-'Other Assumptions'!H19))</f>
        <v>1.5442493553476671</v>
      </c>
      <c r="E152" s="4">
        <f ca="1">'Total Distance Tables Sup #2'!E152+((E150+E151)*'Other Assumptions'!I19/(1-'Other Assumptions'!I19))</f>
        <v>168.87319692017672</v>
      </c>
      <c r="F152" s="4">
        <f ca="1">'Total Distance Tables Sup #2'!F152+((F150+F151)*'Other Assumptions'!J19/(1-'Other Assumptions'!J19))</f>
        <v>339.38926363239551</v>
      </c>
      <c r="G152" s="4">
        <f ca="1">'Total Distance Tables Sup #2'!G152+((G150+G151)*'Other Assumptions'!K19/(1-'Other Assumptions'!K19))</f>
        <v>507.82368931398622</v>
      </c>
      <c r="H152" s="4">
        <f ca="1">'Total Distance Tables Sup #2'!H152+((H150+H151)*'Other Assumptions'!L19/(1-'Other Assumptions'!L19))</f>
        <v>670.29457403759136</v>
      </c>
      <c r="I152" s="1">
        <f ca="1">'Total Distance Tables Sup #2'!I152+((I150+I151)*'Other Assumptions'!M19/(1-'Other Assumptions'!M19))</f>
        <v>673.54708114382936</v>
      </c>
      <c r="J152" s="1">
        <f ca="1">'Total Distance Tables Sup #2'!J152+((J150+J151)*'Other Assumptions'!N19/(1-'Other Assumptions'!N19))</f>
        <v>674.47944237460058</v>
      </c>
      <c r="K152" s="1">
        <f ca="1">'Total Distance Tables Sup #2'!K152+((K150+K151)*'Other Assumptions'!O19/(1-'Other Assumptions'!O19))</f>
        <v>673.74886421969904</v>
      </c>
    </row>
    <row r="153" spans="1:11" x14ac:dyDescent="0.2">
      <c r="A153" t="str">
        <f ca="1">OFFSET(Southland_Reference,35,2)</f>
        <v>Motorcyclist</v>
      </c>
      <c r="B153" s="4">
        <f ca="1">'Total Distance Tables Sup #2'!B153</f>
        <v>18.926640866</v>
      </c>
      <c r="C153" s="4">
        <f ca="1">'Total Distance Tables Sup #2'!C153</f>
        <v>19.718012563446052</v>
      </c>
      <c r="D153" s="4">
        <f ca="1">'Total Distance Tables Sup #2'!D153</f>
        <v>20.256617694808618</v>
      </c>
      <c r="E153" s="4">
        <f ca="1">'Total Distance Tables Sup #2'!E153</f>
        <v>20.29852313751789</v>
      </c>
      <c r="F153" s="4">
        <f ca="1">'Total Distance Tables Sup #2'!F153</f>
        <v>19.90238412243432</v>
      </c>
      <c r="G153" s="4">
        <f ca="1">'Total Distance Tables Sup #2'!G153</f>
        <v>19.068894926355963</v>
      </c>
      <c r="H153" s="4">
        <f ca="1">'Total Distance Tables Sup #2'!H153</f>
        <v>18.070181443763349</v>
      </c>
      <c r="I153" s="1">
        <f ca="1">'Total Distance Tables Sup #2'!I153</f>
        <v>18.199014481740065</v>
      </c>
      <c r="J153" s="1">
        <f ca="1">'Total Distance Tables Sup #2'!J153</f>
        <v>18.26666840119174</v>
      </c>
      <c r="K153" s="1">
        <f ca="1">'Total Distance Tables Sup #2'!K153</f>
        <v>18.287451997658675</v>
      </c>
    </row>
    <row r="154" spans="1:11" x14ac:dyDescent="0.2">
      <c r="A154" t="str">
        <f ca="1">OFFSET(Canterbury_Reference,42,2)</f>
        <v>Local Train</v>
      </c>
      <c r="B154" s="4">
        <f ca="1">'Total Distance Tables Sup #2'!B154</f>
        <v>0</v>
      </c>
      <c r="C154" s="4">
        <f ca="1">'Total Distance Tables Sup #2'!C154</f>
        <v>0</v>
      </c>
      <c r="D154" s="4">
        <f ca="1">'Total Distance Tables Sup #2'!D154</f>
        <v>0</v>
      </c>
      <c r="E154" s="4">
        <f ca="1">'Total Distance Tables Sup #2'!E154</f>
        <v>0</v>
      </c>
      <c r="F154" s="4">
        <f ca="1">'Total Distance Tables Sup #2'!F154</f>
        <v>0</v>
      </c>
      <c r="G154" s="4">
        <f ca="1">'Total Distance Tables Sup #2'!G154</f>
        <v>0</v>
      </c>
      <c r="H154" s="4">
        <f ca="1">'Total Distance Tables Sup #2'!H154</f>
        <v>0</v>
      </c>
      <c r="I154" s="1">
        <f ca="1">'Total Distance Tables Sup #2'!I154</f>
        <v>0</v>
      </c>
      <c r="J154" s="1">
        <f ca="1">'Total Distance Tables Sup #2'!J154</f>
        <v>0</v>
      </c>
      <c r="K154" s="1">
        <f ca="1">'Total Distance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Distance Tables Sup #2'!B155</f>
        <v>30.182609224</v>
      </c>
      <c r="C155" s="4">
        <f ca="1">'Total Distance Tables Sup #2'!C155</f>
        <v>26.91957099960306</v>
      </c>
      <c r="D155" s="4">
        <f ca="1">'Total Distance Tables Sup #2'!D155</f>
        <v>26.516033974162859</v>
      </c>
      <c r="E155" s="4">
        <f ca="1">'Total Distance Tables Sup #2'!E155</f>
        <v>25.703988300769076</v>
      </c>
      <c r="F155" s="4">
        <f ca="1">'Total Distance Tables Sup #2'!F155</f>
        <v>24.707447656637516</v>
      </c>
      <c r="G155" s="4">
        <f ca="1">'Total Distance Tables Sup #2'!G155</f>
        <v>24.017834471986326</v>
      </c>
      <c r="H155" s="4">
        <f ca="1">'Total Distance Tables Sup #2'!H155</f>
        <v>23.330348753312808</v>
      </c>
      <c r="I155" s="1">
        <f ca="1">'Total Distance Tables Sup #2'!I155</f>
        <v>23.517263221816258</v>
      </c>
      <c r="J155" s="1">
        <f ca="1">'Total Distance Tables Sup #2'!J155</f>
        <v>23.639016377339299</v>
      </c>
      <c r="K155" s="1">
        <f ca="1">'Total Distance Tables Sup #2'!K155</f>
        <v>23.703091439236701</v>
      </c>
    </row>
    <row r="156" spans="1:11" x14ac:dyDescent="0.2">
      <c r="A156" t="str">
        <f ca="1">OFFSET(Wellington_Reference,56,2)</f>
        <v>Local Ferry</v>
      </c>
      <c r="B156" s="4">
        <f>'Total Distance Tables Sup #2'!B156</f>
        <v>0</v>
      </c>
      <c r="C156" s="4">
        <f ca="1">'Total Distance Tables Sup #2'!C156</f>
        <v>0</v>
      </c>
      <c r="D156" s="4">
        <f ca="1">'Total Distance Tables Sup #2'!D156</f>
        <v>0</v>
      </c>
      <c r="E156" s="4">
        <f ca="1">'Total Distance Tables Sup #2'!E156</f>
        <v>0</v>
      </c>
      <c r="F156" s="4">
        <f ca="1">'Total Distance Tables Sup #2'!F156</f>
        <v>0</v>
      </c>
      <c r="G156" s="4">
        <f ca="1">'Total Distance Tables Sup #2'!G156</f>
        <v>0</v>
      </c>
      <c r="H156" s="4">
        <f ca="1">'Total Distance Tables Sup #2'!H156</f>
        <v>0</v>
      </c>
      <c r="I156" s="1">
        <f ca="1">'Total Distance Tables Sup #2'!I156</f>
        <v>0</v>
      </c>
      <c r="J156" s="1">
        <f ca="1">'Total Distance Tables Sup #2'!J156</f>
        <v>0</v>
      </c>
      <c r="K156" s="1">
        <f ca="1">'Total Distance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Distance Tables Sup #2'!B157</f>
        <v>0</v>
      </c>
      <c r="C157" s="4">
        <f ca="1">'Total Distance Tables Sup #2'!C157</f>
        <v>0</v>
      </c>
      <c r="D157" s="4">
        <f ca="1">'Total Distance Tables Sup #2'!D157</f>
        <v>0</v>
      </c>
      <c r="E157" s="4">
        <f ca="1">'Total Distance Tables Sup #2'!E157</f>
        <v>0</v>
      </c>
      <c r="F157" s="4">
        <f ca="1">'Total Distance Tables Sup #2'!F157</f>
        <v>0</v>
      </c>
      <c r="G157" s="4">
        <f ca="1">'Total Distance Tables Sup #2'!G157</f>
        <v>0</v>
      </c>
      <c r="H157" s="4">
        <f ca="1">'Total Distance Tables Sup #2'!H157</f>
        <v>0</v>
      </c>
      <c r="I157" s="1">
        <f ca="1">'Total Distance Tables Sup #2'!I157</f>
        <v>0</v>
      </c>
      <c r="J157" s="1">
        <f ca="1">'Total Distance Tables Sup #2'!J157</f>
        <v>0</v>
      </c>
      <c r="K157" s="1">
        <f ca="1">'Total Distance Tables Sup #2'!K157</f>
        <v>0</v>
      </c>
    </row>
    <row r="158" spans="1:11" x14ac:dyDescent="0.2">
      <c r="A158" t="s">
        <v>103</v>
      </c>
      <c r="B158" s="1">
        <f ca="1">SUM(B159:B168)</f>
        <v>50519.628342710188</v>
      </c>
      <c r="C158" s="1">
        <f t="shared" ref="C158:H158" ca="1" si="0">SUM(C159:C168)</f>
        <v>56422.013021463914</v>
      </c>
      <c r="D158" s="1">
        <f t="shared" ca="1" si="0"/>
        <v>61786.198117028594</v>
      </c>
      <c r="E158" s="1">
        <f t="shared" ca="1" si="0"/>
        <v>66963.37123035625</v>
      </c>
      <c r="F158" s="1">
        <f t="shared" ca="1" si="0"/>
        <v>71591.287355515524</v>
      </c>
      <c r="G158" s="1">
        <f t="shared" ca="1" si="0"/>
        <v>75742.793598224656</v>
      </c>
      <c r="H158" s="1">
        <f t="shared" ca="1" si="0"/>
        <v>79423.752959411184</v>
      </c>
      <c r="I158" s="1">
        <f t="shared" ref="I158:K158" ca="1" si="1">SUM(I159:I168)</f>
        <v>83791.70705347303</v>
      </c>
      <c r="J158" s="1">
        <f t="shared" ca="1" si="1"/>
        <v>88915.516219230965</v>
      </c>
      <c r="K158" s="1">
        <f t="shared" ca="1" si="1"/>
        <v>94262.848937801828</v>
      </c>
    </row>
    <row r="159" spans="1:11" x14ac:dyDescent="0.2">
      <c r="A159" t="str">
        <f t="shared" ref="A159:A165" ca="1" si="2">A5</f>
        <v>Pedestrian</v>
      </c>
      <c r="B159" s="4">
        <f t="shared" ref="B159:H168" ca="1" si="3">B5+B16+B27+B38+B49+B60+B71+B82+B93+B104+B115+B126+B137+B148</f>
        <v>807.42091028530001</v>
      </c>
      <c r="C159" s="4">
        <f t="shared" ca="1" si="3"/>
        <v>879.84065488598173</v>
      </c>
      <c r="D159" s="4">
        <f t="shared" ca="1" si="3"/>
        <v>946.20725681968986</v>
      </c>
      <c r="E159" s="4">
        <f t="shared" ca="1" si="3"/>
        <v>995.7045927399588</v>
      </c>
      <c r="F159" s="4">
        <f t="shared" ca="1" si="3"/>
        <v>1041.579781309312</v>
      </c>
      <c r="G159" s="4">
        <f t="shared" ca="1" si="3"/>
        <v>1088.3834305346811</v>
      </c>
      <c r="H159" s="4">
        <f t="shared" ca="1" si="3"/>
        <v>1129.2228839640622</v>
      </c>
      <c r="I159" s="1">
        <f t="shared" ref="I159:K159" ca="1" si="4">I5+I16+I27+I38+I49+I60+I71+I82+I93+I104+I115+I126+I137+I148</f>
        <v>1186.7211573228303</v>
      </c>
      <c r="J159" s="1">
        <f t="shared" ca="1" si="4"/>
        <v>1254.0937970190321</v>
      </c>
      <c r="K159" s="1">
        <f t="shared" ca="1" si="4"/>
        <v>1323.4542910247167</v>
      </c>
    </row>
    <row r="160" spans="1:11" x14ac:dyDescent="0.2">
      <c r="A160" t="str">
        <f t="shared" ca="1" si="2"/>
        <v>Cyclist</v>
      </c>
      <c r="B160" s="4">
        <f t="shared" ca="1" si="3"/>
        <v>312.57850166600002</v>
      </c>
      <c r="C160" s="4">
        <f t="shared" ca="1" si="3"/>
        <v>344.16127384613657</v>
      </c>
      <c r="D160" s="4">
        <f t="shared" ca="1" si="3"/>
        <v>420.29059353287738</v>
      </c>
      <c r="E160" s="4">
        <f t="shared" ca="1" si="3"/>
        <v>482.53026217002662</v>
      </c>
      <c r="F160" s="4">
        <f t="shared" ca="1" si="3"/>
        <v>556.39037698421635</v>
      </c>
      <c r="G160" s="4">
        <f t="shared" ca="1" si="3"/>
        <v>646.03464565563638</v>
      </c>
      <c r="H160" s="4">
        <f t="shared" ca="1" si="3"/>
        <v>742.30735669685509</v>
      </c>
      <c r="I160" s="1">
        <f t="shared" ref="I160:K160" ca="1" si="5">I6+I17+I28+I39+I50+I61+I72+I83+I94+I105+I116+I127+I138+I149</f>
        <v>782.45589655811273</v>
      </c>
      <c r="J160" s="1">
        <f t="shared" ca="1" si="5"/>
        <v>829.28369241141422</v>
      </c>
      <c r="K160" s="1">
        <f t="shared" ca="1" si="5"/>
        <v>877.90409523876906</v>
      </c>
    </row>
    <row r="161" spans="1:11" x14ac:dyDescent="0.2">
      <c r="A161" t="str">
        <f t="shared" ca="1" si="2"/>
        <v>Light Vehicle Driver</v>
      </c>
      <c r="B161" s="4">
        <f t="shared" ca="1" si="3"/>
        <v>30373.708042980001</v>
      </c>
      <c r="C161" s="4">
        <f t="shared" ca="1" si="3"/>
        <v>34467.39306193652</v>
      </c>
      <c r="D161" s="4">
        <f t="shared" ca="1" si="3"/>
        <v>37670.520754190693</v>
      </c>
      <c r="E161" s="4">
        <f t="shared" ca="1" si="3"/>
        <v>34732.207533814166</v>
      </c>
      <c r="F161" s="4">
        <f t="shared" ca="1" si="3"/>
        <v>30698.037580193199</v>
      </c>
      <c r="G161" s="4">
        <f t="shared" ca="1" si="3"/>
        <v>25550.259010312893</v>
      </c>
      <c r="H161" s="4">
        <f t="shared" ca="1" si="3"/>
        <v>19495.642987896634</v>
      </c>
      <c r="I161" s="1">
        <f t="shared" ref="I161:K161" ca="1" si="6">I7+I18+I29+I40+I51+I62+I73+I84+I95+I106+I117+I128+I139+I150</f>
        <v>20522.990830345381</v>
      </c>
      <c r="J161" s="1">
        <f t="shared" ca="1" si="6"/>
        <v>21723.864175197403</v>
      </c>
      <c r="K161" s="1">
        <f t="shared" ca="1" si="6"/>
        <v>22966.369521596003</v>
      </c>
    </row>
    <row r="162" spans="1:11" x14ac:dyDescent="0.2">
      <c r="A162" t="str">
        <f t="shared" ca="1" si="2"/>
        <v>Light Vehicle Passenger</v>
      </c>
      <c r="B162" s="4">
        <f t="shared" ca="1" si="3"/>
        <v>17104.323927279998</v>
      </c>
      <c r="C162" s="4">
        <f t="shared" ca="1" si="3"/>
        <v>18530.431447859624</v>
      </c>
      <c r="D162" s="4">
        <f t="shared" ca="1" si="3"/>
        <v>19939.447427878065</v>
      </c>
      <c r="E162" s="4">
        <f t="shared" ca="1" si="3"/>
        <v>18056.886994431865</v>
      </c>
      <c r="F162" s="4">
        <f t="shared" ca="1" si="3"/>
        <v>15725.90348516298</v>
      </c>
      <c r="G162" s="4">
        <f t="shared" ca="1" si="3"/>
        <v>12972.877921868117</v>
      </c>
      <c r="H162" s="4">
        <f t="shared" ca="1" si="3"/>
        <v>9826.5365436245356</v>
      </c>
      <c r="I162" s="1">
        <f t="shared" ref="I162:K162" ca="1" si="7">I8+I19+I30+I41+I52+I63+I74+I85+I96+I107+I118+I129+I140+I151</f>
        <v>10330.919738076222</v>
      </c>
      <c r="J162" s="1">
        <f t="shared" ca="1" si="7"/>
        <v>10921.826148650471</v>
      </c>
      <c r="K162" s="1">
        <f t="shared" ca="1" si="7"/>
        <v>11531.014519190143</v>
      </c>
    </row>
    <row r="163" spans="1:11" x14ac:dyDescent="0.2">
      <c r="A163" t="str">
        <f t="shared" ca="1" si="2"/>
        <v>Taxi/Vehicle Share</v>
      </c>
      <c r="B163" s="4">
        <f t="shared" ca="1" si="3"/>
        <v>102.6492410403</v>
      </c>
      <c r="C163" s="4">
        <f t="shared" ca="1" si="3"/>
        <v>123.30223153571927</v>
      </c>
      <c r="D163" s="4">
        <f t="shared" ca="1" si="3"/>
        <v>147.09638045837963</v>
      </c>
      <c r="E163" s="4">
        <f t="shared" ca="1" si="3"/>
        <v>9485.7904118762435</v>
      </c>
      <c r="F163" s="4">
        <f t="shared" ca="1" si="3"/>
        <v>20087.477879721257</v>
      </c>
      <c r="G163" s="4">
        <f t="shared" ca="1" si="3"/>
        <v>31729.096280154365</v>
      </c>
      <c r="H163" s="4">
        <f t="shared" ca="1" si="3"/>
        <v>44210.580435350443</v>
      </c>
      <c r="I163" s="1">
        <f t="shared" ref="I163:K163" ca="1" si="8">I9+I20+I31+I42+I53+I64+I75+I86+I97+I108+I119+I130+I141+I152</f>
        <v>46520.471372812921</v>
      </c>
      <c r="J163" s="1">
        <f t="shared" ca="1" si="8"/>
        <v>49222.480725844129</v>
      </c>
      <c r="K163" s="1">
        <f t="shared" ca="1" si="8"/>
        <v>52014.909957547796</v>
      </c>
    </row>
    <row r="164" spans="1:11" x14ac:dyDescent="0.2">
      <c r="A164" t="str">
        <f t="shared" ca="1" si="2"/>
        <v>Motorcyclist</v>
      </c>
      <c r="B164" s="4">
        <f t="shared" ca="1" si="3"/>
        <v>249.6655534436</v>
      </c>
      <c r="C164" s="4">
        <f t="shared" ca="1" si="3"/>
        <v>280.08151066002114</v>
      </c>
      <c r="D164" s="4">
        <f t="shared" ca="1" si="3"/>
        <v>307.43227228997426</v>
      </c>
      <c r="E164" s="4">
        <f t="shared" ca="1" si="3"/>
        <v>326.15116005045616</v>
      </c>
      <c r="F164" s="4">
        <f t="shared" ca="1" si="3"/>
        <v>338.00867485746608</v>
      </c>
      <c r="G164" s="4">
        <f t="shared" ca="1" si="3"/>
        <v>342.12115754371922</v>
      </c>
      <c r="H164" s="4">
        <f t="shared" ca="1" si="3"/>
        <v>342.29004561534299</v>
      </c>
      <c r="I164" s="1">
        <f t="shared" ref="I164:K164" ca="1" si="9">I10+I21+I32+I43+I54+I65+I76+I87+I98+I109+I120+I131+I142+I153</f>
        <v>360.80319305557691</v>
      </c>
      <c r="J164" s="1">
        <f t="shared" ca="1" si="9"/>
        <v>382.39625452005924</v>
      </c>
      <c r="K164" s="1">
        <f t="shared" ca="1" si="9"/>
        <v>404.81591633732467</v>
      </c>
    </row>
    <row r="165" spans="1:11" x14ac:dyDescent="0.2">
      <c r="A165" t="str">
        <f t="shared" ca="1" si="2"/>
        <v>Local Train</v>
      </c>
      <c r="B165" s="4">
        <f t="shared" ca="1" si="3"/>
        <v>456.51929399999995</v>
      </c>
      <c r="C165" s="4">
        <f t="shared" ca="1" si="3"/>
        <v>646.72188621843316</v>
      </c>
      <c r="D165" s="4">
        <f t="shared" ca="1" si="3"/>
        <v>1025.4105596712911</v>
      </c>
      <c r="E165" s="4">
        <f t="shared" ca="1" si="3"/>
        <v>1393.8985353461815</v>
      </c>
      <c r="F165" s="4">
        <f t="shared" ca="1" si="3"/>
        <v>1576.5793896805237</v>
      </c>
      <c r="G165" s="4">
        <f t="shared" ca="1" si="3"/>
        <v>1762.9651622122215</v>
      </c>
      <c r="H165" s="4">
        <f t="shared" ca="1" si="3"/>
        <v>1946.9975971704562</v>
      </c>
      <c r="I165" s="1">
        <f t="shared" ref="I165:K165" ca="1" si="10">I11+I22+I33+I44+I55+I66+I77+I88+I99+I110+I121+I132+I143+I154</f>
        <v>2201.4487782887977</v>
      </c>
      <c r="J165" s="1">
        <f t="shared" ca="1" si="10"/>
        <v>2507.9873785519217</v>
      </c>
      <c r="K165" s="1">
        <f t="shared" ca="1" si="10"/>
        <v>2860.2588760049207</v>
      </c>
    </row>
    <row r="166" spans="1:11" x14ac:dyDescent="0.2">
      <c r="A166" t="s">
        <v>20</v>
      </c>
      <c r="B166" s="4">
        <f t="shared" ca="1" si="3"/>
        <v>1110.9386781444002</v>
      </c>
      <c r="C166" s="4">
        <f t="shared" ca="1" si="3"/>
        <v>1148.2009919388831</v>
      </c>
      <c r="D166" s="4">
        <f t="shared" ca="1" si="3"/>
        <v>1328.2858072756942</v>
      </c>
      <c r="E166" s="4">
        <f t="shared" ca="1" si="3"/>
        <v>1488.4745400403954</v>
      </c>
      <c r="F166" s="4">
        <f t="shared" ca="1" si="3"/>
        <v>1565.49541215364</v>
      </c>
      <c r="G166" s="4">
        <f t="shared" ca="1" si="3"/>
        <v>1649.279384050307</v>
      </c>
      <c r="H166" s="4">
        <f t="shared" ca="1" si="3"/>
        <v>1728.4755514783494</v>
      </c>
      <c r="I166" s="1">
        <f t="shared" ref="I166:K166" ca="1" si="11">I12+I23+I34+I45+I56+I67+I78+I89+I100+I111+I122+I133+I144+I155</f>
        <v>1884.1046068870428</v>
      </c>
      <c r="J166" s="1">
        <f t="shared" ca="1" si="11"/>
        <v>2071.685351837958</v>
      </c>
      <c r="K166" s="1">
        <f t="shared" ca="1" si="11"/>
        <v>2282.1117463090077</v>
      </c>
    </row>
    <row r="167" spans="1:11" x14ac:dyDescent="0.2">
      <c r="A167" t="str">
        <f ca="1">A13</f>
        <v>Local Ferry</v>
      </c>
      <c r="B167" s="4">
        <f t="shared" ca="1" si="3"/>
        <v>0</v>
      </c>
      <c r="C167" s="4">
        <f t="shared" ca="1" si="3"/>
        <v>0</v>
      </c>
      <c r="D167" s="4">
        <f t="shared" ca="1" si="3"/>
        <v>0</v>
      </c>
      <c r="E167" s="4">
        <f t="shared" ca="1" si="3"/>
        <v>0</v>
      </c>
      <c r="F167" s="4">
        <f t="shared" ca="1" si="3"/>
        <v>0</v>
      </c>
      <c r="G167" s="4">
        <f t="shared" ca="1" si="3"/>
        <v>0</v>
      </c>
      <c r="H167" s="4">
        <f t="shared" ca="1" si="3"/>
        <v>0</v>
      </c>
      <c r="I167" s="1">
        <f t="shared" ref="I167:K167" ca="1" si="12">I13+I24+I35+I46+I57+I68+I79+I90+I101+I112+I123+I134+I145+I156</f>
        <v>0</v>
      </c>
      <c r="J167" s="1">
        <f t="shared" ca="1" si="12"/>
        <v>0</v>
      </c>
      <c r="K167" s="1">
        <f t="shared" ca="1" si="12"/>
        <v>0</v>
      </c>
    </row>
    <row r="168" spans="1:11" x14ac:dyDescent="0.2">
      <c r="A168" t="str">
        <f ca="1">A14</f>
        <v>Other Household Travel</v>
      </c>
      <c r="B168" s="4">
        <f t="shared" ca="1" si="3"/>
        <v>1.8241938706</v>
      </c>
      <c r="C168" s="4">
        <f t="shared" ca="1" si="3"/>
        <v>1.8799625825976736</v>
      </c>
      <c r="D168" s="4">
        <f t="shared" ca="1" si="3"/>
        <v>1.5070649119220121</v>
      </c>
      <c r="E168" s="4">
        <f t="shared" ca="1" si="3"/>
        <v>1.7271998869554841</v>
      </c>
      <c r="F168" s="4">
        <f t="shared" ca="1" si="3"/>
        <v>1.8147754529399338</v>
      </c>
      <c r="G168" s="4">
        <f t="shared" ca="1" si="3"/>
        <v>1.7766058927265902</v>
      </c>
      <c r="H168" s="4">
        <f t="shared" ca="1" si="3"/>
        <v>1.6995576145072182</v>
      </c>
      <c r="I168" s="1">
        <f t="shared" ref="I168:K168" ca="1" si="13">I14+I25+I36+I47+I58+I69+I80+I91+I102+I113+I124+I135+I146+I157</f>
        <v>1.7914801261419946</v>
      </c>
      <c r="J168" s="1">
        <f t="shared" ca="1" si="13"/>
        <v>1.8986951985713121</v>
      </c>
      <c r="K168" s="1">
        <f t="shared" ca="1" si="13"/>
        <v>2.0100145531488329</v>
      </c>
    </row>
    <row r="169" spans="1:11" x14ac:dyDescent="0.2">
      <c r="A169" t="s">
        <v>108</v>
      </c>
      <c r="I169" s="1"/>
      <c r="J169" s="1"/>
      <c r="K169" s="1"/>
    </row>
    <row r="170" spans="1:11" x14ac:dyDescent="0.2">
      <c r="A170" t="s">
        <v>103</v>
      </c>
      <c r="B170" s="1">
        <f ca="1">SUM(B171:B177)</f>
        <v>50519.628342710203</v>
      </c>
      <c r="C170" s="1">
        <f t="shared" ref="C170:H170" ca="1" si="14">SUM(C171:C177)</f>
        <v>56422.013021463921</v>
      </c>
      <c r="D170" s="1">
        <f t="shared" ca="1" si="14"/>
        <v>61786.198117028587</v>
      </c>
      <c r="E170" s="1">
        <f t="shared" ca="1" si="14"/>
        <v>66963.37123035625</v>
      </c>
      <c r="F170" s="1">
        <f t="shared" ca="1" si="14"/>
        <v>71591.287355515553</v>
      </c>
      <c r="G170" s="1">
        <f t="shared" ca="1" si="14"/>
        <v>75742.793598224671</v>
      </c>
      <c r="H170" s="1">
        <f t="shared" ca="1" si="14"/>
        <v>79423.752959411198</v>
      </c>
      <c r="I170" s="1">
        <f t="shared" ref="I170:K170" ca="1" si="15">SUM(I171:I177)</f>
        <v>83791.70705347303</v>
      </c>
      <c r="J170" s="1">
        <f t="shared" ca="1" si="15"/>
        <v>88915.516219230951</v>
      </c>
      <c r="K170" s="1">
        <f t="shared" ca="1" si="15"/>
        <v>94262.848937801857</v>
      </c>
    </row>
    <row r="171" spans="1:11" x14ac:dyDescent="0.2">
      <c r="A171" t="s">
        <v>62</v>
      </c>
      <c r="B171" s="1">
        <f ca="1">B159</f>
        <v>807.42091028530001</v>
      </c>
      <c r="C171" s="1">
        <f t="shared" ref="C171:H172" ca="1" si="16">C159</f>
        <v>879.84065488598173</v>
      </c>
      <c r="D171" s="1">
        <f t="shared" ca="1" si="16"/>
        <v>946.20725681968986</v>
      </c>
      <c r="E171" s="1">
        <f t="shared" ca="1" si="16"/>
        <v>995.7045927399588</v>
      </c>
      <c r="F171" s="1">
        <f t="shared" ca="1" si="16"/>
        <v>1041.579781309312</v>
      </c>
      <c r="G171" s="1">
        <f t="shared" ca="1" si="16"/>
        <v>1088.3834305346811</v>
      </c>
      <c r="H171" s="1">
        <f t="shared" ca="1" si="16"/>
        <v>1129.2228839640622</v>
      </c>
      <c r="I171" s="1">
        <f t="shared" ref="I171:K171" ca="1" si="17">I159</f>
        <v>1186.7211573228303</v>
      </c>
      <c r="J171" s="1">
        <f t="shared" ca="1" si="17"/>
        <v>1254.0937970190321</v>
      </c>
      <c r="K171" s="1">
        <f t="shared" ca="1" si="17"/>
        <v>1323.4542910247167</v>
      </c>
    </row>
    <row r="172" spans="1:11" x14ac:dyDescent="0.2">
      <c r="A172" t="s">
        <v>63</v>
      </c>
      <c r="B172" s="1">
        <f ca="1">B160</f>
        <v>312.57850166600002</v>
      </c>
      <c r="C172" s="1">
        <f t="shared" ca="1" si="16"/>
        <v>344.16127384613657</v>
      </c>
      <c r="D172" s="1">
        <f t="shared" ca="1" si="16"/>
        <v>420.29059353287738</v>
      </c>
      <c r="E172" s="1">
        <f t="shared" ca="1" si="16"/>
        <v>482.53026217002662</v>
      </c>
      <c r="F172" s="1">
        <f t="shared" ca="1" si="16"/>
        <v>556.39037698421635</v>
      </c>
      <c r="G172" s="1">
        <f t="shared" ca="1" si="16"/>
        <v>646.03464565563638</v>
      </c>
      <c r="H172" s="1">
        <f t="shared" ca="1" si="16"/>
        <v>742.30735669685509</v>
      </c>
      <c r="I172" s="1">
        <f t="shared" ref="I172:K172" ca="1" si="18">I160</f>
        <v>782.45589655811273</v>
      </c>
      <c r="J172" s="1">
        <f t="shared" ca="1" si="18"/>
        <v>829.28369241141422</v>
      </c>
      <c r="K172" s="1">
        <f t="shared" ca="1" si="18"/>
        <v>877.90409523876906</v>
      </c>
    </row>
    <row r="173" spans="1:11" x14ac:dyDescent="0.2">
      <c r="A173" t="s">
        <v>104</v>
      </c>
      <c r="B173" s="1">
        <f ca="1">B165</f>
        <v>456.51929399999995</v>
      </c>
      <c r="C173" s="1">
        <f t="shared" ref="C173:H174" ca="1" si="19">C165</f>
        <v>646.72188621843316</v>
      </c>
      <c r="D173" s="1">
        <f t="shared" ca="1" si="19"/>
        <v>1025.4105596712911</v>
      </c>
      <c r="E173" s="1">
        <f t="shared" ca="1" si="19"/>
        <v>1393.8985353461815</v>
      </c>
      <c r="F173" s="1">
        <f t="shared" ca="1" si="19"/>
        <v>1576.5793896805237</v>
      </c>
      <c r="G173" s="1">
        <f t="shared" ca="1" si="19"/>
        <v>1762.9651622122215</v>
      </c>
      <c r="H173" s="1">
        <f t="shared" ca="1" si="19"/>
        <v>1946.9975971704562</v>
      </c>
      <c r="I173" s="1">
        <f t="shared" ref="I173:K173" ca="1" si="20">I165</f>
        <v>2201.4487782887977</v>
      </c>
      <c r="J173" s="1">
        <f t="shared" ca="1" si="20"/>
        <v>2507.9873785519217</v>
      </c>
      <c r="K173" s="1">
        <f t="shared" ca="1" si="20"/>
        <v>2860.2588760049207</v>
      </c>
    </row>
    <row r="174" spans="1:11" x14ac:dyDescent="0.2">
      <c r="A174" t="s">
        <v>20</v>
      </c>
      <c r="B174" s="1">
        <f ca="1">B166</f>
        <v>1110.9386781444002</v>
      </c>
      <c r="C174" s="1">
        <f t="shared" ca="1" si="19"/>
        <v>1148.2009919388831</v>
      </c>
      <c r="D174" s="1">
        <f t="shared" ca="1" si="19"/>
        <v>1328.2858072756942</v>
      </c>
      <c r="E174" s="1">
        <f t="shared" ca="1" si="19"/>
        <v>1488.4745400403954</v>
      </c>
      <c r="F174" s="1">
        <f t="shared" ca="1" si="19"/>
        <v>1565.49541215364</v>
      </c>
      <c r="G174" s="1">
        <f t="shared" ca="1" si="19"/>
        <v>1649.279384050307</v>
      </c>
      <c r="H174" s="1">
        <f t="shared" ca="1" si="19"/>
        <v>1728.4755514783494</v>
      </c>
      <c r="I174" s="1">
        <f t="shared" ref="I174:K174" ca="1" si="21">I166</f>
        <v>1884.1046068870428</v>
      </c>
      <c r="J174" s="1">
        <f t="shared" ca="1" si="21"/>
        <v>2071.685351837958</v>
      </c>
      <c r="K174" s="1">
        <f t="shared" ca="1" si="21"/>
        <v>2282.1117463090077</v>
      </c>
    </row>
    <row r="175" spans="1:11" x14ac:dyDescent="0.2">
      <c r="A175" t="s">
        <v>105</v>
      </c>
      <c r="B175" s="1">
        <f ca="1">'Total Distance Tables Sup #2'!B9+'Total Distance Tables Sup #2'!B20+'Total Distance Tables Sup #2'!B31+'Total Distance Tables Sup #2'!B42+'Total Distance Tables Sup #2'!B53+'Total Distance Tables Sup #2'!B64+'Total Distance Tables Sup #2'!B75+'Total Distance Tables Sup #2'!B86+'Total Distance Tables Sup #2'!B97+'Total Distance Tables Sup #2'!B108+'Total Distance Tables Sup #2'!B119+'Total Distance Tables Sup #2'!B130+'Total Distance Tables Sup #2'!B141+'Total Distance Tables Sup #2'!B152+B164+B167+B168</f>
        <v>354.13898835450004</v>
      </c>
      <c r="C175" s="1">
        <f ca="1">'Total Distance Tables Sup #2'!C9+'Total Distance Tables Sup #2'!C20+'Total Distance Tables Sup #2'!C31+'Total Distance Tables Sup #2'!C42+'Total Distance Tables Sup #2'!C53+'Total Distance Tables Sup #2'!C64+'Total Distance Tables Sup #2'!C75+'Total Distance Tables Sup #2'!C86+'Total Distance Tables Sup #2'!C97+'Total Distance Tables Sup #2'!C108+'Total Distance Tables Sup #2'!C119+'Total Distance Tables Sup #2'!C130+'Total Distance Tables Sup #2'!C141+'Total Distance Tables Sup #2'!C152+C164+C167+C168</f>
        <v>405.26370477833808</v>
      </c>
      <c r="D175" s="1">
        <f ca="1">'Total Distance Tables Sup #2'!D9+'Total Distance Tables Sup #2'!D20+'Total Distance Tables Sup #2'!D31+'Total Distance Tables Sup #2'!D42+'Total Distance Tables Sup #2'!D53+'Total Distance Tables Sup #2'!D64+'Total Distance Tables Sup #2'!D75+'Total Distance Tables Sup #2'!D86+'Total Distance Tables Sup #2'!D97+'Total Distance Tables Sup #2'!D108+'Total Distance Tables Sup #2'!D119+'Total Distance Tables Sup #2'!D130+'Total Distance Tables Sup #2'!D141+'Total Distance Tables Sup #2'!D152+D164+D167+D168</f>
        <v>456.03571766027591</v>
      </c>
      <c r="E175" s="1">
        <f ca="1">'Total Distance Tables Sup #2'!E9+'Total Distance Tables Sup #2'!E20+'Total Distance Tables Sup #2'!E31+'Total Distance Tables Sup #2'!E42+'Total Distance Tables Sup #2'!E53+'Total Distance Tables Sup #2'!E64+'Total Distance Tables Sup #2'!E75+'Total Distance Tables Sup #2'!E86+'Total Distance Tables Sup #2'!E97+'Total Distance Tables Sup #2'!E108+'Total Distance Tables Sup #2'!E119+'Total Distance Tables Sup #2'!E130+'Total Distance Tables Sup #2'!E141+'Total Distance Tables Sup #2'!E152+E164+E167+E168</f>
        <v>497.94620800553167</v>
      </c>
      <c r="F175" s="1">
        <f ca="1">'Total Distance Tables Sup #2'!F9+'Total Distance Tables Sup #2'!F20+'Total Distance Tables Sup #2'!F31+'Total Distance Tables Sup #2'!F42+'Total Distance Tables Sup #2'!F53+'Total Distance Tables Sup #2'!F64+'Total Distance Tables Sup #2'!F75+'Total Distance Tables Sup #2'!F86+'Total Distance Tables Sup #2'!F97+'Total Distance Tables Sup #2'!F108+'Total Distance Tables Sup #2'!F119+'Total Distance Tables Sup #2'!F130+'Total Distance Tables Sup #2'!F141+'Total Distance Tables Sup #2'!F152+F164+F167+F168</f>
        <v>531.32658773615492</v>
      </c>
      <c r="G175" s="1">
        <f ca="1">'Total Distance Tables Sup #2'!G9+'Total Distance Tables Sup #2'!G20+'Total Distance Tables Sup #2'!G31+'Total Distance Tables Sup #2'!G42+'Total Distance Tables Sup #2'!G53+'Total Distance Tables Sup #2'!G64+'Total Distance Tables Sup #2'!G75+'Total Distance Tables Sup #2'!G86+'Total Distance Tables Sup #2'!G97+'Total Distance Tables Sup #2'!G108+'Total Distance Tables Sup #2'!G119+'Total Distance Tables Sup #2'!G130+'Total Distance Tables Sup #2'!G141+'Total Distance Tables Sup #2'!G152+G164+G167+G168</f>
        <v>554.06382635180228</v>
      </c>
      <c r="H175" s="1">
        <f ca="1">'Total Distance Tables Sup #2'!H9+'Total Distance Tables Sup #2'!H20+'Total Distance Tables Sup #2'!H31+'Total Distance Tables Sup #2'!H42+'Total Distance Tables Sup #2'!H53+'Total Distance Tables Sup #2'!H64+'Total Distance Tables Sup #2'!H75+'Total Distance Tables Sup #2'!H86+'Total Distance Tables Sup #2'!H97+'Total Distance Tables Sup #2'!H108+'Total Distance Tables Sup #2'!H119+'Total Distance Tables Sup #2'!H130+'Total Distance Tables Sup #2'!H141+'Total Distance Tables Sup #2'!H152+H164+H167+H168</f>
        <v>571.30074129853426</v>
      </c>
      <c r="I175" s="1">
        <f ca="1">'Total Distance Tables Sup #2'!I9+'Total Distance Tables Sup #2'!I20+'Total Distance Tables Sup #2'!I31+'Total Distance Tables Sup #2'!I42+'Total Distance Tables Sup #2'!I53+'Total Distance Tables Sup #2'!I64+'Total Distance Tables Sup #2'!I75+'Total Distance Tables Sup #2'!I86+'Total Distance Tables Sup #2'!I97+'Total Distance Tables Sup #2'!I108+'Total Distance Tables Sup #2'!I119+'Total Distance Tables Sup #2'!I130+'Total Distance Tables Sup #2'!I141+'Total Distance Tables Sup #2'!I152+I164+I167+I168</f>
        <v>602.20019336223936</v>
      </c>
      <c r="J175" s="1">
        <f ca="1">'Total Distance Tables Sup #2'!J9+'Total Distance Tables Sup #2'!J20+'Total Distance Tables Sup #2'!J31+'Total Distance Tables Sup #2'!J42+'Total Distance Tables Sup #2'!J53+'Total Distance Tables Sup #2'!J64+'Total Distance Tables Sup #2'!J75+'Total Distance Tables Sup #2'!J86+'Total Distance Tables Sup #2'!J97+'Total Distance Tables Sup #2'!J108+'Total Distance Tables Sup #2'!J119+'Total Distance Tables Sup #2'!J130+'Total Distance Tables Sup #2'!J141+'Total Distance Tables Sup #2'!J152+J164+J167+J168</f>
        <v>638.2401897909599</v>
      </c>
      <c r="K175" s="1">
        <f ca="1">'Total Distance Tables Sup #2'!K9+'Total Distance Tables Sup #2'!K20+'Total Distance Tables Sup #2'!K31+'Total Distance Tables Sup #2'!K42+'Total Distance Tables Sup #2'!K53+'Total Distance Tables Sup #2'!K64+'Total Distance Tables Sup #2'!K75+'Total Distance Tables Sup #2'!K86+'Total Distance Tables Sup #2'!K97+'Total Distance Tables Sup #2'!K108+'Total Distance Tables Sup #2'!K119+'Total Distance Tables Sup #2'!K130+'Total Distance Tables Sup #2'!K141+'Total Distance Tables Sup #2'!K152+K164+K167+K168</f>
        <v>675.6598272590619</v>
      </c>
    </row>
    <row r="176" spans="1:11" x14ac:dyDescent="0.2">
      <c r="A176" t="s">
        <v>106</v>
      </c>
      <c r="B176" s="1">
        <f ca="1">B7+B18+B29+B40+B51+B62+B73+B84+B95+B106+B117+B128+B139+B150</f>
        <v>30373.708042980001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34467.39306193652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37670.520754190693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40861.420628016669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43854.339400276011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46455.016382387075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48739.107469741597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51307.477075863455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54309.660437993502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57415.923803990016</v>
      </c>
    </row>
    <row r="177" spans="1:11" x14ac:dyDescent="0.2">
      <c r="A177" t="s">
        <v>107</v>
      </c>
      <c r="B177" s="1">
        <f ca="1">B8+B19+B30+B41+B52+B63+B74+B85+B96+B107+B118+B129+B140+B151</f>
        <v>17104.323927279998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18530.431447859624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19939.447427878065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21243.396464037483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22465.576407375687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23587.050767032939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24566.341359061342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25827.299345190546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27304.56537162617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28827.536297975363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K177"/>
  <sheetViews>
    <sheetView topLeftCell="A114" workbookViewId="0">
      <selection activeCell="Q156" sqref="Q156"/>
    </sheetView>
  </sheetViews>
  <sheetFormatPr defaultRowHeight="12.75" x14ac:dyDescent="0.2"/>
  <cols>
    <col min="1" max="1" width="26.140625" customWidth="1"/>
    <col min="9" max="11" width="10.28515625" bestFit="1" customWidth="1"/>
  </cols>
  <sheetData>
    <row r="2" spans="1:11" x14ac:dyDescent="0.2">
      <c r="A2" s="3" t="s">
        <v>14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'Total Duration Tables Sup #2'!B5</f>
        <v>5.0772161771000004</v>
      </c>
      <c r="C5" s="4">
        <f ca="1">'Total Duration Tables Sup #2'!C5</f>
        <v>5.273649363470172</v>
      </c>
      <c r="D5" s="4">
        <f ca="1">'Total Duration Tables Sup #2'!D5</f>
        <v>5.5046885859522581</v>
      </c>
      <c r="E5" s="4">
        <f ca="1">'Total Duration Tables Sup #2'!E5</f>
        <v>5.6434634924570144</v>
      </c>
      <c r="F5" s="4">
        <f ca="1">'Total Duration Tables Sup #2'!F5</f>
        <v>5.7240995462563262</v>
      </c>
      <c r="G5" s="4">
        <f ca="1">'Total Duration Tables Sup #2'!G5</f>
        <v>5.7854155648350609</v>
      </c>
      <c r="H5" s="4">
        <f ca="1">'Total Duration Tables Sup #2'!H5</f>
        <v>5.8032594775738175</v>
      </c>
      <c r="I5" s="1">
        <f ca="1">'Total Duration Tables Sup #2'!I5</f>
        <v>5.9410634025755895</v>
      </c>
      <c r="J5" s="1">
        <f ca="1">'Total Duration Tables Sup #2'!J5</f>
        <v>6.0630969054118777</v>
      </c>
      <c r="K5" s="1">
        <f ca="1">'Total Duration Tables Sup #2'!K5</f>
        <v>6.1726415369976122</v>
      </c>
    </row>
    <row r="6" spans="1:11" x14ac:dyDescent="0.2">
      <c r="A6" t="str">
        <f ca="1">OFFSET(Northland_Reference,7,2)</f>
        <v>Cyclist</v>
      </c>
      <c r="B6" s="4">
        <f ca="1">'Total Duration Tables Sup #2'!B6</f>
        <v>0.15772883609999999</v>
      </c>
      <c r="C6" s="4">
        <f ca="1">'Total Duration Tables Sup #2'!C6</f>
        <v>0.1666123526581314</v>
      </c>
      <c r="D6" s="4">
        <f ca="1">'Total Duration Tables Sup #2'!D6</f>
        <v>0.19664809961818533</v>
      </c>
      <c r="E6" s="4">
        <f ca="1">'Total Duration Tables Sup #2'!E6</f>
        <v>0.22001624644866349</v>
      </c>
      <c r="F6" s="4">
        <f ca="1">'Total Duration Tables Sup #2'!F6</f>
        <v>0.24595417061573338</v>
      </c>
      <c r="G6" s="4">
        <f ca="1">'Total Duration Tables Sup #2'!G6</f>
        <v>0.27585388880043665</v>
      </c>
      <c r="H6" s="4">
        <f ca="1">'Total Duration Tables Sup #2'!H6</f>
        <v>0.30639176849954691</v>
      </c>
      <c r="I6" s="1">
        <f ca="1">'Total Duration Tables Sup #2'!I6</f>
        <v>0.31583611243995641</v>
      </c>
      <c r="J6" s="1">
        <f ca="1">'Total Duration Tables Sup #2'!J6</f>
        <v>0.32546093000988219</v>
      </c>
      <c r="K6" s="1">
        <f ca="1">'Total Duration Tables Sup #2'!K6</f>
        <v>0.33462938537197362</v>
      </c>
    </row>
    <row r="7" spans="1:11" x14ac:dyDescent="0.2">
      <c r="A7" t="str">
        <f ca="1">OFFSET(Northland_Reference,14,2)</f>
        <v>Light Vehicle Driver</v>
      </c>
      <c r="B7" s="4">
        <f ca="1">'Total Duration Tables Sup #2'!B7</f>
        <v>23.421840091</v>
      </c>
      <c r="C7" s="4">
        <f ca="1">'Total Duration Tables Sup #2'!C7*(1-'Other Assumptions'!G6)</f>
        <v>25.430913627880148</v>
      </c>
      <c r="D7" s="4">
        <f ca="1">'Total Duration Tables Sup #2'!D7*(1-'Other Assumptions'!H6)</f>
        <v>26.580228650922972</v>
      </c>
      <c r="E7" s="4">
        <f ca="1">'Total Duration Tables Sup #2'!E7*(1-'Other Assumptions'!I6)</f>
        <v>23.556395509593404</v>
      </c>
      <c r="F7" s="4">
        <f ca="1">'Total Duration Tables Sup #2'!F7*(1-'Other Assumptions'!J6)</f>
        <v>19.976063870385456</v>
      </c>
      <c r="G7" s="4">
        <f ca="1">'Total Duration Tables Sup #2'!G7*(1-'Other Assumptions'!K6)</f>
        <v>15.969568912437914</v>
      </c>
      <c r="H7" s="4">
        <f ca="1">'Total Duration Tables Sup #2'!H7*(1-'Other Assumptions'!L6)</f>
        <v>11.702683373709641</v>
      </c>
      <c r="I7" s="1">
        <f ca="1">'Total Duration Tables Sup #2'!I7*(1-'Other Assumptions'!M6)</f>
        <v>11.958067749373461</v>
      </c>
      <c r="J7" s="1">
        <f ca="1">'Total Duration Tables Sup #2'!J7*(1-'Other Assumptions'!N6)</f>
        <v>12.173587781011614</v>
      </c>
      <c r="K7" s="1">
        <f ca="1">'Total Duration Tables Sup #2'!K7*(1-'Other Assumptions'!O6)</f>
        <v>12.362900569882967</v>
      </c>
    </row>
    <row r="8" spans="1:11" x14ac:dyDescent="0.2">
      <c r="A8" t="str">
        <f ca="1">OFFSET(Northland_Reference,21,2)</f>
        <v>Light Vehicle Passenger</v>
      </c>
      <c r="B8" s="4">
        <f ca="1">'Total Duration Tables Sup #2'!B8</f>
        <v>15.174949781</v>
      </c>
      <c r="C8" s="4">
        <f ca="1">'Total Duration Tables Sup #2'!C8*(1-'Other Assumptions'!G6)</f>
        <v>15.720436479553838</v>
      </c>
      <c r="D8" s="4">
        <f ca="1">'Total Duration Tables Sup #2'!D8*(1-'Other Assumptions'!H6)</f>
        <v>16.198475321633541</v>
      </c>
      <c r="E8" s="4">
        <f ca="1">'Total Duration Tables Sup #2'!E8*(1-'Other Assumptions'!I6)</f>
        <v>14.11621131133923</v>
      </c>
      <c r="F8" s="4">
        <f ca="1">'Total Duration Tables Sup #2'!F8*(1-'Other Assumptions'!J6)</f>
        <v>11.800269683201643</v>
      </c>
      <c r="G8" s="4">
        <f ca="1">'Total Duration Tables Sup #2'!G8*(1-'Other Assumptions'!K6)</f>
        <v>9.349265902453082</v>
      </c>
      <c r="H8" s="4">
        <f ca="1">'Total Duration Tables Sup #2'!H8*(1-'Other Assumptions'!L6)</f>
        <v>6.8041183096155438</v>
      </c>
      <c r="I8" s="1">
        <f ca="1">'Total Duration Tables Sup #2'!I8*(1-'Other Assumptions'!M6)</f>
        <v>6.9575853192729555</v>
      </c>
      <c r="J8" s="1">
        <f ca="1">'Total Duration Tables Sup #2'!J8*(1-'Other Assumptions'!N6)</f>
        <v>7.0889166994317492</v>
      </c>
      <c r="K8" s="1">
        <f ca="1">'Total Duration Tables Sup #2'!K8*(1-'Other Assumptions'!O6)</f>
        <v>7.2050526888937414</v>
      </c>
    </row>
    <row r="9" spans="1:11" x14ac:dyDescent="0.2">
      <c r="A9" t="str">
        <f ca="1">OFFSET(Northland_Reference,28,2)</f>
        <v>Taxi/Vehicle Share</v>
      </c>
      <c r="B9" s="4">
        <f ca="1">'Total Duration Tables Sup #2'!B9</f>
        <v>2.5131369800000001E-2</v>
      </c>
      <c r="C9" s="4">
        <f ca="1">'Total Duration Tables Sup #2'!C9+((C7+C8)*'Other Assumptions'!G6/(1-'Other Assumptions'!G6))</f>
        <v>2.8788263417630005E-2</v>
      </c>
      <c r="D9" s="4">
        <f ca="1">'Total Duration Tables Sup #2'!D9+((D7+D8)*'Other Assumptions'!H6/(1-'Other Assumptions'!H6))</f>
        <v>3.2328128896464074E-2</v>
      </c>
      <c r="E9" s="4">
        <f ca="1">'Total Duration Tables Sup #2'!E9+((E7+E8)*'Other Assumptions'!I6/(1-'Other Assumptions'!I6))</f>
        <v>6.6833931746801678</v>
      </c>
      <c r="F9" s="4">
        <f ca="1">'Total Duration Tables Sup #2'!F9+((F7+F8)*'Other Assumptions'!J6/(1-'Other Assumptions'!J6))</f>
        <v>13.656063281697055</v>
      </c>
      <c r="G9" s="4">
        <f ca="1">'Total Duration Tables Sup #2'!G9+((G7+G8)*'Other Assumptions'!K6/(1-'Other Assumptions'!K6))</f>
        <v>20.754588865133101</v>
      </c>
      <c r="H9" s="4">
        <f ca="1">'Total Duration Tables Sup #2'!H9+((H7+H8)*'Other Assumptions'!L6/(1-'Other Assumptions'!L6))</f>
        <v>27.800470185635643</v>
      </c>
      <c r="I9" s="1">
        <f ca="1">'Total Duration Tables Sup #2'!I9+((I7+I8)*'Other Assumptions'!M6/(1-'Other Assumptions'!M6))</f>
        <v>28.414689198156605</v>
      </c>
      <c r="J9" s="1">
        <f ca="1">'Total Duration Tables Sup #2'!J9+((J7+J8)*'Other Assumptions'!N6/(1-'Other Assumptions'!N6))</f>
        <v>28.935806743874963</v>
      </c>
      <c r="K9" s="1">
        <f ca="1">'Total Duration Tables Sup #2'!K9+((K7+K8)*'Other Assumptions'!O6/(1-'Other Assumptions'!O6))</f>
        <v>29.394735464933316</v>
      </c>
    </row>
    <row r="10" spans="1:11" x14ac:dyDescent="0.2">
      <c r="A10" t="str">
        <f ca="1">OFFSET(Northland_Reference,35,2)</f>
        <v>Motorcyclist</v>
      </c>
      <c r="B10" s="4">
        <f ca="1">'Total Duration Tables Sup #2'!B10</f>
        <v>0.28382488960000002</v>
      </c>
      <c r="C10" s="4">
        <f ca="1">'Total Duration Tables Sup #2'!C10</f>
        <v>0.30320137958895643</v>
      </c>
      <c r="D10" s="4">
        <f ca="1">'Total Duration Tables Sup #2'!D10</f>
        <v>0.31728239909020378</v>
      </c>
      <c r="E10" s="4">
        <f ca="1">'Total Duration Tables Sup #2'!E10</f>
        <v>0.32617954558126655</v>
      </c>
      <c r="F10" s="4">
        <f ca="1">'Total Duration Tables Sup #2'!F10</f>
        <v>0.3296289979385848</v>
      </c>
      <c r="G10" s="4">
        <f ca="1">'Total Duration Tables Sup #2'!G10</f>
        <v>0.32624624886085307</v>
      </c>
      <c r="H10" s="4">
        <f ca="1">'Total Duration Tables Sup #2'!H10</f>
        <v>0.3192723869976658</v>
      </c>
      <c r="I10" s="1">
        <f ca="1">'Total Duration Tables Sup #2'!I10</f>
        <v>0.3274726890918519</v>
      </c>
      <c r="J10" s="1">
        <f ca="1">'Total Duration Tables Sup #2'!J10</f>
        <v>0.33482928717178806</v>
      </c>
      <c r="K10" s="1">
        <f ca="1">'Total Duration Tables Sup #2'!K10</f>
        <v>0.34148795334779974</v>
      </c>
    </row>
    <row r="11" spans="1:11" x14ac:dyDescent="0.2">
      <c r="A11" t="str">
        <f ca="1">OFFSET(Auckland_Reference,42,2)</f>
        <v>Local Train</v>
      </c>
      <c r="B11" s="4">
        <f ca="1">'Total Duration Tables Sup #2'!B11</f>
        <v>0</v>
      </c>
      <c r="C11" s="4">
        <f ca="1">'Total Duration Tables Sup #2'!C11</f>
        <v>0</v>
      </c>
      <c r="D11" s="4">
        <f ca="1">'Total Duration Tables Sup #2'!D11</f>
        <v>0</v>
      </c>
      <c r="E11" s="4">
        <f ca="1">'Total Duration Tables Sup #2'!E11</f>
        <v>0</v>
      </c>
      <c r="F11" s="4">
        <f ca="1">'Total Duration Tables Sup #2'!F11</f>
        <v>0</v>
      </c>
      <c r="G11" s="4">
        <f ca="1">'Total Duration Tables Sup #2'!G11</f>
        <v>0</v>
      </c>
      <c r="H11" s="4">
        <f ca="1">'Total Duration Tables Sup #2'!H11</f>
        <v>0</v>
      </c>
      <c r="I11" s="1">
        <f ca="1">'Total Duration Tables Sup #2'!I11</f>
        <v>0</v>
      </c>
      <c r="J11" s="1">
        <f ca="1">'Total Duration Tables Sup #2'!J11</f>
        <v>0</v>
      </c>
      <c r="K11" s="1">
        <f ca="1">'Total Duration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Duration Tables Sup #2'!B12</f>
        <v>1.5691203781</v>
      </c>
      <c r="C12" s="4">
        <f ca="1">'Total Duration Tables Sup #2'!C12</f>
        <v>1.4690492328929226</v>
      </c>
      <c r="D12" s="4">
        <f ca="1">'Total Duration Tables Sup #2'!D12</f>
        <v>1.5059408357350279</v>
      </c>
      <c r="E12" s="4">
        <f ca="1">'Total Duration Tables Sup #2'!E12</f>
        <v>1.5121244565358327</v>
      </c>
      <c r="F12" s="4">
        <f ca="1">'Total Duration Tables Sup #2'!F12</f>
        <v>1.5080646903808728</v>
      </c>
      <c r="G12" s="4">
        <f ca="1">'Total Duration Tables Sup #2'!G12</f>
        <v>1.5126835850945839</v>
      </c>
      <c r="H12" s="4">
        <f ca="1">'Total Duration Tables Sup #2'!H12</f>
        <v>1.5138103442104653</v>
      </c>
      <c r="I12" s="1">
        <f ca="1">'Total Duration Tables Sup #2'!I12</f>
        <v>1.5498325326614992</v>
      </c>
      <c r="J12" s="1">
        <f ca="1">'Total Duration Tables Sup #2'!J12</f>
        <v>1.5812526655977013</v>
      </c>
      <c r="K12" s="1">
        <f ca="1">'Total Duration Tables Sup #2'!K12</f>
        <v>1.6093085240469314</v>
      </c>
    </row>
    <row r="13" spans="1:11" x14ac:dyDescent="0.2">
      <c r="A13" t="str">
        <f ca="1">OFFSET(Northland_Reference,49,2)</f>
        <v>Local Ferry</v>
      </c>
      <c r="B13" s="4">
        <f ca="1">'Total Duration Tables Sup #2'!B13</f>
        <v>1.4305812299999996E-2</v>
      </c>
      <c r="C13" s="4">
        <f ca="1">'Total Duration Tables Sup #2'!C13</f>
        <v>1.6760620737527633E-2</v>
      </c>
      <c r="D13" s="4">
        <f ca="1">'Total Duration Tables Sup #2'!D13</f>
        <v>1.7066978994188246E-2</v>
      </c>
      <c r="E13" s="4">
        <f ca="1">'Total Duration Tables Sup #2'!E13</f>
        <v>1.7598100995375014E-2</v>
      </c>
      <c r="F13" s="4">
        <f ca="1">'Total Duration Tables Sup #2'!F13</f>
        <v>1.7723315463184494E-2</v>
      </c>
      <c r="G13" s="4">
        <f ca="1">'Total Duration Tables Sup #2'!G13</f>
        <v>1.8029477056095342E-2</v>
      </c>
      <c r="H13" s="4">
        <f ca="1">'Total Duration Tables Sup #2'!H13</f>
        <v>1.80252067102658E-2</v>
      </c>
      <c r="I13" s="1">
        <f ca="1">'Total Duration Tables Sup #2'!I13</f>
        <v>1.8160081613864811E-2</v>
      </c>
      <c r="J13" s="1">
        <f ca="1">'Total Duration Tables Sup #2'!J13</f>
        <v>1.8156522473099089E-2</v>
      </c>
      <c r="K13" s="1">
        <f ca="1">'Total Duration Tables Sup #2'!K13</f>
        <v>1.8116410150771492E-2</v>
      </c>
    </row>
    <row r="14" spans="1:11" x14ac:dyDescent="0.2">
      <c r="A14" t="str">
        <f ca="1">OFFSET(Northland_Reference,56,2)</f>
        <v>Other Household Travel</v>
      </c>
      <c r="B14" s="4">
        <f ca="1">'Total Duration Tables Sup #2'!B14</f>
        <v>0</v>
      </c>
      <c r="C14" s="4">
        <f ca="1">'Total Duration Tables Sup #2'!C14</f>
        <v>0</v>
      </c>
      <c r="D14" s="4">
        <f ca="1">'Total Duration Tables Sup #2'!D14</f>
        <v>0</v>
      </c>
      <c r="E14" s="4">
        <f ca="1">'Total Duration Tables Sup #2'!E14</f>
        <v>0</v>
      </c>
      <c r="F14" s="4">
        <f ca="1">'Total Duration Tables Sup #2'!F14</f>
        <v>0</v>
      </c>
      <c r="G14" s="4">
        <f ca="1">'Total Duration Tables Sup #2'!G14</f>
        <v>0</v>
      </c>
      <c r="H14" s="4">
        <f ca="1">'Total Duration Tables Sup #2'!H14</f>
        <v>0</v>
      </c>
      <c r="I14" s="1">
        <f ca="1">'Total Duration Tables Sup #2'!I14</f>
        <v>0</v>
      </c>
      <c r="J14" s="1">
        <f ca="1">'Total Duration Tables Sup #2'!J14</f>
        <v>0</v>
      </c>
      <c r="K14" s="1">
        <f ca="1">'Total Duration Tables Sup #2'!K14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'Total Duration Tables Sup #2'!B16</f>
        <v>73.381071999</v>
      </c>
      <c r="C16" s="4">
        <f ca="1">'Total Duration Tables Sup #2'!C16+'Total Duration Tables Sup #2'!C18*'Other Assumptions'!G66*'Other Assumptions'!G73+'Total Duration Tables Sup #2'!C19*'Other Assumptions'!G66*'Other Assumptions'!G73</f>
        <v>83.649315378534155</v>
      </c>
      <c r="D16" s="4">
        <f ca="1">'Total Duration Tables Sup #2'!D16+'Total Duration Tables Sup #2'!D18*'Other Assumptions'!H66*'Other Assumptions'!H73+'Total Duration Tables Sup #2'!D19*'Other Assumptions'!H66*'Other Assumptions'!H73</f>
        <v>93.888648190748825</v>
      </c>
      <c r="E16" s="4">
        <f ca="1">'Total Duration Tables Sup #2'!E16+'Total Duration Tables Sup #2'!E18*'Other Assumptions'!I66*'Other Assumptions'!I73+'Total Duration Tables Sup #2'!E19*'Other Assumptions'!I66*'Other Assumptions'!I73</f>
        <v>102.71991951280303</v>
      </c>
      <c r="F16" s="4">
        <f ca="1">'Total Duration Tables Sup #2'!F16+'Total Duration Tables Sup #2'!F18*'Other Assumptions'!J66*'Other Assumptions'!J73+'Total Duration Tables Sup #2'!F19*'Other Assumptions'!J66*'Other Assumptions'!J73</f>
        <v>111.19958613718154</v>
      </c>
      <c r="G16" s="4">
        <f ca="1">'Total Duration Tables Sup #2'!G16+'Total Duration Tables Sup #2'!G18*'Other Assumptions'!K66*'Other Assumptions'!K73+'Total Duration Tables Sup #2'!G19*'Other Assumptions'!K66*'Other Assumptions'!K73</f>
        <v>119.73874904146381</v>
      </c>
      <c r="H16" s="4">
        <f ca="1">'Total Duration Tables Sup #2'!H16+'Total Duration Tables Sup #2'!H18*'Other Assumptions'!L66*'Other Assumptions'!L73+'Total Duration Tables Sup #2'!H19*'Other Assumptions'!L66*'Other Assumptions'!L73</f>
        <v>127.80608036766441</v>
      </c>
      <c r="I16" s="1">
        <f ca="1">'Total Duration Tables Sup #2'!I16+'Total Duration Tables Sup #2'!I18*'Other Assumptions'!M66*'Other Assumptions'!M73+'Total Duration Tables Sup #2'!I19*'Other Assumptions'!M66*'Other Assumptions'!M73</f>
        <v>137.01958993212475</v>
      </c>
      <c r="J16" s="1">
        <f ca="1">'Total Duration Tables Sup #2'!J16+'Total Duration Tables Sup #2'!J18*'Other Assumptions'!N66*'Other Assumptions'!N73+'Total Duration Tables Sup #2'!J19*'Other Assumptions'!N66*'Other Assumptions'!N73</f>
        <v>148.45478735578772</v>
      </c>
      <c r="K16" s="1">
        <f ca="1">'Total Duration Tables Sup #2'!K16+'Total Duration Tables Sup #2'!K18*'Other Assumptions'!O66*'Other Assumptions'!O73+'Total Duration Tables Sup #2'!K19*'Other Assumptions'!O66*'Other Assumptions'!O73</f>
        <v>160.56654917473642</v>
      </c>
    </row>
    <row r="17" spans="1:11" x14ac:dyDescent="0.2">
      <c r="A17" t="str">
        <f ca="1">OFFSET(Auckland_Reference,7,2)</f>
        <v>Cyclist</v>
      </c>
      <c r="B17" s="4">
        <f ca="1">'Total Duration Tables Sup #2'!B17</f>
        <v>4.3659429593999999</v>
      </c>
      <c r="C17" s="4">
        <f ca="1">'Total Duration Tables Sup #2'!C17+'Total Duration Tables Sup #2'!C18*'Other Assumptions'!G66*'Other Assumptions'!G72+'Total Duration Tables Sup #2'!C19*'Other Assumptions'!G66*'Other Assumptions'!G72</f>
        <v>5.061905315716416</v>
      </c>
      <c r="D17" s="4">
        <f ca="1">'Total Duration Tables Sup #2'!D17+'Total Duration Tables Sup #2'!D18*'Other Assumptions'!H66*'Other Assumptions'!H72+'Total Duration Tables Sup #2'!D19*'Other Assumptions'!H66*'Other Assumptions'!H72</f>
        <v>6.4508550590859075</v>
      </c>
      <c r="E17" s="4">
        <f ca="1">'Total Duration Tables Sup #2'!E17+'Total Duration Tables Sup #2'!E18*'Other Assumptions'!I66*'Other Assumptions'!I72+'Total Duration Tables Sup #2'!E19*'Other Assumptions'!I66*'Other Assumptions'!I72</f>
        <v>7.7285506585380128</v>
      </c>
      <c r="F17" s="4">
        <f ca="1">'Total Duration Tables Sup #2'!F17+'Total Duration Tables Sup #2'!F18*'Other Assumptions'!J66*'Other Assumptions'!J72+'Total Duration Tables Sup #2'!F19*'Other Assumptions'!J66*'Other Assumptions'!J72</f>
        <v>9.23624831742538</v>
      </c>
      <c r="G17" s="4">
        <f ca="1">'Total Duration Tables Sup #2'!G17+'Total Duration Tables Sup #2'!G18*'Other Assumptions'!K66*'Other Assumptions'!K72+'Total Duration Tables Sup #2'!G19*'Other Assumptions'!K66*'Other Assumptions'!K72</f>
        <v>11.052598898421504</v>
      </c>
      <c r="H17" s="4">
        <f ca="1">'Total Duration Tables Sup #2'!H17+'Total Duration Tables Sup #2'!H18*'Other Assumptions'!L66*'Other Assumptions'!L72+'Total Duration Tables Sup #2'!H19*'Other Assumptions'!L66*'Other Assumptions'!L72</f>
        <v>13.082088902786483</v>
      </c>
      <c r="I17" s="1">
        <f ca="1">'Total Duration Tables Sup #2'!I17+'Total Duration Tables Sup #2'!I18*'Other Assumptions'!M66*'Other Assumptions'!M72+'Total Duration Tables Sup #2'!I19*'Other Assumptions'!M66*'Other Assumptions'!M72</f>
        <v>14.137168619511197</v>
      </c>
      <c r="J17" s="1">
        <f ca="1">'Total Duration Tables Sup #2'!J17+'Total Duration Tables Sup #2'!J18*'Other Assumptions'!N66*'Other Assumptions'!N72+'Total Duration Tables Sup #2'!J19*'Other Assumptions'!N66*'Other Assumptions'!N72</f>
        <v>15.480020620151864</v>
      </c>
      <c r="K17" s="1">
        <f ca="1">'Total Duration Tables Sup #2'!K17+'Total Duration Tables Sup #2'!K18*'Other Assumptions'!O66*'Other Assumptions'!O72+'Total Duration Tables Sup #2'!K19*'Other Assumptions'!O66*'Other Assumptions'!O72</f>
        <v>16.925253844111911</v>
      </c>
    </row>
    <row r="18" spans="1:11" x14ac:dyDescent="0.2">
      <c r="A18" t="str">
        <f ca="1">OFFSET(Auckland_Reference,14,2)</f>
        <v>Light Vehicle Driver</v>
      </c>
      <c r="B18" s="4">
        <f ca="1">'Total Duration Tables Sup #2'!B18</f>
        <v>295.36669345000001</v>
      </c>
      <c r="C18" s="4">
        <f ca="1">'Total Duration Tables Sup #2'!C18*(1-'Other Assumptions'!G7)*(1-'Other Assumptions'!G66)</f>
        <v>350.65839575738056</v>
      </c>
      <c r="D18" s="4">
        <f ca="1">'Total Duration Tables Sup #2'!D18*(1-'Other Assumptions'!H7)*(1-'Other Assumptions'!H66)</f>
        <v>389.78123589881545</v>
      </c>
      <c r="E18" s="4">
        <f ca="1">'Total Duration Tables Sup #2'!E18*(1-'Other Assumptions'!I7)*(1-'Other Assumptions'!I66)</f>
        <v>365.29613389340392</v>
      </c>
      <c r="F18" s="4">
        <f ca="1">'Total Duration Tables Sup #2'!F18*(1-'Other Assumptions'!J7)*(1-'Other Assumptions'!J66)</f>
        <v>329.49241644193859</v>
      </c>
      <c r="G18" s="4">
        <f ca="1">'Total Duration Tables Sup #2'!G18*(1-'Other Assumptions'!K7)*(1-'Other Assumptions'!K66)</f>
        <v>279.69173937195228</v>
      </c>
      <c r="H18" s="4">
        <f ca="1">'Total Duration Tables Sup #2'!H18*(1-'Other Assumptions'!L7)*(1-'Other Assumptions'!L66)</f>
        <v>217.36911136650542</v>
      </c>
      <c r="I18" s="1">
        <f ca="1">'Total Duration Tables Sup #2'!I18*(1-'Other Assumptions'!M7)*(1-'Other Assumptions'!M66)</f>
        <v>232.00214935738015</v>
      </c>
      <c r="J18" s="1">
        <f ca="1">'Total Duration Tables Sup #2'!J18*(1-'Other Assumptions'!N7)*(1-'Other Assumptions'!N66)</f>
        <v>250.19740699478587</v>
      </c>
      <c r="K18" s="1">
        <f ca="1">'Total Duration Tables Sup #2'!K18*(1-'Other Assumptions'!O7)*(1-'Other Assumptions'!O66)</f>
        <v>269.30899970262152</v>
      </c>
    </row>
    <row r="19" spans="1:11" x14ac:dyDescent="0.2">
      <c r="A19" t="str">
        <f ca="1">OFFSET(Auckland_Reference,21,2)</f>
        <v>Light Vehicle Passenger</v>
      </c>
      <c r="B19" s="4">
        <f ca="1">'Total Duration Tables Sup #2'!B19</f>
        <v>145.42645436999999</v>
      </c>
      <c r="C19" s="4">
        <f ca="1">'Total Duration Tables Sup #2'!C19*(1-'Other Assumptions'!G7)*(1-'Other Assumptions'!G66+'Other Assumptions'!G66*'Other Assumptions'!G69)+'Total Duration Tables Sup #2'!C18*(1-'Other Assumptions'!G7)*'Other Assumptions'!G66*'Other Assumptions'!G69</f>
        <v>164.01491280264716</v>
      </c>
      <c r="D19" s="4">
        <f ca="1">'Total Duration Tables Sup #2'!D19*(1-'Other Assumptions'!H7)*(1-'Other Assumptions'!H66+'Other Assumptions'!H66*'Other Assumptions'!H69)+'Total Duration Tables Sup #2'!D18*(1-'Other Assumptions'!H7)*'Other Assumptions'!H66*'Other Assumptions'!H69</f>
        <v>176.39378197037831</v>
      </c>
      <c r="E19" s="4">
        <f ca="1">'Total Duration Tables Sup #2'!E19*(1-'Other Assumptions'!I7)*(1-'Other Assumptions'!I66+'Other Assumptions'!I66*'Other Assumptions'!I69)+'Total Duration Tables Sup #2'!E18*(1-'Other Assumptions'!I7)*'Other Assumptions'!I66*'Other Assumptions'!I69</f>
        <v>159.7790013191231</v>
      </c>
      <c r="F19" s="4">
        <f ca="1">'Total Duration Tables Sup #2'!F19*(1-'Other Assumptions'!J7)*(1-'Other Assumptions'!J66+'Other Assumptions'!J66*'Other Assumptions'!J69)+'Total Duration Tables Sup #2'!F18*(1-'Other Assumptions'!J7)*'Other Assumptions'!J66*'Other Assumptions'!J69</f>
        <v>140.87606516446988</v>
      </c>
      <c r="G19" s="4">
        <f ca="1">'Total Duration Tables Sup #2'!G19*(1-'Other Assumptions'!K7)*(1-'Other Assumptions'!K66+'Other Assumptions'!K66*'Other Assumptions'!K69)+'Total Duration Tables Sup #2'!G18*(1-'Other Assumptions'!K7)*'Other Assumptions'!K66*'Other Assumptions'!K69</f>
        <v>117.56862342320173</v>
      </c>
      <c r="H19" s="4">
        <f ca="1">'Total Duration Tables Sup #2'!H19*(1-'Other Assumptions'!L7)*(1-'Other Assumptions'!L66+'Other Assumptions'!L66*'Other Assumptions'!L69)+'Total Duration Tables Sup #2'!H18*(1-'Other Assumptions'!L7)*'Other Assumptions'!L66*'Other Assumptions'!L69</f>
        <v>90.011763981295701</v>
      </c>
      <c r="I19" s="1">
        <f ca="1">'Total Duration Tables Sup #2'!I19*(1-'Other Assumptions'!M7)*(1-'Other Assumptions'!M66+'Other Assumptions'!M66*'Other Assumptions'!M69)+'Total Duration Tables Sup #2'!I18*(1-'Other Assumptions'!M7)*'Other Assumptions'!M66*'Other Assumptions'!M69</f>
        <v>95.651456610767056</v>
      </c>
      <c r="J19" s="1">
        <f ca="1">'Total Duration Tables Sup #2'!J19*(1-'Other Assumptions'!N7)*(1-'Other Assumptions'!N66+'Other Assumptions'!N66*'Other Assumptions'!N69)+'Total Duration Tables Sup #2'!J18*(1-'Other Assumptions'!N7)*'Other Assumptions'!N66*'Other Assumptions'!N69</f>
        <v>102.79547155575516</v>
      </c>
      <c r="K19" s="1">
        <f ca="1">'Total Duration Tables Sup #2'!K19*(1-'Other Assumptions'!O7)*(1-'Other Assumptions'!O66+'Other Assumptions'!O66*'Other Assumptions'!O69)+'Total Duration Tables Sup #2'!K18*(1-'Other Assumptions'!O7)*'Other Assumptions'!O66*'Other Assumptions'!O69</f>
        <v>110.22524731175064</v>
      </c>
    </row>
    <row r="20" spans="1:11" x14ac:dyDescent="0.2">
      <c r="A20" t="str">
        <f ca="1">OFFSET(Auckland_Reference,28,2)</f>
        <v>Taxi/Vehicle Share</v>
      </c>
      <c r="B20" s="4">
        <f ca="1">'Total Duration Tables Sup #2'!B20</f>
        <v>1.9131795197999999</v>
      </c>
      <c r="C20" s="4">
        <f ca="1">'Total Duration Tables Sup #2'!C20+((C18+C19)*'Other Assumptions'!G7/(1-'Other Assumptions'!G7))</f>
        <v>2.4054420129827396</v>
      </c>
      <c r="D20" s="4">
        <f ca="1">'Total Duration Tables Sup #2'!D20+((D18+D19)*'Other Assumptions'!H7/(1-'Other Assumptions'!H7))</f>
        <v>2.9166257316262651</v>
      </c>
      <c r="E20" s="4">
        <f ca="1">'Total Duration Tables Sup #2'!E20+((E18+E19)*'Other Assumptions'!I7/(1-'Other Assumptions'!I7))</f>
        <v>96.069258557561341</v>
      </c>
      <c r="F20" s="4">
        <f ca="1">'Total Duration Tables Sup #2'!F20+((F18+F19)*'Other Assumptions'!J7/(1-'Other Assumptions'!J7))</f>
        <v>205.47337540842756</v>
      </c>
      <c r="G20" s="4">
        <f ca="1">'Total Duration Tables Sup #2'!G20+((G18+G19)*'Other Assumptions'!K7/(1-'Other Assumptions'!K7))</f>
        <v>329.34844793702166</v>
      </c>
      <c r="H20" s="4">
        <f ca="1">'Total Duration Tables Sup #2'!H20+((H18+H19)*'Other Assumptions'!L7/(1-'Other Assumptions'!L7))</f>
        <v>465.79987413606057</v>
      </c>
      <c r="I20" s="1">
        <f ca="1">'Total Duration Tables Sup #2'!I20+((I18+I19)*'Other Assumptions'!M7/(1-'Other Assumptions'!M7))</f>
        <v>496.55348771068202</v>
      </c>
      <c r="J20" s="1">
        <f ca="1">'Total Duration Tables Sup #2'!J20+((J18+J19)*'Other Assumptions'!N7/(1-'Other Assumptions'!N7))</f>
        <v>534.98993622639568</v>
      </c>
      <c r="K20" s="1">
        <f ca="1">'Total Duration Tables Sup #2'!K20+((K18+K19)*'Other Assumptions'!O7/(1-'Other Assumptions'!O7))</f>
        <v>575.25585369131045</v>
      </c>
    </row>
    <row r="21" spans="1:11" x14ac:dyDescent="0.2">
      <c r="A21" t="str">
        <f ca="1">OFFSET(Auckland_Reference,35,2)</f>
        <v>Motorcyclist</v>
      </c>
      <c r="B21" s="4">
        <f ca="1">'Total Duration Tables Sup #2'!B21</f>
        <v>1.5334409518000001</v>
      </c>
      <c r="C21" s="4">
        <f ca="1">'Total Duration Tables Sup #2'!C21</f>
        <v>1.7979914174092433</v>
      </c>
      <c r="D21" s="4">
        <f ca="1">'Total Duration Tables Sup #2'!D21</f>
        <v>2.031529494197144</v>
      </c>
      <c r="E21" s="4">
        <f ca="1">'Total Duration Tables Sup #2'!E21</f>
        <v>2.2364008620804445</v>
      </c>
      <c r="F21" s="4">
        <f ca="1">'Total Duration Tables Sup #2'!F21</f>
        <v>2.4161085395286981</v>
      </c>
      <c r="G21" s="4">
        <f ca="1">'Total Duration Tables Sup #2'!G21</f>
        <v>2.5514111359611555</v>
      </c>
      <c r="H21" s="4">
        <f ca="1">'Total Duration Tables Sup #2'!H21</f>
        <v>2.6607923477691076</v>
      </c>
      <c r="I21" s="1">
        <f ca="1">'Total Duration Tables Sup #2'!I21</f>
        <v>2.8610494201708923</v>
      </c>
      <c r="J21" s="1">
        <f ca="1">'Total Duration Tables Sup #2'!J21</f>
        <v>3.1084632188084802</v>
      </c>
      <c r="K21" s="1">
        <f ca="1">'Total Duration Tables Sup #2'!K21</f>
        <v>3.3712900888583275</v>
      </c>
    </row>
    <row r="22" spans="1:11" x14ac:dyDescent="0.2">
      <c r="A22" t="str">
        <f ca="1">OFFSET(Auckland_Reference,42,2)</f>
        <v>Local Train</v>
      </c>
      <c r="B22" s="4">
        <f ca="1">'Total Duration Tables Sup #2'!B22</f>
        <v>5.3839181294388831</v>
      </c>
      <c r="C22" s="4">
        <f ca="1">'Total Duration Tables Sup #2'!C22+'Total Duration Tables Sup #2'!C18*'Other Assumptions'!G66*'Other Assumptions'!G71+'Total Duration Tables Sup #2'!C19*'Other Assumptions'!G66*'Other Assumptions'!G71</f>
        <v>11.868922774088624</v>
      </c>
      <c r="D22" s="4">
        <f ca="1">'Total Duration Tables Sup #2'!D22+'Total Duration Tables Sup #2'!D18*'Other Assumptions'!H66*'Other Assumptions'!H71+'Total Duration Tables Sup #2'!D19*'Other Assumptions'!H66*'Other Assumptions'!H71</f>
        <v>23.012264259865574</v>
      </c>
      <c r="E22" s="4">
        <f ca="1">'Total Duration Tables Sup #2'!E22+'Total Duration Tables Sup #2'!E18*'Other Assumptions'!I66*'Other Assumptions'!I71+'Total Duration Tables Sup #2'!E19*'Other Assumptions'!I66*'Other Assumptions'!I71</f>
        <v>34.588258245783379</v>
      </c>
      <c r="F22" s="4">
        <f ca="1">'Total Duration Tables Sup #2'!F22+'Total Duration Tables Sup #2'!F18*'Other Assumptions'!J66*'Other Assumptions'!J71+'Total Duration Tables Sup #2'!F19*'Other Assumptions'!J66*'Other Assumptions'!J71</f>
        <v>40.182019322521889</v>
      </c>
      <c r="G22" s="4">
        <f ca="1">'Total Duration Tables Sup #2'!G22+'Total Duration Tables Sup #2'!G18*'Other Assumptions'!K66*'Other Assumptions'!K71+'Total Duration Tables Sup #2'!G19*'Other Assumptions'!K66*'Other Assumptions'!K71</f>
        <v>45.882477590388369</v>
      </c>
      <c r="H22" s="4">
        <f ca="1">'Total Duration Tables Sup #2'!H22+'Total Duration Tables Sup #2'!H18*'Other Assumptions'!L66*'Other Assumptions'!L71+'Total Duration Tables Sup #2'!H19*'Other Assumptions'!L66*'Other Assumptions'!L71</f>
        <v>51.53814491056432</v>
      </c>
      <c r="I22" s="1">
        <f ca="1">'Total Duration Tables Sup #2'!I22+'Total Duration Tables Sup #2'!I18*'Other Assumptions'!M66*'Other Assumptions'!M71+'Total Duration Tables Sup #2'!I19*'Other Assumptions'!M66*'Other Assumptions'!M71</f>
        <v>58.997049931101287</v>
      </c>
      <c r="J22" s="1">
        <f ca="1">'Total Duration Tables Sup #2'!J22+'Total Duration Tables Sup #2'!J18*'Other Assumptions'!N66*'Other Assumptions'!N71+'Total Duration Tables Sup #2'!J19*'Other Assumptions'!N66*'Other Assumptions'!N71</f>
        <v>68.125210881174439</v>
      </c>
      <c r="K22" s="1">
        <f ca="1">'Total Duration Tables Sup #2'!K22+'Total Duration Tables Sup #2'!K18*'Other Assumptions'!O66*'Other Assumptions'!O71+'Total Duration Tables Sup #2'!K19*'Other Assumptions'!O66*'Other Assumptions'!O71</f>
        <v>78.700619869923258</v>
      </c>
    </row>
    <row r="23" spans="1:11" x14ac:dyDescent="0.2">
      <c r="A23" t="str">
        <f ca="1">OFFSET(Auckland_Reference,49,2)</f>
        <v>Local Bus</v>
      </c>
      <c r="B23" s="4">
        <f ca="1">'Total Duration Tables Sup #2'!B23</f>
        <v>22.597670440041398</v>
      </c>
      <c r="C23" s="4">
        <f ca="1">'Total Duration Tables Sup #2'!C23+'Total Duration Tables Sup #2'!C18*'Other Assumptions'!G66*'Other Assumptions'!G70+'Total Duration Tables Sup #2'!C19*'Other Assumptions'!G66*'Other Assumptions'!G70</f>
        <v>26.484368147755362</v>
      </c>
      <c r="D23" s="4">
        <f ca="1">'Total Duration Tables Sup #2'!D23+'Total Duration Tables Sup #2'!D18*'Other Assumptions'!H66*'Other Assumptions'!H70+'Total Duration Tables Sup #2'!D19*'Other Assumptions'!H66*'Other Assumptions'!H70</f>
        <v>33.917328727724119</v>
      </c>
      <c r="E23" s="4">
        <f ca="1">'Total Duration Tables Sup #2'!E23+'Total Duration Tables Sup #2'!E18*'Other Assumptions'!I66*'Other Assumptions'!I70+'Total Duration Tables Sup #2'!E19*'Other Assumptions'!I66*'Other Assumptions'!I70</f>
        <v>41.309986565012728</v>
      </c>
      <c r="F23" s="4">
        <f ca="1">'Total Duration Tables Sup #2'!F23+'Total Duration Tables Sup #2'!F18*'Other Assumptions'!J66*'Other Assumptions'!J70+'Total Duration Tables Sup #2'!F19*'Other Assumptions'!J66*'Other Assumptions'!J70</f>
        <v>44.932587511796008</v>
      </c>
      <c r="G23" s="4">
        <f ca="1">'Total Duration Tables Sup #2'!G23+'Total Duration Tables Sup #2'!G18*'Other Assumptions'!K66*'Other Assumptions'!K70+'Total Duration Tables Sup #2'!G19*'Other Assumptions'!K66*'Other Assumptions'!K70</f>
        <v>48.520410682631478</v>
      </c>
      <c r="H23" s="4">
        <f ca="1">'Total Duration Tables Sup #2'!H23+'Total Duration Tables Sup #2'!H18*'Other Assumptions'!L66*'Other Assumptions'!L70+'Total Duration Tables Sup #2'!H19*'Other Assumptions'!L66*'Other Assumptions'!L70</f>
        <v>51.694858279282471</v>
      </c>
      <c r="I23" s="1">
        <f ca="1">'Total Duration Tables Sup #2'!I23+'Total Duration Tables Sup #2'!I18*'Other Assumptions'!M66*'Other Assumptions'!M70+'Total Duration Tables Sup #2'!I19*'Other Assumptions'!M66*'Other Assumptions'!M70</f>
        <v>58.060669832477409</v>
      </c>
      <c r="J23" s="1">
        <f ca="1">'Total Duration Tables Sup #2'!J23+'Total Duration Tables Sup #2'!J18*'Other Assumptions'!N66*'Other Assumptions'!N70+'Total Duration Tables Sup #2'!J19*'Other Assumptions'!N66*'Other Assumptions'!N70</f>
        <v>65.874967861576621</v>
      </c>
      <c r="K23" s="1">
        <f ca="1">'Total Duration Tables Sup #2'!K23+'Total Duration Tables Sup #2'!K18*'Other Assumptions'!O66*'Other Assumptions'!O70+'Total Duration Tables Sup #2'!K19*'Other Assumptions'!O66*'Other Assumptions'!O70</f>
        <v>74.774156117825484</v>
      </c>
    </row>
    <row r="24" spans="1:11" x14ac:dyDescent="0.2">
      <c r="A24" t="str">
        <f ca="1">OFFSET(Auckland_Reference,56,2)</f>
        <v>Local Ferry</v>
      </c>
      <c r="B24" s="4">
        <f ca="1">'Total Duration Tables Sup #2'!B24</f>
        <v>1.3948644118033415</v>
      </c>
      <c r="C24" s="4">
        <f ca="1">'Total Duration Tables Sup #2'!C24</f>
        <v>1.7936984460321812</v>
      </c>
      <c r="D24" s="4">
        <f ca="1">'Total Duration Tables Sup #2'!D24</f>
        <v>1.9721352548659885</v>
      </c>
      <c r="E24" s="4">
        <f ca="1">'Total Duration Tables Sup #2'!E24</f>
        <v>2.1775173553913039</v>
      </c>
      <c r="F24" s="4">
        <f ca="1">'Total Duration Tables Sup #2'!F24</f>
        <v>2.3444387419926906</v>
      </c>
      <c r="G24" s="4">
        <f ca="1">'Total Duration Tables Sup #2'!G24</f>
        <v>2.5446083135759112</v>
      </c>
      <c r="H24" s="4">
        <f ca="1">'Total Duration Tables Sup #2'!H24</f>
        <v>2.7110202977820137</v>
      </c>
      <c r="I24" s="1">
        <f ca="1">'Total Duration Tables Sup #2'!I24</f>
        <v>2.8633270837544149</v>
      </c>
      <c r="J24" s="1">
        <f ca="1">'Total Duration Tables Sup #2'!J24</f>
        <v>3.0419905310476381</v>
      </c>
      <c r="K24" s="1">
        <f ca="1">'Total Duration Tables Sup #2'!K24</f>
        <v>3.2277193977145324</v>
      </c>
    </row>
    <row r="25" spans="1:11" x14ac:dyDescent="0.2">
      <c r="A25" t="str">
        <f ca="1">OFFSET(Auckland_Reference,63,2)</f>
        <v>Other Household Travel</v>
      </c>
      <c r="B25" s="4">
        <f ca="1">'Total Duration Tables Sup #2'!B25</f>
        <v>2.4325058500000001</v>
      </c>
      <c r="C25" s="4">
        <f ca="1">'Total Duration Tables Sup #2'!C25</f>
        <v>2.9377985446262764</v>
      </c>
      <c r="D25" s="4">
        <f ca="1">'Total Duration Tables Sup #2'!D25</f>
        <v>3.295017052514333</v>
      </c>
      <c r="E25" s="4">
        <f ca="1">'Total Duration Tables Sup #2'!E25</f>
        <v>3.6216940033326459</v>
      </c>
      <c r="F25" s="4">
        <f ca="1">'Total Duration Tables Sup #2'!F25</f>
        <v>3.9012354890237968</v>
      </c>
      <c r="G25" s="4">
        <f ca="1">'Total Duration Tables Sup #2'!G25</f>
        <v>4.1822633746275235</v>
      </c>
      <c r="H25" s="4">
        <f ca="1">'Total Duration Tables Sup #2'!H25</f>
        <v>4.4139886896476241</v>
      </c>
      <c r="I25" s="1">
        <f ca="1">'Total Duration Tables Sup #2'!I25</f>
        <v>4.7138244942066976</v>
      </c>
      <c r="J25" s="1">
        <f ca="1">'Total Duration Tables Sup #2'!J25</f>
        <v>5.0806356664602985</v>
      </c>
      <c r="K25" s="1">
        <f ca="1">'Total Duration Tables Sup #2'!K25</f>
        <v>5.4672814178871416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'Total Duration Tables Sup #2'!B27</f>
        <v>13.69170819</v>
      </c>
      <c r="C27" s="4">
        <f ca="1">'Total Duration Tables Sup #2'!C27</f>
        <v>15.609287934665877</v>
      </c>
      <c r="D27" s="4">
        <f ca="1">'Total Duration Tables Sup #2'!D27</f>
        <v>17.592408695342037</v>
      </c>
      <c r="E27" s="4">
        <f ca="1">'Total Duration Tables Sup #2'!E27</f>
        <v>19.313191522612712</v>
      </c>
      <c r="F27" s="4">
        <f ca="1">'Total Duration Tables Sup #2'!F27</f>
        <v>20.94178071174721</v>
      </c>
      <c r="G27" s="4">
        <f ca="1">'Total Duration Tables Sup #2'!G27</f>
        <v>22.583168719474422</v>
      </c>
      <c r="H27" s="4">
        <f ca="1">'Total Duration Tables Sup #2'!H27</f>
        <v>24.139985933398076</v>
      </c>
      <c r="I27" s="1">
        <f ca="1">'Total Duration Tables Sup #2'!I27</f>
        <v>25.907759709145871</v>
      </c>
      <c r="J27" s="1">
        <f ca="1">'Total Duration Tables Sup #2'!J27</f>
        <v>28.095204905230705</v>
      </c>
      <c r="K27" s="1">
        <f ca="1">'Total Duration Tables Sup #2'!K27</f>
        <v>30.416356708538352</v>
      </c>
    </row>
    <row r="28" spans="1:11" x14ac:dyDescent="0.2">
      <c r="A28" t="str">
        <f ca="1">OFFSET(Waikato_Reference,7,2)</f>
        <v>Cyclist</v>
      </c>
      <c r="B28" s="4">
        <f ca="1">'Total Duration Tables Sup #2'!B28</f>
        <v>1.7805943500000001</v>
      </c>
      <c r="C28" s="4">
        <f ca="1">'Total Duration Tables Sup #2'!C28</f>
        <v>2.0644337521620484</v>
      </c>
      <c r="D28" s="4">
        <f ca="1">'Total Duration Tables Sup #2'!D28</f>
        <v>2.6308992530804445</v>
      </c>
      <c r="E28" s="4">
        <f ca="1">'Total Duration Tables Sup #2'!E28</f>
        <v>3.1519911653112307</v>
      </c>
      <c r="F28" s="4">
        <f ca="1">'Total Duration Tables Sup #2'!F28</f>
        <v>3.7668864944274878</v>
      </c>
      <c r="G28" s="4">
        <f ca="1">'Total Duration Tables Sup #2'!G28</f>
        <v>4.5076619952108006</v>
      </c>
      <c r="H28" s="4">
        <f ca="1">'Total Duration Tables Sup #2'!H28</f>
        <v>5.3353637010641393</v>
      </c>
      <c r="I28" s="1">
        <f ca="1">'Total Duration Tables Sup #2'!I28</f>
        <v>5.7656645547101553</v>
      </c>
      <c r="J28" s="1">
        <f ca="1">'Total Duration Tables Sup #2'!J28</f>
        <v>6.3133296771046012</v>
      </c>
      <c r="K28" s="1">
        <f ca="1">'Total Duration Tables Sup #2'!K28</f>
        <v>6.9027496802851278</v>
      </c>
    </row>
    <row r="29" spans="1:11" x14ac:dyDescent="0.2">
      <c r="A29" t="str">
        <f ca="1">OFFSET(Waikato_Reference,14,2)</f>
        <v>Light Vehicle Driver</v>
      </c>
      <c r="B29" s="4">
        <f ca="1">'Total Duration Tables Sup #2'!B29</f>
        <v>82.274552721999996</v>
      </c>
      <c r="C29" s="4">
        <f ca="1">'Total Duration Tables Sup #2'!C29*(1-'Other Assumptions'!G8)</f>
        <v>98.049716634550222</v>
      </c>
      <c r="D29" s="4">
        <f ca="1">'Total Duration Tables Sup #2'!D29*(1-'Other Assumptions'!H8)</f>
        <v>110.63806345356952</v>
      </c>
      <c r="E29" s="4">
        <f ca="1">'Total Duration Tables Sup #2'!E29*(1-'Other Assumptions'!I8)</f>
        <v>104.98063799358515</v>
      </c>
      <c r="F29" s="4">
        <f ca="1">'Total Duration Tables Sup #2'!F29*(1-'Other Assumptions'!J8)</f>
        <v>95.156217243914824</v>
      </c>
      <c r="G29" s="4">
        <f ca="1">'Total Duration Tables Sup #2'!G29*(1-'Other Assumptions'!K8)</f>
        <v>81.147623763300388</v>
      </c>
      <c r="H29" s="4">
        <f ca="1">'Total Duration Tables Sup #2'!H29*(1-'Other Assumptions'!L8)</f>
        <v>63.354670293639948</v>
      </c>
      <c r="I29" s="1">
        <f ca="1">'Total Duration Tables Sup #2'!I29*(1-'Other Assumptions'!M8)</f>
        <v>67.86538207047515</v>
      </c>
      <c r="J29" s="1">
        <f ca="1">'Total Duration Tables Sup #2'!J29*(1-'Other Assumptions'!N8)</f>
        <v>73.412272466554768</v>
      </c>
      <c r="K29" s="1">
        <f ca="1">'Total Duration Tables Sup #2'!K29*(1-'Other Assumptions'!O8)</f>
        <v>79.279220316132964</v>
      </c>
    </row>
    <row r="30" spans="1:11" x14ac:dyDescent="0.2">
      <c r="A30" t="str">
        <f ca="1">OFFSET(Waikato_Reference,21,2)</f>
        <v>Light Vehicle Passenger</v>
      </c>
      <c r="B30" s="4">
        <f ca="1">'Total Duration Tables Sup #2'!B30</f>
        <v>42.037273755000001</v>
      </c>
      <c r="C30" s="4">
        <f ca="1">'Total Duration Tables Sup #2'!C30*(1-'Other Assumptions'!G8)</f>
        <v>47.798222015603237</v>
      </c>
      <c r="D30" s="4">
        <f ca="1">'Total Duration Tables Sup #2'!D30*(1-'Other Assumptions'!H8)</f>
        <v>53.136452513335506</v>
      </c>
      <c r="E30" s="4">
        <f ca="1">'Total Duration Tables Sup #2'!E30*(1-'Other Assumptions'!I8)</f>
        <v>49.545205352250619</v>
      </c>
      <c r="F30" s="4">
        <f ca="1">'Total Duration Tables Sup #2'!F30*(1-'Other Assumptions'!J8)</f>
        <v>44.238819279632942</v>
      </c>
      <c r="G30" s="4">
        <f ca="1">'Total Duration Tables Sup #2'!G30*(1-'Other Assumptions'!K8)</f>
        <v>37.361573184965614</v>
      </c>
      <c r="H30" s="4">
        <f ca="1">'Total Duration Tables Sup #2'!H30*(1-'Other Assumptions'!L8)</f>
        <v>28.946270436283317</v>
      </c>
      <c r="I30" s="1">
        <f ca="1">'Total Duration Tables Sup #2'!I30*(1-'Other Assumptions'!M8)</f>
        <v>31.028713551718756</v>
      </c>
      <c r="J30" s="1">
        <f ca="1">'Total Duration Tables Sup #2'!J30*(1-'Other Assumptions'!N8)</f>
        <v>33.591868620569251</v>
      </c>
      <c r="K30" s="1">
        <f ca="1">'Total Duration Tables Sup #2'!K30*(1-'Other Assumptions'!O8)</f>
        <v>36.304982294578664</v>
      </c>
    </row>
    <row r="31" spans="1:11" x14ac:dyDescent="0.2">
      <c r="A31" t="str">
        <f ca="1">OFFSET(Waikato_Reference,28,2)</f>
        <v>Taxi/Vehicle Share</v>
      </c>
      <c r="B31" s="4">
        <f ca="1">'Total Duration Tables Sup #2'!B31</f>
        <v>0.1633822556</v>
      </c>
      <c r="C31" s="4">
        <f ca="1">'Total Duration Tables Sup #2'!C31+((C29+C30)*'Other Assumptions'!G8/(1-'Other Assumptions'!G8))</f>
        <v>0.20542062975732076</v>
      </c>
      <c r="D31" s="4">
        <f ca="1">'Total Duration Tables Sup #2'!D31+((D29+D30)*'Other Assumptions'!H8/(1-'Other Assumptions'!H8))</f>
        <v>0.2490748441755819</v>
      </c>
      <c r="E31" s="4">
        <f ca="1">'Total Duration Tables Sup #2'!E31+((E29+E30)*'Other Assumptions'!I8/(1-'Other Assumptions'!I8))</f>
        <v>27.560384162075493</v>
      </c>
      <c r="F31" s="4">
        <f ca="1">'Total Duration Tables Sup #2'!F31+((F29+F30)*'Other Assumptions'!J8/(1-'Other Assumptions'!J8))</f>
        <v>60.072663117348256</v>
      </c>
      <c r="G31" s="4">
        <f ca="1">'Total Duration Tables Sup #2'!G31+((G29+G30)*'Other Assumptions'!K8/(1-'Other Assumptions'!K8))</f>
        <v>97.330755307190032</v>
      </c>
      <c r="H31" s="4">
        <f ca="1">'Total Duration Tables Sup #2'!H31+((H29+H30)*'Other Assumptions'!L8/(1-'Other Assumptions'!L8))</f>
        <v>138.85522211868633</v>
      </c>
      <c r="I31" s="1">
        <f ca="1">'Total Duration Tables Sup #2'!I31+((I29+I30)*'Other Assumptions'!M8/(1-'Other Assumptions'!M8))</f>
        <v>148.77437567407944</v>
      </c>
      <c r="J31" s="1">
        <f ca="1">'Total Duration Tables Sup #2'!J31+((J29+J30)*'Other Assumptions'!N8/(1-'Other Assumptions'!N8))</f>
        <v>160.9759550249579</v>
      </c>
      <c r="K31" s="1">
        <f ca="1">'Total Duration Tables Sup #2'!K31+((K29+K30)*'Other Assumptions'!O8/(1-'Other Assumptions'!O8))</f>
        <v>173.88480658460324</v>
      </c>
    </row>
    <row r="32" spans="1:11" x14ac:dyDescent="0.2">
      <c r="A32" t="str">
        <f ca="1">OFFSET(Waikato_Reference,35,2)</f>
        <v>Motorcyclist</v>
      </c>
      <c r="B32" s="4">
        <f ca="1">'Total Duration Tables Sup #2'!B32</f>
        <v>0.60639269429999998</v>
      </c>
      <c r="C32" s="4">
        <f ca="1">'Total Duration Tables Sup #2'!C32</f>
        <v>0.71100804934891837</v>
      </c>
      <c r="D32" s="4">
        <f ca="1">'Total Duration Tables Sup #2'!D32</f>
        <v>0.80335968730329954</v>
      </c>
      <c r="E32" s="4">
        <f ca="1">'Total Duration Tables Sup #2'!E32</f>
        <v>0.88437519729724723</v>
      </c>
      <c r="F32" s="4">
        <f ca="1">'Total Duration Tables Sup #2'!F32</f>
        <v>0.95543983306709879</v>
      </c>
      <c r="G32" s="4">
        <f ca="1">'Total Duration Tables Sup #2'!G32</f>
        <v>1.008944668646294</v>
      </c>
      <c r="H32" s="4">
        <f ca="1">'Total Duration Tables Sup #2'!H32</f>
        <v>1.0521990030607784</v>
      </c>
      <c r="I32" s="1">
        <f ca="1">'Total Duration Tables Sup #2'!I32</f>
        <v>1.1313898095563304</v>
      </c>
      <c r="J32" s="1">
        <f ca="1">'Total Duration Tables Sup #2'!J32</f>
        <v>1.2292285426270331</v>
      </c>
      <c r="K32" s="1">
        <f ca="1">'Total Duration Tables Sup #2'!K32</f>
        <v>1.3331623091518428</v>
      </c>
    </row>
    <row r="33" spans="1:11" x14ac:dyDescent="0.2">
      <c r="A33" t="str">
        <f ca="1">OFFSET(Waikato_Reference,42,2)</f>
        <v>Local Train</v>
      </c>
      <c r="B33" s="4">
        <f ca="1">'Total Duration Tables Sup #2'!B33</f>
        <v>0</v>
      </c>
      <c r="C33" s="4">
        <f ca="1">'Total Duration Tables Sup #2'!C33</f>
        <v>0</v>
      </c>
      <c r="D33" s="4">
        <f ca="1">'Total Duration Tables Sup #2'!D33</f>
        <v>0</v>
      </c>
      <c r="E33" s="4">
        <f ca="1">'Total Duration Tables Sup #2'!E33</f>
        <v>0</v>
      </c>
      <c r="F33" s="4">
        <f ca="1">'Total Duration Tables Sup #2'!F33</f>
        <v>0</v>
      </c>
      <c r="G33" s="4">
        <f ca="1">'Total Duration Tables Sup #2'!G33</f>
        <v>0</v>
      </c>
      <c r="H33" s="4">
        <f ca="1">'Total Duration Tables Sup #2'!H33</f>
        <v>0</v>
      </c>
      <c r="I33" s="1">
        <f ca="1">'Total Duration Tables Sup #2'!I33</f>
        <v>0</v>
      </c>
      <c r="J33" s="1">
        <f ca="1">'Total Duration Tables Sup #2'!J33</f>
        <v>0</v>
      </c>
      <c r="K33" s="1">
        <f ca="1">'Total Duration Tables Sup #2'!K33</f>
        <v>0</v>
      </c>
    </row>
    <row r="34" spans="1:11" x14ac:dyDescent="0.2">
      <c r="A34" t="str">
        <f ca="1">OFFSET(Waikato_Reference,49,2)</f>
        <v>Local Bus</v>
      </c>
      <c r="B34" s="4">
        <f ca="1">'Total Duration Tables Sup #2'!B34</f>
        <v>2.2088814398999999</v>
      </c>
      <c r="C34" s="4">
        <f ca="1">'Total Duration Tables Sup #2'!C34</f>
        <v>2.2698248994428072</v>
      </c>
      <c r="D34" s="4">
        <f ca="1">'Total Duration Tables Sup #2'!D34</f>
        <v>2.5123759354681732</v>
      </c>
      <c r="E34" s="4">
        <f ca="1">'Total Duration Tables Sup #2'!E34</f>
        <v>2.7013448489492817</v>
      </c>
      <c r="F34" s="4">
        <f ca="1">'Total Duration Tables Sup #2'!F34</f>
        <v>2.8801198836651705</v>
      </c>
      <c r="G34" s="4">
        <f ca="1">'Total Duration Tables Sup #2'!G34</f>
        <v>3.0823544470159714</v>
      </c>
      <c r="H34" s="4">
        <f ca="1">'Total Duration Tables Sup #2'!H34</f>
        <v>3.2871585804300536</v>
      </c>
      <c r="I34" s="1">
        <f ca="1">'Total Duration Tables Sup #2'!I34</f>
        <v>3.5280490162314453</v>
      </c>
      <c r="J34" s="1">
        <f ca="1">'Total Duration Tables Sup #2'!J34</f>
        <v>3.8249268074164853</v>
      </c>
      <c r="K34" s="1">
        <f ca="1">'Total Duration Tables Sup #2'!K34</f>
        <v>4.139611754851793</v>
      </c>
    </row>
    <row r="35" spans="1:11" x14ac:dyDescent="0.2">
      <c r="A35" t="str">
        <f ca="1">OFFSET(Waikato_Reference,56,2)</f>
        <v>Local Ferry</v>
      </c>
      <c r="B35" s="4">
        <f ca="1">'Total Duration Tables Sup #2'!B35</f>
        <v>9.334266179999999E-2</v>
      </c>
      <c r="C35" s="4">
        <f ca="1">'Total Duration Tables Sup #2'!C35</f>
        <v>0.12003215940014444</v>
      </c>
      <c r="D35" s="4">
        <f ca="1">'Total Duration Tables Sup #2'!D35</f>
        <v>0.1319729376999593</v>
      </c>
      <c r="E35" s="4">
        <f ca="1">'Total Duration Tables Sup #2'!E35</f>
        <v>0.14571686276312953</v>
      </c>
      <c r="F35" s="4">
        <f ca="1">'Total Duration Tables Sup #2'!F35</f>
        <v>0.15688704274971088</v>
      </c>
      <c r="G35" s="4">
        <f ca="1">'Total Duration Tables Sup #2'!G35</f>
        <v>0.1702821515967331</v>
      </c>
      <c r="H35" s="4">
        <f ca="1">'Total Duration Tables Sup #2'!H35</f>
        <v>0.18141824298294534</v>
      </c>
      <c r="I35" s="1">
        <f ca="1">'Total Duration Tables Sup #2'!I35</f>
        <v>0.19161043133656949</v>
      </c>
      <c r="J35" s="1">
        <f ca="1">'Total Duration Tables Sup #2'!J35</f>
        <v>0.20356637601161701</v>
      </c>
      <c r="K35" s="1">
        <f ca="1">'Total Duration Tables Sup #2'!K35</f>
        <v>0.21599513011924526</v>
      </c>
    </row>
    <row r="36" spans="1:11" x14ac:dyDescent="0.2">
      <c r="A36" t="str">
        <f ca="1">OFFSET(Waikato_Reference,63,2)</f>
        <v>Other Household Travel</v>
      </c>
      <c r="B36" s="4">
        <f ca="1">'Total Duration Tables Sup #2'!B36</f>
        <v>0.63404452519999999</v>
      </c>
      <c r="C36" s="4">
        <f ca="1">'Total Duration Tables Sup #2'!C36</f>
        <v>0.7657515328733201</v>
      </c>
      <c r="D36" s="4">
        <f ca="1">'Total Duration Tables Sup #2'!D36</f>
        <v>0.85886228088099104</v>
      </c>
      <c r="E36" s="4">
        <f ca="1">'Total Duration Tables Sup #2'!E36</f>
        <v>0.94401222293575793</v>
      </c>
      <c r="F36" s="4">
        <f ca="1">'Total Duration Tables Sup #2'!F36</f>
        <v>1.0168760758916502</v>
      </c>
      <c r="G36" s="4">
        <f ca="1">'Total Duration Tables Sup #2'!G36</f>
        <v>1.0901273662413011</v>
      </c>
      <c r="H36" s="4">
        <f ca="1">'Total Duration Tables Sup #2'!H36</f>
        <v>1.1505277008751273</v>
      </c>
      <c r="I36" s="1">
        <f ca="1">'Total Duration Tables Sup #2'!I36</f>
        <v>1.2286813671200072</v>
      </c>
      <c r="J36" s="1">
        <f ca="1">'Total Duration Tables Sup #2'!J36</f>
        <v>1.3242924899255661</v>
      </c>
      <c r="K36" s="1">
        <f ca="1">'Total Duration Tables Sup #2'!K36</f>
        <v>1.4250735926242624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'Total Duration Tables Sup #2'!B38</f>
        <v>9.1706746114000008</v>
      </c>
      <c r="C38" s="4">
        <f ca="1">'Total Duration Tables Sup #2'!C38</f>
        <v>10.455065107874807</v>
      </c>
      <c r="D38" s="4">
        <f ca="1">'Total Duration Tables Sup #2'!D38</f>
        <v>11.783354825921526</v>
      </c>
      <c r="E38" s="4">
        <f ca="1">'Total Duration Tables Sup #2'!E38</f>
        <v>12.935931200380782</v>
      </c>
      <c r="F38" s="4">
        <f ca="1">'Total Duration Tables Sup #2'!F38</f>
        <v>14.026756488353584</v>
      </c>
      <c r="G38" s="4">
        <f ca="1">'Total Duration Tables Sup #2'!G38</f>
        <v>15.12615439554199</v>
      </c>
      <c r="H38" s="4">
        <f ca="1">'Total Duration Tables Sup #2'!H38</f>
        <v>16.168906979821255</v>
      </c>
      <c r="I38" s="1">
        <f ca="1">'Total Duration Tables Sup #2'!I38</f>
        <v>17.352957783342589</v>
      </c>
      <c r="J38" s="1">
        <f ca="1">'Total Duration Tables Sup #2'!J38</f>
        <v>18.818103537633164</v>
      </c>
      <c r="K38" s="1">
        <f ca="1">'Total Duration Tables Sup #2'!K38</f>
        <v>20.372805669493225</v>
      </c>
    </row>
    <row r="39" spans="1:11" x14ac:dyDescent="0.2">
      <c r="A39" t="str">
        <f ca="1">OFFSET(BOP_Reference,7,2)</f>
        <v>Cyclist</v>
      </c>
      <c r="B39" s="4">
        <f ca="1">'Total Duration Tables Sup #2'!B39</f>
        <v>0.91801276549999999</v>
      </c>
      <c r="C39" s="4">
        <f ca="1">'Total Duration Tables Sup #2'!C39</f>
        <v>1.0643505288073183</v>
      </c>
      <c r="D39" s="4">
        <f ca="1">'Total Duration Tables Sup #2'!D39</f>
        <v>1.3564005182158769</v>
      </c>
      <c r="E39" s="4">
        <f ca="1">'Total Duration Tables Sup #2'!E39</f>
        <v>1.6250574570782672</v>
      </c>
      <c r="F39" s="4">
        <f ca="1">'Total Duration Tables Sup #2'!F39</f>
        <v>1.9420761882536455</v>
      </c>
      <c r="G39" s="4">
        <f ca="1">'Total Duration Tables Sup #2'!G39</f>
        <v>2.3239943753402983</v>
      </c>
      <c r="H39" s="4">
        <f ca="1">'Total Duration Tables Sup #2'!H39</f>
        <v>2.7507287025605844</v>
      </c>
      <c r="I39" s="1">
        <f ca="1">'Total Duration Tables Sup #2'!I39</f>
        <v>2.9725769166990768</v>
      </c>
      <c r="J39" s="1">
        <f ca="1">'Total Duration Tables Sup #2'!J39</f>
        <v>3.2549340822023929</v>
      </c>
      <c r="K39" s="1">
        <f ca="1">'Total Duration Tables Sup #2'!K39</f>
        <v>3.5588186178130865</v>
      </c>
    </row>
    <row r="40" spans="1:11" x14ac:dyDescent="0.2">
      <c r="A40" t="str">
        <f ca="1">OFFSET(BOP_Reference,14,2)</f>
        <v>Light Vehicle Driver</v>
      </c>
      <c r="B40" s="4">
        <f ca="1">'Total Duration Tables Sup #2'!B40</f>
        <v>45.59682093</v>
      </c>
      <c r="C40" s="4">
        <f ca="1">'Total Duration Tables Sup #2'!C40*(1-'Other Assumptions'!G9)</f>
        <v>54.339467353036852</v>
      </c>
      <c r="D40" s="4">
        <f ca="1">'Total Duration Tables Sup #2'!D40*(1-'Other Assumptions'!H9)</f>
        <v>61.308311247101862</v>
      </c>
      <c r="E40" s="4">
        <f ca="1">'Total Duration Tables Sup #2'!E40*(1-'Other Assumptions'!I9)</f>
        <v>58.166673071431994</v>
      </c>
      <c r="F40" s="4">
        <f ca="1">'Total Duration Tables Sup #2'!F40*(1-'Other Assumptions'!J9)</f>
        <v>52.717779295210185</v>
      </c>
      <c r="G40" s="4">
        <f ca="1">'Total Duration Tables Sup #2'!G40*(1-'Other Assumptions'!K9)</f>
        <v>44.95252721448194</v>
      </c>
      <c r="H40" s="4">
        <f ca="1">'Total Duration Tables Sup #2'!H40*(1-'Other Assumptions'!L9)</f>
        <v>35.092865266086626</v>
      </c>
      <c r="I40" s="1">
        <f ca="1">'Total Duration Tables Sup #2'!I40*(1-'Other Assumptions'!M9)</f>
        <v>37.591412711938069</v>
      </c>
      <c r="J40" s="1">
        <f ca="1">'Total Duration Tables Sup #2'!J40*(1-'Other Assumptions'!N9)</f>
        <v>40.663923812323986</v>
      </c>
      <c r="K40" s="1">
        <f ca="1">'Total Duration Tables Sup #2'!K40*(1-'Other Assumptions'!O9)</f>
        <v>43.913725050194053</v>
      </c>
    </row>
    <row r="41" spans="1:11" x14ac:dyDescent="0.2">
      <c r="A41" t="str">
        <f ca="1">OFFSET(BOP_Reference,21,2)</f>
        <v>Light Vehicle Passenger</v>
      </c>
      <c r="B41" s="4">
        <f ca="1">'Total Duration Tables Sup #2'!B41</f>
        <v>28.895615969000001</v>
      </c>
      <c r="C41" s="4">
        <f ca="1">'Total Duration Tables Sup #2'!C41*(1-'Other Assumptions'!G9)</f>
        <v>32.855581344629769</v>
      </c>
      <c r="D41" s="4">
        <f ca="1">'Total Duration Tables Sup #2'!D41*(1-'Other Assumptions'!H9)</f>
        <v>36.536768347245207</v>
      </c>
      <c r="E41" s="4">
        <f ca="1">'Total Duration Tables Sup #2'!E41*(1-'Other Assumptions'!I9)</f>
        <v>34.078379938996441</v>
      </c>
      <c r="F41" s="4">
        <f ca="1">'Total Duration Tables Sup #2'!F41*(1-'Other Assumptions'!J9)</f>
        <v>30.43870093453144</v>
      </c>
      <c r="G41" s="4">
        <f ca="1">'Total Duration Tables Sup #2'!G41*(1-'Other Assumptions'!K9)</f>
        <v>25.716099647032703</v>
      </c>
      <c r="H41" s="4">
        <f ca="1">'Total Duration Tables Sup #2'!H41*(1-'Other Assumptions'!L9)</f>
        <v>19.931526586383555</v>
      </c>
      <c r="I41" s="1">
        <f ca="1">'Total Duration Tables Sup #2'!I41*(1-'Other Assumptions'!M9)</f>
        <v>21.365705039878637</v>
      </c>
      <c r="J41" s="1">
        <f ca="1">'Total Duration Tables Sup #2'!J41*(1-'Other Assumptions'!N9)</f>
        <v>23.131054922741555</v>
      </c>
      <c r="K41" s="1">
        <f ca="1">'Total Duration Tables Sup #2'!K41*(1-'Other Assumptions'!O9)</f>
        <v>24.999743985891428</v>
      </c>
    </row>
    <row r="42" spans="1:11" x14ac:dyDescent="0.2">
      <c r="A42" t="str">
        <f ca="1">OFFSET(BOP_Reference,28,2)</f>
        <v>Taxi/Vehicle Share</v>
      </c>
      <c r="B42" s="4">
        <f ca="1">'Total Duration Tables Sup #2'!B42</f>
        <v>7.3048454499999999E-2</v>
      </c>
      <c r="C42" s="4">
        <f ca="1">'Total Duration Tables Sup #2'!C42+((C40+C41)*'Other Assumptions'!G9/(1-'Other Assumptions'!G9))</f>
        <v>9.1843875401785013E-2</v>
      </c>
      <c r="D42" s="4">
        <f ca="1">'Total Duration Tables Sup #2'!D42+((D40+D41)*'Other Assumptions'!H9/(1-'Other Assumptions'!H9))</f>
        <v>0.11136174093715095</v>
      </c>
      <c r="E42" s="4">
        <f ca="1">'Total Duration Tables Sup #2'!E42+((E40+E41)*'Other Assumptions'!I9/(1-'Other Assumptions'!I9))</f>
        <v>16.408697927352787</v>
      </c>
      <c r="F42" s="4">
        <f ca="1">'Total Duration Tables Sup #2'!F42+((F40+F41)*'Other Assumptions'!J9/(1-'Other Assumptions'!J9))</f>
        <v>35.78689935511089</v>
      </c>
      <c r="G42" s="4">
        <f ca="1">'Total Duration Tables Sup #2'!G42+((G40+G41)*'Other Assumptions'!K9/(1-'Other Assumptions'!K9))</f>
        <v>57.984625271479281</v>
      </c>
      <c r="H42" s="4">
        <f ca="1">'Total Duration Tables Sup #2'!H42+((H40+H41)*'Other Assumptions'!L9/(1-'Other Assumptions'!L9))</f>
        <v>82.717132300449279</v>
      </c>
      <c r="I42" s="1">
        <f ca="1">'Total Duration Tables Sup #2'!I42+((I40+I41)*'Other Assumptions'!M9/(1-'Other Assumptions'!M9))</f>
        <v>88.629375420246674</v>
      </c>
      <c r="J42" s="1">
        <f ca="1">'Total Duration Tables Sup #2'!J42+((J40+J41)*'Other Assumptions'!N9/(1-'Other Assumptions'!N9))</f>
        <v>95.902491087267791</v>
      </c>
      <c r="K42" s="1">
        <f ca="1">'Total Duration Tables Sup #2'!K42+((K40+K41)*'Other Assumptions'!O9/(1-'Other Assumptions'!O9))</f>
        <v>103.59755586915932</v>
      </c>
    </row>
    <row r="43" spans="1:11" x14ac:dyDescent="0.2">
      <c r="A43" t="str">
        <f ca="1">OFFSET(BOP_Reference,35,2)</f>
        <v>Motorcyclist</v>
      </c>
      <c r="B43" s="4">
        <f ca="1">'Total Duration Tables Sup #2'!B43</f>
        <v>0.60409197079999999</v>
      </c>
      <c r="C43" s="4">
        <f ca="1">'Total Duration Tables Sup #2'!C43</f>
        <v>0.70831040318133953</v>
      </c>
      <c r="D43" s="4">
        <f ca="1">'Total Duration Tables Sup #2'!D43</f>
        <v>0.80031164841875313</v>
      </c>
      <c r="E43" s="4">
        <f ca="1">'Total Duration Tables Sup #2'!E43</f>
        <v>0.88101977626667594</v>
      </c>
      <c r="F43" s="4">
        <f ca="1">'Total Duration Tables Sup #2'!F43</f>
        <v>0.95181478464973424</v>
      </c>
      <c r="G43" s="4">
        <f ca="1">'Total Duration Tables Sup #2'!G43</f>
        <v>1.0051166167400392</v>
      </c>
      <c r="H43" s="4">
        <f ca="1">'Total Duration Tables Sup #2'!H43</f>
        <v>1.0482068392438759</v>
      </c>
      <c r="I43" s="1">
        <f ca="1">'Total Duration Tables Sup #2'!I43</f>
        <v>1.127097186727964</v>
      </c>
      <c r="J43" s="1">
        <f ca="1">'Total Duration Tables Sup #2'!J43</f>
        <v>1.2245647084128735</v>
      </c>
      <c r="K43" s="1">
        <f ca="1">'Total Duration Tables Sup #2'!K43</f>
        <v>1.3281041382952157</v>
      </c>
    </row>
    <row r="44" spans="1:11" x14ac:dyDescent="0.2">
      <c r="A44" t="str">
        <f ca="1">OFFSET(Auckland_Reference,42,2)</f>
        <v>Local Train</v>
      </c>
      <c r="B44" s="4">
        <f ca="1">'Total Duration Tables Sup #2'!B44</f>
        <v>0</v>
      </c>
      <c r="C44" s="4">
        <f ca="1">'Total Duration Tables Sup #2'!C44</f>
        <v>0</v>
      </c>
      <c r="D44" s="4">
        <f ca="1">'Total Duration Tables Sup #2'!D44</f>
        <v>0</v>
      </c>
      <c r="E44" s="4">
        <f ca="1">'Total Duration Tables Sup #2'!E44</f>
        <v>0</v>
      </c>
      <c r="F44" s="4">
        <f ca="1">'Total Duration Tables Sup #2'!F44</f>
        <v>0</v>
      </c>
      <c r="G44" s="4">
        <f ca="1">'Total Duration Tables Sup #2'!G44</f>
        <v>0</v>
      </c>
      <c r="H44" s="4">
        <f ca="1">'Total Duration Tables Sup #2'!H44</f>
        <v>0</v>
      </c>
      <c r="I44" s="1">
        <f ca="1">'Total Duration Tables Sup #2'!I44</f>
        <v>0</v>
      </c>
      <c r="J44" s="1">
        <f ca="1">'Total Duration Tables Sup #2'!J44</f>
        <v>0</v>
      </c>
      <c r="K44" s="1">
        <f ca="1">'Total Duration Tables Sup #2'!K44</f>
        <v>0</v>
      </c>
    </row>
    <row r="45" spans="1:11" x14ac:dyDescent="0.2">
      <c r="A45" t="str">
        <f ca="1">OFFSET(BOP_Reference,42,2)</f>
        <v>Local Bus</v>
      </c>
      <c r="B45" s="4">
        <f ca="1">'Total Duration Tables Sup #2'!B45</f>
        <v>2.9412276716000001</v>
      </c>
      <c r="C45" s="4">
        <f ca="1">'Total Duration Tables Sup #2'!C45</f>
        <v>3.0223767031290323</v>
      </c>
      <c r="D45" s="4">
        <f ca="1">'Total Duration Tables Sup #2'!D45</f>
        <v>3.3453446117033168</v>
      </c>
      <c r="E45" s="4">
        <f ca="1">'Total Duration Tables Sup #2'!E45</f>
        <v>3.5969654490027514</v>
      </c>
      <c r="F45" s="4">
        <f ca="1">'Total Duration Tables Sup #2'!F45</f>
        <v>3.8350126658427053</v>
      </c>
      <c r="G45" s="4">
        <f ca="1">'Total Duration Tables Sup #2'!G45</f>
        <v>4.1042973287208762</v>
      </c>
      <c r="H45" s="4">
        <f ca="1">'Total Duration Tables Sup #2'!H45</f>
        <v>4.3770034928338895</v>
      </c>
      <c r="I45" s="1">
        <f ca="1">'Total Duration Tables Sup #2'!I45</f>
        <v>4.6977602355022103</v>
      </c>
      <c r="J45" s="1">
        <f ca="1">'Total Duration Tables Sup #2'!J45</f>
        <v>5.0930667280754189</v>
      </c>
      <c r="K45" s="1">
        <f ca="1">'Total Duration Tables Sup #2'!K45</f>
        <v>5.5120842717578995</v>
      </c>
    </row>
    <row r="46" spans="1:11" x14ac:dyDescent="0.2">
      <c r="A46" t="str">
        <f ca="1">OFFSET(Waikato_Reference,56,2)</f>
        <v>Local Ferry</v>
      </c>
      <c r="B46" s="4">
        <f ca="1">'Total Duration Tables Sup #2'!B46</f>
        <v>0</v>
      </c>
      <c r="C46" s="4">
        <f ca="1">'Total Duration Tables Sup #2'!C46</f>
        <v>0</v>
      </c>
      <c r="D46" s="4">
        <f ca="1">'Total Duration Tables Sup #2'!D46</f>
        <v>0</v>
      </c>
      <c r="E46" s="4">
        <f ca="1">'Total Duration Tables Sup #2'!E46</f>
        <v>0</v>
      </c>
      <c r="F46" s="4">
        <f ca="1">'Total Duration Tables Sup #2'!F46</f>
        <v>0</v>
      </c>
      <c r="G46" s="4">
        <f ca="1">'Total Duration Tables Sup #2'!G46</f>
        <v>0</v>
      </c>
      <c r="H46" s="4">
        <f ca="1">'Total Duration Tables Sup #2'!H46</f>
        <v>0</v>
      </c>
      <c r="I46" s="1">
        <f ca="1">'Total Duration Tables Sup #2'!I46</f>
        <v>0</v>
      </c>
      <c r="J46" s="1">
        <f ca="1">'Total Duration Tables Sup #2'!J46</f>
        <v>0</v>
      </c>
      <c r="K46" s="1">
        <f ca="1">'Total Duration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Duration Tables Sup #2'!B47</f>
        <v>0.21279540499999999</v>
      </c>
      <c r="C47" s="4">
        <f ca="1">'Total Duration Tables Sup #2'!C47</f>
        <v>0.25699836697706568</v>
      </c>
      <c r="D47" s="4">
        <f ca="1">'Total Duration Tables Sup #2'!D47</f>
        <v>0.28824781168427349</v>
      </c>
      <c r="E47" s="4">
        <f ca="1">'Total Duration Tables Sup #2'!E47</f>
        <v>0.31682548357498991</v>
      </c>
      <c r="F47" s="4">
        <f ca="1">'Total Duration Tables Sup #2'!F47</f>
        <v>0.34127974898279978</v>
      </c>
      <c r="G47" s="4">
        <f ca="1">'Total Duration Tables Sup #2'!G47</f>
        <v>0.36586404452862076</v>
      </c>
      <c r="H47" s="4">
        <f ca="1">'Total Duration Tables Sup #2'!H47</f>
        <v>0.38613535539040339</v>
      </c>
      <c r="I47" s="1">
        <f ca="1">'Total Duration Tables Sup #2'!I47</f>
        <v>0.41236496608780376</v>
      </c>
      <c r="J47" s="1">
        <f ca="1">'Total Duration Tables Sup #2'!J47</f>
        <v>0.44445357625835274</v>
      </c>
      <c r="K47" s="1">
        <f ca="1">'Total Duration Tables Sup #2'!K47</f>
        <v>0.47827731372907833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'Total Duration Tables Sup #2'!B49</f>
        <v>2.2694063563000002</v>
      </c>
      <c r="C49" s="4">
        <f ca="1">'Total Duration Tables Sup #2'!C49</f>
        <v>2.2749716371625386</v>
      </c>
      <c r="D49" s="4">
        <f ca="1">'Total Duration Tables Sup #2'!D49</f>
        <v>2.3236975059772926</v>
      </c>
      <c r="E49" s="4">
        <f ca="1">'Total Duration Tables Sup #2'!E49</f>
        <v>2.3434537614480746</v>
      </c>
      <c r="F49" s="4">
        <f ca="1">'Total Duration Tables Sup #2'!F49</f>
        <v>2.3427545072081517</v>
      </c>
      <c r="G49" s="4">
        <f ca="1">'Total Duration Tables Sup #2'!G49</f>
        <v>2.3316500035628103</v>
      </c>
      <c r="H49" s="4">
        <f ca="1">'Total Duration Tables Sup #2'!H49</f>
        <v>2.3059534079121371</v>
      </c>
      <c r="I49" s="1">
        <f ca="1">'Total Duration Tables Sup #2'!I49</f>
        <v>2.3275148676679365</v>
      </c>
      <c r="J49" s="1">
        <f ca="1">'Total Duration Tables Sup #2'!J49</f>
        <v>2.341922527409614</v>
      </c>
      <c r="K49" s="1">
        <f ca="1">'Total Duration Tables Sup #2'!K49</f>
        <v>2.3507086724466264</v>
      </c>
    </row>
    <row r="50" spans="1:11" x14ac:dyDescent="0.2">
      <c r="A50" t="str">
        <f ca="1">OFFSET(Gisborne_Reference,7,2)</f>
        <v>Cyclist</v>
      </c>
      <c r="B50" s="4">
        <f ca="1">'Total Duration Tables Sup #2'!B50</f>
        <v>0.28046850410000002</v>
      </c>
      <c r="C50" s="4">
        <f ca="1">'Total Duration Tables Sup #2'!C50</f>
        <v>0.2859290756731464</v>
      </c>
      <c r="D50" s="4">
        <f ca="1">'Total Duration Tables Sup #2'!D50</f>
        <v>0.3302349075487665</v>
      </c>
      <c r="E50" s="4">
        <f ca="1">'Total Duration Tables Sup #2'!E50</f>
        <v>0.36345597091270387</v>
      </c>
      <c r="F50" s="4">
        <f ca="1">'Total Duration Tables Sup #2'!F50</f>
        <v>0.4004609591656097</v>
      </c>
      <c r="G50" s="4">
        <f ca="1">'Total Duration Tables Sup #2'!G50</f>
        <v>0.44227694315190103</v>
      </c>
      <c r="H50" s="4">
        <f ca="1">'Total Duration Tables Sup #2'!H50</f>
        <v>0.48433072405856303</v>
      </c>
      <c r="I50" s="1">
        <f ca="1">'Total Duration Tables Sup #2'!I50</f>
        <v>0.49223948739764195</v>
      </c>
      <c r="J50" s="1">
        <f ca="1">'Total Duration Tables Sup #2'!J50</f>
        <v>0.50010738010755207</v>
      </c>
      <c r="K50" s="1">
        <f ca="1">'Total Duration Tables Sup #2'!K50</f>
        <v>0.50696527859276452</v>
      </c>
    </row>
    <row r="51" spans="1:11" x14ac:dyDescent="0.2">
      <c r="A51" t="str">
        <f ca="1">OFFSET(Gisborne_Reference,14,2)</f>
        <v>Light Vehicle Driver</v>
      </c>
      <c r="B51" s="4">
        <f ca="1">'Total Duration Tables Sup #2'!B51</f>
        <v>6.0182660548999998</v>
      </c>
      <c r="C51" s="4">
        <f ca="1">'Total Duration Tables Sup #2'!C51*(1-'Other Assumptions'!G10)</f>
        <v>6.306529887287982</v>
      </c>
      <c r="D51" s="4">
        <f ca="1">'Total Duration Tables Sup #2'!D51*(1-'Other Assumptions'!H10)</f>
        <v>6.4388790980967086</v>
      </c>
      <c r="E51" s="4">
        <f ca="1">'Total Duration Tables Sup #2'!E51*(1-'Other Assumptions'!I10)</f>
        <v>5.6040415221120847</v>
      </c>
      <c r="F51" s="4">
        <f ca="1">'Total Duration Tables Sup #2'!F51*(1-'Other Assumptions'!J10)</f>
        <v>4.6762490146099704</v>
      </c>
      <c r="G51" s="4">
        <f ca="1">'Total Duration Tables Sup #2'!G51*(1-'Other Assumptions'!K10)</f>
        <v>3.6749032451156913</v>
      </c>
      <c r="H51" s="4">
        <f ca="1">'Total Duration Tables Sup #2'!H51*(1-'Other Assumptions'!L10)</f>
        <v>2.6504535309095196</v>
      </c>
      <c r="I51" s="1">
        <f ca="1">'Total Duration Tables Sup #2'!I51*(1-'Other Assumptions'!M10)</f>
        <v>2.6700709465118964</v>
      </c>
      <c r="J51" s="1">
        <f ca="1">'Total Duration Tables Sup #2'!J51*(1-'Other Assumptions'!N10)</f>
        <v>2.6797765164282712</v>
      </c>
      <c r="K51" s="1">
        <f ca="1">'Total Duration Tables Sup #2'!K51*(1-'Other Assumptions'!O10)</f>
        <v>2.6829819039818141</v>
      </c>
    </row>
    <row r="52" spans="1:11" x14ac:dyDescent="0.2">
      <c r="A52" t="str">
        <f ca="1">OFFSET(Gisborne_Reference,21,2)</f>
        <v>Light Vehicle Passenger</v>
      </c>
      <c r="B52" s="4">
        <f ca="1">'Total Duration Tables Sup #2'!B52</f>
        <v>4.5909579553000004</v>
      </c>
      <c r="C52" s="4">
        <f ca="1">'Total Duration Tables Sup #2'!C52*(1-'Other Assumptions'!G10)</f>
        <v>4.5900643792055931</v>
      </c>
      <c r="D52" s="4">
        <f ca="1">'Total Duration Tables Sup #2'!D52*(1-'Other Assumptions'!H10)</f>
        <v>4.6182725297593032</v>
      </c>
      <c r="E52" s="4">
        <f ca="1">'Total Duration Tables Sup #2'!E52*(1-'Other Assumptions'!I10)</f>
        <v>3.9506403485255439</v>
      </c>
      <c r="F52" s="4">
        <f ca="1">'Total Duration Tables Sup #2'!F52*(1-'Other Assumptions'!J10)</f>
        <v>3.2479748558210702</v>
      </c>
      <c r="G52" s="4">
        <f ca="1">'Total Duration Tables Sup #2'!G52*(1-'Other Assumptions'!K10)</f>
        <v>2.5282329764071214</v>
      </c>
      <c r="H52" s="4">
        <f ca="1">'Total Duration Tables Sup #2'!H52*(1-'Other Assumptions'!L10)</f>
        <v>1.8097806441198139</v>
      </c>
      <c r="I52" s="1">
        <f ca="1">'Total Duration Tables Sup #2'!I52*(1-'Other Assumptions'!M10)</f>
        <v>1.8244605078713463</v>
      </c>
      <c r="J52" s="1">
        <f ca="1">'Total Duration Tables Sup #2'!J52*(1-'Other Assumptions'!N10)</f>
        <v>1.8325928196857788</v>
      </c>
      <c r="K52" s="1">
        <f ca="1">'Total Duration Tables Sup #2'!K52*(1-'Other Assumptions'!O10)</f>
        <v>1.836251988789849</v>
      </c>
    </row>
    <row r="53" spans="1:11" x14ac:dyDescent="0.2">
      <c r="A53" t="str">
        <f ca="1">OFFSET(Gisborne_Reference,28,2)</f>
        <v>Taxi/Vehicle Share</v>
      </c>
      <c r="B53" s="4">
        <f ca="1">'Total Duration Tables Sup #2'!B53</f>
        <v>5.0534828E-3</v>
      </c>
      <c r="C53" s="4">
        <f ca="1">'Total Duration Tables Sup #2'!C53+((C51+C52)*'Other Assumptions'!G10/(1-'Other Assumptions'!G10))</f>
        <v>5.5868655874435008E-3</v>
      </c>
      <c r="D53" s="4">
        <f ca="1">'Total Duration Tables Sup #2'!D53+((D51+D52)*'Other Assumptions'!H10/(1-'Other Assumptions'!H10))</f>
        <v>6.1392515053126616E-3</v>
      </c>
      <c r="E53" s="4">
        <f ca="1">'Total Duration Tables Sup #2'!E53+((E51+E52)*'Other Assumptions'!I10/(1-'Other Assumptions'!I10))</f>
        <v>1.6927121025933722</v>
      </c>
      <c r="F53" s="4">
        <f ca="1">'Total Duration Tables Sup #2'!F53+((F51+F52)*'Other Assumptions'!J10/(1-'Other Assumptions'!J10))</f>
        <v>3.4030253361664142</v>
      </c>
      <c r="G53" s="4">
        <f ca="1">'Total Duration Tables Sup #2'!G53+((G51+G52)*'Other Assumptions'!K10/(1-'Other Assumptions'!K10))</f>
        <v>5.0823966564755327</v>
      </c>
      <c r="H53" s="4">
        <f ca="1">'Total Duration Tables Sup #2'!H53+((H51+H52)*'Other Assumptions'!L10/(1-'Other Assumptions'!L10))</f>
        <v>6.6975494467790977</v>
      </c>
      <c r="I53" s="1">
        <f ca="1">'Total Duration Tables Sup #2'!I53+((I51+I52)*'Other Assumptions'!M10/(1-'Other Assumptions'!M10))</f>
        <v>6.7490601581659133</v>
      </c>
      <c r="J53" s="1">
        <f ca="1">'Total Duration Tables Sup #2'!J53+((J51+J52)*'Other Assumptions'!N10/(1-'Other Assumptions'!N10))</f>
        <v>6.7758608891986221</v>
      </c>
      <c r="K53" s="1">
        <f ca="1">'Total Duration Tables Sup #2'!K53+((K51+K52)*'Other Assumptions'!O10/(1-'Other Assumptions'!O10))</f>
        <v>6.7861844206973432</v>
      </c>
    </row>
    <row r="54" spans="1:11" x14ac:dyDescent="0.2">
      <c r="A54" t="str">
        <f ca="1">OFFSET(Gisborne_Reference,35,2)</f>
        <v>Motorcyclist</v>
      </c>
      <c r="B54" s="4">
        <f ca="1">'Total Duration Tables Sup #2'!B54</f>
        <v>4.6418087199999999E-2</v>
      </c>
      <c r="C54" s="4">
        <f ca="1">'Total Duration Tables Sup #2'!C54</f>
        <v>4.7857064875940228E-2</v>
      </c>
      <c r="D54" s="4">
        <f ca="1">'Total Duration Tables Sup #2'!D54</f>
        <v>4.9005290542431613E-2</v>
      </c>
      <c r="E54" s="4">
        <f ca="1">'Total Duration Tables Sup #2'!E54</f>
        <v>4.9558430388200174E-2</v>
      </c>
      <c r="F54" s="4">
        <f ca="1">'Total Duration Tables Sup #2'!F54</f>
        <v>4.9362274765788056E-2</v>
      </c>
      <c r="G54" s="4">
        <f ca="1">'Total Duration Tables Sup #2'!G54</f>
        <v>4.8108794917294348E-2</v>
      </c>
      <c r="H54" s="4">
        <f ca="1">'Total Duration Tables Sup #2'!H54</f>
        <v>4.6418387383575857E-2</v>
      </c>
      <c r="I54" s="1">
        <f ca="1">'Total Duration Tables Sup #2'!I54</f>
        <v>4.694112712560676E-2</v>
      </c>
      <c r="J54" s="1">
        <f ca="1">'Total Duration Tables Sup #2'!J54</f>
        <v>4.7320748289544308E-2</v>
      </c>
      <c r="K54" s="1">
        <f ca="1">'Total Duration Tables Sup #2'!K54</f>
        <v>4.7583161180881385E-2</v>
      </c>
    </row>
    <row r="55" spans="1:11" x14ac:dyDescent="0.2">
      <c r="A55" t="str">
        <f ca="1">OFFSET(Gisborne_Reference,42,2)</f>
        <v>Local Train</v>
      </c>
      <c r="B55" s="4">
        <f ca="1">'Total Duration Tables Sup #2'!B55</f>
        <v>0</v>
      </c>
      <c r="C55" s="4">
        <f ca="1">'Total Duration Tables Sup #2'!C55</f>
        <v>0</v>
      </c>
      <c r="D55" s="4">
        <f ca="1">'Total Duration Tables Sup #2'!D55</f>
        <v>0</v>
      </c>
      <c r="E55" s="4">
        <f ca="1">'Total Duration Tables Sup #2'!E55</f>
        <v>0</v>
      </c>
      <c r="F55" s="4">
        <f ca="1">'Total Duration Tables Sup #2'!F55</f>
        <v>0</v>
      </c>
      <c r="G55" s="4">
        <f ca="1">'Total Duration Tables Sup #2'!G55</f>
        <v>0</v>
      </c>
      <c r="H55" s="4">
        <f ca="1">'Total Duration Tables Sup #2'!H55</f>
        <v>0</v>
      </c>
      <c r="I55" s="1">
        <f ca="1">'Total Duration Tables Sup #2'!I55</f>
        <v>0</v>
      </c>
      <c r="J55" s="1">
        <f ca="1">'Total Duration Tables Sup #2'!J55</f>
        <v>0</v>
      </c>
      <c r="K55" s="1">
        <f ca="1">'Total Duration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Duration Tables Sup #2'!B56</f>
        <v>0.17812381360000001</v>
      </c>
      <c r="C56" s="4">
        <f ca="1">'Total Duration Tables Sup #2'!C56</f>
        <v>0.16094600337907702</v>
      </c>
      <c r="D56" s="4">
        <f ca="1">'Total Duration Tables Sup #2'!D56</f>
        <v>0.16144844159646696</v>
      </c>
      <c r="E56" s="4">
        <f ca="1">'Total Duration Tables Sup #2'!E56</f>
        <v>0.15946938408348851</v>
      </c>
      <c r="F56" s="4">
        <f ca="1">'Total Duration Tables Sup #2'!F56</f>
        <v>0.15675401959478927</v>
      </c>
      <c r="G56" s="4">
        <f ca="1">'Total Duration Tables Sup #2'!G56</f>
        <v>0.15483031782451062</v>
      </c>
      <c r="H56" s="4">
        <f ca="1">'Total Duration Tables Sup #2'!H56</f>
        <v>0.15276684785069461</v>
      </c>
      <c r="I56" s="1">
        <f ca="1">'Total Duration Tables Sup #2'!I56</f>
        <v>0.15420276460488425</v>
      </c>
      <c r="J56" s="1">
        <f ca="1">'Total Duration Tables Sup #2'!J56</f>
        <v>0.15511664240493322</v>
      </c>
      <c r="K56" s="1">
        <f ca="1">'Total Duration Tables Sup #2'!K56</f>
        <v>0.15564894256181813</v>
      </c>
    </row>
    <row r="57" spans="1:11" x14ac:dyDescent="0.2">
      <c r="A57" t="str">
        <f ca="1">OFFSET(Gisborne_Reference,56,2)</f>
        <v>Local Ferry</v>
      </c>
      <c r="B57" s="4">
        <f ca="1">'Total Duration Tables Sup #2'!B57</f>
        <v>6.5213138999999981E-3</v>
      </c>
      <c r="C57" s="4">
        <f ca="1">'Total Duration Tables Sup #2'!C57</f>
        <v>7.3737906855403075E-3</v>
      </c>
      <c r="D57" s="4">
        <f ca="1">'Total Duration Tables Sup #2'!D57</f>
        <v>7.3474977514578297E-3</v>
      </c>
      <c r="E57" s="4">
        <f ca="1">'Total Duration Tables Sup #2'!E57</f>
        <v>7.4526795118351257E-3</v>
      </c>
      <c r="F57" s="4">
        <f ca="1">'Total Duration Tables Sup #2'!F57</f>
        <v>7.3977651972381023E-3</v>
      </c>
      <c r="G57" s="4">
        <f ca="1">'Total Duration Tables Sup #2'!G57</f>
        <v>7.4105066593247466E-3</v>
      </c>
      <c r="H57" s="4">
        <f ca="1">'Total Duration Tables Sup #2'!H57</f>
        <v>7.3045718191981574E-3</v>
      </c>
      <c r="I57" s="1">
        <f ca="1">'Total Duration Tables Sup #2'!I57</f>
        <v>7.2557455397775361E-3</v>
      </c>
      <c r="J57" s="1">
        <f ca="1">'Total Duration Tables Sup #2'!J57</f>
        <v>7.1523153917488541E-3</v>
      </c>
      <c r="K57" s="1">
        <f ca="1">'Total Duration Tables Sup #2'!K57</f>
        <v>7.0361626132697799E-3</v>
      </c>
    </row>
    <row r="58" spans="1:11" x14ac:dyDescent="0.2">
      <c r="A58" t="str">
        <f ca="1">OFFSET(Gisborne_Reference,63,2)</f>
        <v>Other Household Travel</v>
      </c>
      <c r="B58" s="4">
        <f ca="1">'Total Duration Tables Sup #2'!B58</f>
        <v>5.2226492000000003E-3</v>
      </c>
      <c r="C58" s="4">
        <f ca="1">'Total Duration Tables Sup #2'!C58</f>
        <v>5.5462218301998746E-3</v>
      </c>
      <c r="D58" s="4">
        <f ca="1">'Total Duration Tables Sup #2'!D58</f>
        <v>5.6376003121422135E-3</v>
      </c>
      <c r="E58" s="4">
        <f ca="1">'Total Duration Tables Sup #2'!E58</f>
        <v>5.6924133109619969E-3</v>
      </c>
      <c r="F58" s="4">
        <f ca="1">'Total Duration Tables Sup #2'!F58</f>
        <v>5.6532432206590939E-3</v>
      </c>
      <c r="G58" s="4">
        <f ca="1">'Total Duration Tables Sup #2'!G58</f>
        <v>5.5933524982488235E-3</v>
      </c>
      <c r="H58" s="4">
        <f ca="1">'Total Duration Tables Sup #2'!H58</f>
        <v>5.4616901868708495E-3</v>
      </c>
      <c r="I58" s="1">
        <f ca="1">'Total Duration Tables Sup #2'!I58</f>
        <v>5.4855268117506633E-3</v>
      </c>
      <c r="J58" s="1">
        <f ca="1">'Total Duration Tables Sup #2'!J58</f>
        <v>5.485809255304154E-3</v>
      </c>
      <c r="K58" s="1">
        <f ca="1">'Total Duration Tables Sup #2'!K58</f>
        <v>5.4732511329816892E-3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'Total Duration Tables Sup #2'!B60</f>
        <v>5.9462513095</v>
      </c>
      <c r="C60" s="4">
        <f ca="1">'Total Duration Tables Sup #2'!C60</f>
        <v>5.9994935823451314</v>
      </c>
      <c r="D60" s="4">
        <f ca="1">'Total Duration Tables Sup #2'!D60</f>
        <v>6.1373354420008255</v>
      </c>
      <c r="E60" s="4">
        <f ca="1">'Total Duration Tables Sup #2'!E60</f>
        <v>6.2065681374125461</v>
      </c>
      <c r="F60" s="4">
        <f ca="1">'Total Duration Tables Sup #2'!F60</f>
        <v>6.2149025245956659</v>
      </c>
      <c r="G60" s="4">
        <f ca="1">'Total Duration Tables Sup #2'!G60</f>
        <v>6.2050062746564567</v>
      </c>
      <c r="H60" s="4">
        <f ca="1">'Total Duration Tables Sup #2'!H60</f>
        <v>6.1519048953787454</v>
      </c>
      <c r="I60" s="1">
        <f ca="1">'Total Duration Tables Sup #2'!I60</f>
        <v>6.2248912550560203</v>
      </c>
      <c r="J60" s="1">
        <f ca="1">'Total Duration Tables Sup #2'!J60</f>
        <v>6.2790226490905949</v>
      </c>
      <c r="K60" s="1">
        <f ca="1">'Total Duration Tables Sup #2'!K60</f>
        <v>6.3182754485361876</v>
      </c>
    </row>
    <row r="61" spans="1:11" x14ac:dyDescent="0.2">
      <c r="A61" t="str">
        <f ca="1">OFFSET(Hawkes_Bay_Reference,7,2)</f>
        <v>Cyclist</v>
      </c>
      <c r="B61" s="4">
        <f ca="1">'Total Duration Tables Sup #2'!B61</f>
        <v>0.88401106659999995</v>
      </c>
      <c r="C61" s="4">
        <f ca="1">'Total Duration Tables Sup #2'!C61</f>
        <v>0.90706735555661344</v>
      </c>
      <c r="D61" s="4">
        <f ca="1">'Total Duration Tables Sup #2'!D61</f>
        <v>1.0492183027803725</v>
      </c>
      <c r="E61" s="4">
        <f ca="1">'Total Duration Tables Sup #2'!E61</f>
        <v>1.1579493334586055</v>
      </c>
      <c r="F61" s="4">
        <f ca="1">'Total Duration Tables Sup #2'!F61</f>
        <v>1.2779396151553482</v>
      </c>
      <c r="G61" s="4">
        <f ca="1">'Total Duration Tables Sup #2'!G61</f>
        <v>1.4158452049779462</v>
      </c>
      <c r="H61" s="4">
        <f ca="1">'Total Duration Tables Sup #2'!H61</f>
        <v>1.5543317389020888</v>
      </c>
      <c r="I61" s="1">
        <f ca="1">'Total Duration Tables Sup #2'!I61</f>
        <v>1.5836469382382263</v>
      </c>
      <c r="J61" s="1">
        <f ca="1">'Total Duration Tables Sup #2'!J61</f>
        <v>1.6129666927394508</v>
      </c>
      <c r="K61" s="1">
        <f ca="1">'Total Duration Tables Sup #2'!K61</f>
        <v>1.6391570739861963</v>
      </c>
    </row>
    <row r="62" spans="1:11" x14ac:dyDescent="0.2">
      <c r="A62" t="str">
        <f ca="1">OFFSET(Hawkes_Bay_Reference,14,2)</f>
        <v>Light Vehicle Driver</v>
      </c>
      <c r="B62" s="4">
        <f ca="1">'Total Duration Tables Sup #2'!B62</f>
        <v>25.377986313000001</v>
      </c>
      <c r="C62" s="4">
        <f ca="1">'Total Duration Tables Sup #2'!C62*(1-'Other Assumptions'!G11)</f>
        <v>26.766023037093095</v>
      </c>
      <c r="D62" s="4">
        <f ca="1">'Total Duration Tables Sup #2'!D62*(1-'Other Assumptions'!H11)</f>
        <v>27.395792280346541</v>
      </c>
      <c r="E62" s="4">
        <f ca="1">'Total Duration Tables Sup #2'!E62*(1-'Other Assumptions'!I11)</f>
        <v>23.93119829773455</v>
      </c>
      <c r="F62" s="4">
        <f ca="1">'Total Duration Tables Sup #2'!F62*(1-'Other Assumptions'!J11)</f>
        <v>20.019520690050069</v>
      </c>
      <c r="G62" s="4">
        <f ca="1">'Total Duration Tables Sup #2'!G62*(1-'Other Assumptions'!K11)</f>
        <v>15.796392007658708</v>
      </c>
      <c r="H62" s="4">
        <f ca="1">'Total Duration Tables Sup #2'!H62*(1-'Other Assumptions'!L11)</f>
        <v>11.431369894977037</v>
      </c>
      <c r="I62" s="1">
        <f ca="1">'Total Duration Tables Sup #2'!I62*(1-'Other Assumptions'!M11)</f>
        <v>11.544882129311269</v>
      </c>
      <c r="J62" s="1">
        <f ca="1">'Total Duration Tables Sup #2'!J62*(1-'Other Assumptions'!N11)</f>
        <v>11.616012133640549</v>
      </c>
      <c r="K62" s="1">
        <f ca="1">'Total Duration Tables Sup #2'!K62*(1-'Other Assumptions'!O11)</f>
        <v>11.659186621497518</v>
      </c>
    </row>
    <row r="63" spans="1:11" x14ac:dyDescent="0.2">
      <c r="A63" t="str">
        <f ca="1">OFFSET(Hawkes_Bay_Reference,21,2)</f>
        <v>Light Vehicle Passenger</v>
      </c>
      <c r="B63" s="4">
        <f ca="1">'Total Duration Tables Sup #2'!B63</f>
        <v>15.230731736999999</v>
      </c>
      <c r="C63" s="4">
        <f ca="1">'Total Duration Tables Sup #2'!C63*(1-'Other Assumptions'!G11)</f>
        <v>15.326530144629915</v>
      </c>
      <c r="D63" s="4">
        <f ca="1">'Total Duration Tables Sup #2'!D63*(1-'Other Assumptions'!H11)</f>
        <v>15.453491321912551</v>
      </c>
      <c r="E63" s="4">
        <f ca="1">'Total Duration Tables Sup #2'!E63*(1-'Other Assumptions'!I11)</f>
        <v>13.263618956470118</v>
      </c>
      <c r="F63" s="4">
        <f ca="1">'Total Duration Tables Sup #2'!F63*(1-'Other Assumptions'!J11)</f>
        <v>10.928642853122918</v>
      </c>
      <c r="G63" s="4">
        <f ca="1">'Total Duration Tables Sup #2'!G63*(1-'Other Assumptions'!K11)</f>
        <v>8.5386221508415048</v>
      </c>
      <c r="H63" s="4">
        <f ca="1">'Total Duration Tables Sup #2'!H63*(1-'Other Assumptions'!L11)</f>
        <v>6.1308483722490363</v>
      </c>
      <c r="I63" s="1">
        <f ca="1">'Total Duration Tables Sup #2'!I63*(1-'Other Assumptions'!M11)</f>
        <v>6.1960111664397344</v>
      </c>
      <c r="J63" s="1">
        <f ca="1">'Total Duration Tables Sup #2'!J63*(1-'Other Assumptions'!N11)</f>
        <v>6.2391866503770608</v>
      </c>
      <c r="K63" s="1">
        <f ca="1">'Total Duration Tables Sup #2'!K63*(1-'Other Assumptions'!O11)</f>
        <v>6.2672735199717566</v>
      </c>
    </row>
    <row r="64" spans="1:11" x14ac:dyDescent="0.2">
      <c r="A64" t="str">
        <f ca="1">OFFSET(Hawkes_Bay_Reference,28,2)</f>
        <v>Taxi/Vehicle Share</v>
      </c>
      <c r="B64" s="4">
        <f ca="1">'Total Duration Tables Sup #2'!B64</f>
        <v>4.5837477299999999E-2</v>
      </c>
      <c r="C64" s="4">
        <f ca="1">'Total Duration Tables Sup #2'!C64+((C62+C63)*'Other Assumptions'!G11/(1-'Other Assumptions'!G11))</f>
        <v>5.1004177960159443E-2</v>
      </c>
      <c r="D64" s="4">
        <f ca="1">'Total Duration Tables Sup #2'!D64+((D62+D63)*'Other Assumptions'!H11/(1-'Other Assumptions'!H11))</f>
        <v>5.6132529997257673E-2</v>
      </c>
      <c r="E64" s="4">
        <f ca="1">'Total Duration Tables Sup #2'!E64+((E62+E63)*'Other Assumptions'!I11/(1-'Other Assumptions'!I11))</f>
        <v>6.6242273578054371</v>
      </c>
      <c r="F64" s="4">
        <f ca="1">'Total Duration Tables Sup #2'!F64+((F62+F63)*'Other Assumptions'!J11/(1-'Other Assumptions'!J11))</f>
        <v>13.327134470932977</v>
      </c>
      <c r="G64" s="4">
        <f ca="1">'Total Duration Tables Sup #2'!G64+((G62+G63)*'Other Assumptions'!K11/(1-'Other Assumptions'!K11))</f>
        <v>19.975906100915719</v>
      </c>
      <c r="H64" s="4">
        <f ca="1">'Total Duration Tables Sup #2'!H64+((H62+H63)*'Other Assumptions'!L11/(1-'Other Assumptions'!L11))</f>
        <v>26.409805863214675</v>
      </c>
      <c r="I64" s="1">
        <f ca="1">'Total Duration Tables Sup #2'!I64+((I62+I63)*'Other Assumptions'!M11/(1-'Other Assumptions'!M11))</f>
        <v>26.678583840342643</v>
      </c>
      <c r="J64" s="1">
        <f ca="1">'Total Duration Tables Sup #2'!J64+((J62+J63)*'Other Assumptions'!N11/(1-'Other Assumptions'!N11))</f>
        <v>26.850617073023884</v>
      </c>
      <c r="K64" s="1">
        <f ca="1">'Total Duration Tables Sup #2'!K64+((K62+K63)*'Other Assumptions'!O11/(1-'Other Assumptions'!O11))</f>
        <v>26.957926405963025</v>
      </c>
    </row>
    <row r="65" spans="1:11" x14ac:dyDescent="0.2">
      <c r="A65" t="str">
        <f ca="1">OFFSET(Hawkes_Bay_Reference,35,2)</f>
        <v>Motorcyclist</v>
      </c>
      <c r="B65" s="4">
        <f ca="1">'Total Duration Tables Sup #2'!B65</f>
        <v>0.11763194120000001</v>
      </c>
      <c r="C65" s="4">
        <f ca="1">'Total Duration Tables Sup #2'!C65</f>
        <v>0.12206515211951599</v>
      </c>
      <c r="D65" s="4">
        <f ca="1">'Total Duration Tables Sup #2'!D65</f>
        <v>0.12518441610186642</v>
      </c>
      <c r="E65" s="4">
        <f ca="1">'Total Duration Tables Sup #2'!E65</f>
        <v>0.12694620208218749</v>
      </c>
      <c r="F65" s="4">
        <f ca="1">'Total Duration Tables Sup #2'!F65</f>
        <v>0.12665132430838</v>
      </c>
      <c r="G65" s="4">
        <f ca="1">'Total Duration Tables Sup #2'!G65</f>
        <v>0.12382558078938027</v>
      </c>
      <c r="H65" s="4">
        <f ca="1">'Total Duration Tables Sup #2'!H65</f>
        <v>0.11977223788521679</v>
      </c>
      <c r="I65" s="1">
        <f ca="1">'Total Duration Tables Sup #2'!I65</f>
        <v>0.12142268981078491</v>
      </c>
      <c r="J65" s="1">
        <f ca="1">'Total Duration Tables Sup #2'!J65</f>
        <v>0.12270949244004954</v>
      </c>
      <c r="K65" s="1">
        <f ca="1">'Total Duration Tables Sup #2'!K65</f>
        <v>0.12369725649177617</v>
      </c>
    </row>
    <row r="66" spans="1:11" x14ac:dyDescent="0.2">
      <c r="A66" t="str">
        <f ca="1">OFFSET(Auckland_Reference,42,2)</f>
        <v>Local Train</v>
      </c>
      <c r="B66" s="4">
        <f ca="1">'Total Duration Tables Sup #2'!B66</f>
        <v>0</v>
      </c>
      <c r="C66" s="4">
        <f ca="1">'Total Duration Tables Sup #2'!C66</f>
        <v>0</v>
      </c>
      <c r="D66" s="4">
        <f ca="1">'Total Duration Tables Sup #2'!D66</f>
        <v>0</v>
      </c>
      <c r="E66" s="4">
        <f ca="1">'Total Duration Tables Sup #2'!E66</f>
        <v>0</v>
      </c>
      <c r="F66" s="4">
        <f ca="1">'Total Duration Tables Sup #2'!F66</f>
        <v>0</v>
      </c>
      <c r="G66" s="4">
        <f ca="1">'Total Duration Tables Sup #2'!G66</f>
        <v>0</v>
      </c>
      <c r="H66" s="4">
        <f ca="1">'Total Duration Tables Sup #2'!H66</f>
        <v>0</v>
      </c>
      <c r="I66" s="1">
        <f ca="1">'Total Duration Tables Sup #2'!I66</f>
        <v>0</v>
      </c>
      <c r="J66" s="1">
        <f ca="1">'Total Duration Tables Sup #2'!J66</f>
        <v>0</v>
      </c>
      <c r="K66" s="1">
        <f ca="1">'Total Duration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Duration Tables Sup #2'!B67</f>
        <v>1.3660147812000001</v>
      </c>
      <c r="C67" s="4">
        <f ca="1">'Total Duration Tables Sup #2'!C67</f>
        <v>1.2422849508215292</v>
      </c>
      <c r="D67" s="4">
        <f ca="1">'Total Duration Tables Sup #2'!D67</f>
        <v>1.2480631111839793</v>
      </c>
      <c r="E67" s="4">
        <f ca="1">'Total Duration Tables Sup #2'!E67</f>
        <v>1.2361605405588925</v>
      </c>
      <c r="F67" s="4">
        <f ca="1">'Total Duration Tables Sup #2'!F67</f>
        <v>1.2171066810332281</v>
      </c>
      <c r="G67" s="4">
        <f ca="1">'Total Duration Tables Sup #2'!G67</f>
        <v>1.2059721836582493</v>
      </c>
      <c r="H67" s="4">
        <f ca="1">'Total Duration Tables Sup #2'!H67</f>
        <v>1.192863152138437</v>
      </c>
      <c r="I67" s="1">
        <f ca="1">'Total Duration Tables Sup #2'!I67</f>
        <v>1.2070739736614029</v>
      </c>
      <c r="J67" s="1">
        <f ca="1">'Total Duration Tables Sup #2'!J67</f>
        <v>1.2172515658551035</v>
      </c>
      <c r="K67" s="1">
        <f ca="1">'Total Duration Tables Sup #2'!K67</f>
        <v>1.2244705410965233</v>
      </c>
    </row>
    <row r="68" spans="1:11" x14ac:dyDescent="0.2">
      <c r="A68" t="str">
        <f ca="1">OFFSET(Waikato_Reference,56,2)</f>
        <v>Local Ferry</v>
      </c>
      <c r="B68" s="4">
        <f ca="1">'Total Duration Tables Sup #2'!B68</f>
        <v>0</v>
      </c>
      <c r="C68" s="4">
        <f ca="1">'Total Duration Tables Sup #2'!C68</f>
        <v>0</v>
      </c>
      <c r="D68" s="4">
        <f ca="1">'Total Duration Tables Sup #2'!D68</f>
        <v>0</v>
      </c>
      <c r="E68" s="4">
        <f ca="1">'Total Duration Tables Sup #2'!E68</f>
        <v>0</v>
      </c>
      <c r="F68" s="4">
        <f ca="1">'Total Duration Tables Sup #2'!F68</f>
        <v>0</v>
      </c>
      <c r="G68" s="4">
        <f ca="1">'Total Duration Tables Sup #2'!G68</f>
        <v>0</v>
      </c>
      <c r="H68" s="4">
        <f ca="1">'Total Duration Tables Sup #2'!H68</f>
        <v>0</v>
      </c>
      <c r="I68" s="1">
        <f ca="1">'Total Duration Tables Sup #2'!I68</f>
        <v>0</v>
      </c>
      <c r="J68" s="1">
        <f ca="1">'Total Duration Tables Sup #2'!J68</f>
        <v>0</v>
      </c>
      <c r="K68" s="1">
        <f ca="1">'Total Duration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Duration Tables Sup #2'!B69</f>
        <v>0.15778150060000001</v>
      </c>
      <c r="C69" s="4">
        <f ca="1">'Total Duration Tables Sup #2'!C69</f>
        <v>0.16864368207679648</v>
      </c>
      <c r="D69" s="4">
        <f ca="1">'Total Duration Tables Sup #2'!D69</f>
        <v>0.17168358946458775</v>
      </c>
      <c r="E69" s="4">
        <f ca="1">'Total Duration Tables Sup #2'!E69</f>
        <v>0.1738304272047006</v>
      </c>
      <c r="F69" s="4">
        <f ca="1">'Total Duration Tables Sup #2'!F69</f>
        <v>0.17291769722438707</v>
      </c>
      <c r="G69" s="4">
        <f ca="1">'Total Duration Tables Sup #2'!G69</f>
        <v>0.17162687216617578</v>
      </c>
      <c r="H69" s="4">
        <f ca="1">'Total Duration Tables Sup #2'!H69</f>
        <v>0.16800429302009759</v>
      </c>
      <c r="I69" s="1">
        <f ca="1">'Total Duration Tables Sup #2'!I69</f>
        <v>0.16915774247659551</v>
      </c>
      <c r="J69" s="1">
        <f ca="1">'Total Duration Tables Sup #2'!J69</f>
        <v>0.16958774350801167</v>
      </c>
      <c r="K69" s="1">
        <f ca="1">'Total Duration Tables Sup #2'!K69</f>
        <v>0.16962089665566349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'Total Duration Tables Sup #2'!B71</f>
        <v>4.7547330373000003</v>
      </c>
      <c r="C71" s="4">
        <f ca="1">'Total Duration Tables Sup #2'!C71</f>
        <v>4.8426090218265836</v>
      </c>
      <c r="D71" s="4">
        <f ca="1">'Total Duration Tables Sup #2'!D71</f>
        <v>4.9948463026929284</v>
      </c>
      <c r="E71" s="4">
        <f ca="1">'Total Duration Tables Sup #2'!E71</f>
        <v>5.0987475278838064</v>
      </c>
      <c r="F71" s="4">
        <f ca="1">'Total Duration Tables Sup #2'!F71</f>
        <v>5.1596833316747297</v>
      </c>
      <c r="G71" s="4">
        <f ca="1">'Total Duration Tables Sup #2'!G71</f>
        <v>5.2139013413404074</v>
      </c>
      <c r="H71" s="4">
        <f ca="1">'Total Duration Tables Sup #2'!H71</f>
        <v>5.2395154318159225</v>
      </c>
      <c r="I71" s="1">
        <f ca="1">'Total Duration Tables Sup #2'!I71</f>
        <v>5.3737097682959636</v>
      </c>
      <c r="J71" s="1">
        <f ca="1">'Total Duration Tables Sup #2'!J71</f>
        <v>5.4940855050110553</v>
      </c>
      <c r="K71" s="1">
        <f ca="1">'Total Duration Tables Sup #2'!K71</f>
        <v>5.6035447760159016</v>
      </c>
    </row>
    <row r="72" spans="1:11" x14ac:dyDescent="0.2">
      <c r="A72" t="str">
        <f ca="1">OFFSET(Taranaki_Reference,7,2)</f>
        <v>Cyclist</v>
      </c>
      <c r="B72" s="4">
        <f ca="1">'Total Duration Tables Sup #2'!B72</f>
        <v>0.51341482110000003</v>
      </c>
      <c r="C72" s="4">
        <f ca="1">'Total Duration Tables Sup #2'!C72</f>
        <v>0.53178021244915974</v>
      </c>
      <c r="D72" s="4">
        <f ca="1">'Total Duration Tables Sup #2'!D72</f>
        <v>0.62020597848414583</v>
      </c>
      <c r="E72" s="4">
        <f ca="1">'Total Duration Tables Sup #2'!E72</f>
        <v>0.6909225375471596</v>
      </c>
      <c r="F72" s="4">
        <f ca="1">'Total Duration Tables Sup #2'!F72</f>
        <v>0.7705962335660691</v>
      </c>
      <c r="G72" s="4">
        <f ca="1">'Total Duration Tables Sup #2'!G72</f>
        <v>0.86410034895336862</v>
      </c>
      <c r="H72" s="4">
        <f ca="1">'Total Duration Tables Sup #2'!H72</f>
        <v>0.96150832367254424</v>
      </c>
      <c r="I72" s="1">
        <f ca="1">'Total Duration Tables Sup #2'!I72</f>
        <v>0.99295284679293272</v>
      </c>
      <c r="J72" s="1">
        <f ca="1">'Total Duration Tables Sup #2'!J72</f>
        <v>1.0250772285384233</v>
      </c>
      <c r="K72" s="1">
        <f ca="1">'Total Duration Tables Sup #2'!K72</f>
        <v>1.055875434022044</v>
      </c>
    </row>
    <row r="73" spans="1:11" x14ac:dyDescent="0.2">
      <c r="A73" t="str">
        <f ca="1">OFFSET(Taranaki_Reference,14,2)</f>
        <v>Light Vehicle Driver</v>
      </c>
      <c r="B73" s="4">
        <f ca="1">'Total Duration Tables Sup #2'!B73</f>
        <v>21.205429401</v>
      </c>
      <c r="C73" s="4">
        <f ca="1">'Total Duration Tables Sup #2'!C73*(1-'Other Assumptions'!G12)</f>
        <v>22.576452224700802</v>
      </c>
      <c r="D73" s="4">
        <f ca="1">'Total Duration Tables Sup #2'!D73*(1-'Other Assumptions'!H12)</f>
        <v>23.306064719870999</v>
      </c>
      <c r="E73" s="4">
        <f ca="1">'Total Duration Tables Sup #2'!E73*(1-'Other Assumptions'!I12)</f>
        <v>20.556536987505922</v>
      </c>
      <c r="F73" s="4">
        <f ca="1">'Total Duration Tables Sup #2'!F73*(1-'Other Assumptions'!J12)</f>
        <v>17.383937240482872</v>
      </c>
      <c r="G73" s="4">
        <f ca="1">'Total Duration Tables Sup #2'!G73*(1-'Other Assumptions'!K12)</f>
        <v>13.887571356965397</v>
      </c>
      <c r="H73" s="4">
        <f ca="1">'Total Duration Tables Sup #2'!H73*(1-'Other Assumptions'!L12)</f>
        <v>10.190088765043221</v>
      </c>
      <c r="I73" s="1">
        <f ca="1">'Total Duration Tables Sup #2'!I73*(1-'Other Assumptions'!M12)</f>
        <v>10.43123173150267</v>
      </c>
      <c r="J73" s="1">
        <f ca="1">'Total Duration Tables Sup #2'!J73*(1-'Other Assumptions'!N12)</f>
        <v>10.638287598531903</v>
      </c>
      <c r="K73" s="1">
        <f ca="1">'Total Duration Tables Sup #2'!K73*(1-'Other Assumptions'!O12)</f>
        <v>10.823101124684925</v>
      </c>
    </row>
    <row r="74" spans="1:11" x14ac:dyDescent="0.2">
      <c r="A74" t="str">
        <f ca="1">OFFSET(Taranaki_Reference,21,2)</f>
        <v>Light Vehicle Passenger</v>
      </c>
      <c r="B74" s="4">
        <f ca="1">'Total Duration Tables Sup #2'!B74</f>
        <v>13.125178352000001</v>
      </c>
      <c r="C74" s="4">
        <f ca="1">'Total Duration Tables Sup #2'!C74*(1-'Other Assumptions'!G12)</f>
        <v>13.332458005986545</v>
      </c>
      <c r="D74" s="4">
        <f ca="1">'Total Duration Tables Sup #2'!D74*(1-'Other Assumptions'!H12)</f>
        <v>13.56281462739927</v>
      </c>
      <c r="E74" s="4">
        <f ca="1">'Total Duration Tables Sup #2'!E74*(1-'Other Assumptions'!I12)</f>
        <v>11.757982852961236</v>
      </c>
      <c r="F74" s="4">
        <f ca="1">'Total Duration Tables Sup #2'!F74*(1-'Other Assumptions'!J12)</f>
        <v>9.7971737346321905</v>
      </c>
      <c r="G74" s="4">
        <f ca="1">'Total Duration Tables Sup #2'!G74*(1-'Other Assumptions'!K12)</f>
        <v>7.7528722597475781</v>
      </c>
      <c r="H74" s="4">
        <f ca="1">'Total Duration Tables Sup #2'!H74*(1-'Other Assumptions'!L12)</f>
        <v>5.6465536317576648</v>
      </c>
      <c r="I74" s="1">
        <f ca="1">'Total Duration Tables Sup #2'!I74*(1-'Other Assumptions'!M12)</f>
        <v>5.7842367766543603</v>
      </c>
      <c r="J74" s="1">
        <f ca="1">'Total Duration Tables Sup #2'!J74*(1-'Other Assumptions'!N12)</f>
        <v>5.9038735835767078</v>
      </c>
      <c r="K74" s="1">
        <f ca="1">'Total Duration Tables Sup #2'!K74*(1-'Other Assumptions'!O12)</f>
        <v>6.0112300842267068</v>
      </c>
    </row>
    <row r="75" spans="1:11" x14ac:dyDescent="0.2">
      <c r="A75" t="str">
        <f ca="1">OFFSET(Taranaki_Reference,28,2)</f>
        <v>Taxi/Vehicle Share</v>
      </c>
      <c r="B75" s="4">
        <f ca="1">'Total Duration Tables Sup #2'!B75</f>
        <v>0.10005985589999999</v>
      </c>
      <c r="C75" s="4">
        <f ca="1">'Total Duration Tables Sup #2'!C75+((C73+C74)*'Other Assumptions'!G12/(1-'Other Assumptions'!G12))</f>
        <v>0.11238978841308572</v>
      </c>
      <c r="D75" s="4">
        <f ca="1">'Total Duration Tables Sup #2'!D75+((D73+D74)*'Other Assumptions'!H12/(1-'Other Assumptions'!H12))</f>
        <v>0.12471341539412543</v>
      </c>
      <c r="E75" s="4">
        <f ca="1">'Total Duration Tables Sup #2'!E75+((E73+E74)*'Other Assumptions'!I12/(1-'Other Assumptions'!I12))</f>
        <v>5.8381014062929752</v>
      </c>
      <c r="F75" s="4">
        <f ca="1">'Total Duration Tables Sup #2'!F75+((F73+F74)*'Other Assumptions'!J12/(1-'Other Assumptions'!J12))</f>
        <v>11.793274566671156</v>
      </c>
      <c r="G75" s="4">
        <f ca="1">'Total Duration Tables Sup #2'!G75+((G73+G74)*'Other Assumptions'!K12/(1-'Other Assumptions'!K12))</f>
        <v>17.855931080772901</v>
      </c>
      <c r="H75" s="4">
        <f ca="1">'Total Duration Tables Sup #2'!H75+((H73+H74)*'Other Assumptions'!L12/(1-'Other Assumptions'!L12))</f>
        <v>23.9095313021955</v>
      </c>
      <c r="I75" s="1">
        <f ca="1">'Total Duration Tables Sup #2'!I75+((I73+I74)*'Other Assumptions'!M12/(1-'Other Assumptions'!M12))</f>
        <v>24.481674418749037</v>
      </c>
      <c r="J75" s="1">
        <f ca="1">'Total Duration Tables Sup #2'!J75+((J73+J74)*'Other Assumptions'!N12/(1-'Other Assumptions'!N12))</f>
        <v>24.975240042235207</v>
      </c>
      <c r="K75" s="1">
        <f ca="1">'Total Duration Tables Sup #2'!K75+((K73+K74)*'Other Assumptions'!O12/(1-'Other Assumptions'!O12))</f>
        <v>25.416706448692516</v>
      </c>
    </row>
    <row r="76" spans="1:11" x14ac:dyDescent="0.2">
      <c r="A76" t="str">
        <f ca="1">OFFSET(Taranaki_Reference,35,2)</f>
        <v>Motorcyclist</v>
      </c>
      <c r="B76" s="4">
        <f ca="1">'Total Duration Tables Sup #2'!B76</f>
        <v>0.25001806910000002</v>
      </c>
      <c r="C76" s="4">
        <f ca="1">'Total Duration Tables Sup #2'!C76</f>
        <v>0.26189051249532325</v>
      </c>
      <c r="D76" s="4">
        <f ca="1">'Total Duration Tables Sup #2'!D76</f>
        <v>0.27080444677329896</v>
      </c>
      <c r="E76" s="4">
        <f ca="1">'Total Duration Tables Sup #2'!E76</f>
        <v>0.27720109898924256</v>
      </c>
      <c r="F76" s="4">
        <f ca="1">'Total Duration Tables Sup #2'!F76</f>
        <v>0.2794870676768228</v>
      </c>
      <c r="G76" s="4">
        <f ca="1">'Total Duration Tables Sup #2'!G76</f>
        <v>0.27656308620335446</v>
      </c>
      <c r="H76" s="4">
        <f ca="1">'Total Duration Tables Sup #2'!H76</f>
        <v>0.27114458165929994</v>
      </c>
      <c r="I76" s="1">
        <f ca="1">'Total Duration Tables Sup #2'!I76</f>
        <v>0.27861567235401125</v>
      </c>
      <c r="J76" s="1">
        <f ca="1">'Total Duration Tables Sup #2'!J76</f>
        <v>0.28539396119872862</v>
      </c>
      <c r="K76" s="1">
        <f ca="1">'Total Duration Tables Sup #2'!K76</f>
        <v>0.29160006327765242</v>
      </c>
    </row>
    <row r="77" spans="1:11" x14ac:dyDescent="0.2">
      <c r="A77" t="str">
        <f ca="1">OFFSET(Taranaki_Reference,42,2)</f>
        <v>Local Train</v>
      </c>
      <c r="B77" s="4">
        <f ca="1">'Total Duration Tables Sup #2'!B77</f>
        <v>0</v>
      </c>
      <c r="C77" s="4">
        <f ca="1">'Total Duration Tables Sup #2'!C77</f>
        <v>0</v>
      </c>
      <c r="D77" s="4">
        <f ca="1">'Total Duration Tables Sup #2'!D77</f>
        <v>0</v>
      </c>
      <c r="E77" s="4">
        <f ca="1">'Total Duration Tables Sup #2'!E77</f>
        <v>0</v>
      </c>
      <c r="F77" s="4">
        <f ca="1">'Total Duration Tables Sup #2'!F77</f>
        <v>0</v>
      </c>
      <c r="G77" s="4">
        <f ca="1">'Total Duration Tables Sup #2'!G77</f>
        <v>0</v>
      </c>
      <c r="H77" s="4">
        <f ca="1">'Total Duration Tables Sup #2'!H77</f>
        <v>0</v>
      </c>
      <c r="I77" s="1">
        <f ca="1">'Total Duration Tables Sup #2'!I77</f>
        <v>0</v>
      </c>
      <c r="J77" s="1">
        <f ca="1">'Total Duration Tables Sup #2'!J77</f>
        <v>0</v>
      </c>
      <c r="K77" s="1">
        <f ca="1">'Total Duration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Duration Tables Sup #2'!B78</f>
        <v>0.4632962336</v>
      </c>
      <c r="C78" s="4">
        <f ca="1">'Total Duration Tables Sup #2'!C78</f>
        <v>0.4253109175690154</v>
      </c>
      <c r="D78" s="4">
        <f ca="1">'Total Duration Tables Sup #2'!D78</f>
        <v>0.43082342448982214</v>
      </c>
      <c r="E78" s="4">
        <f ca="1">'Total Duration Tables Sup #2'!E78</f>
        <v>0.43073221039814824</v>
      </c>
      <c r="F78" s="4">
        <f ca="1">'Total Duration Tables Sup #2'!F78</f>
        <v>0.42858588734632069</v>
      </c>
      <c r="G78" s="4">
        <f ca="1">'Total Duration Tables Sup #2'!G78</f>
        <v>0.42981183324009237</v>
      </c>
      <c r="H78" s="4">
        <f ca="1">'Total Duration Tables Sup #2'!H78</f>
        <v>0.43091600750216974</v>
      </c>
      <c r="I78" s="1">
        <f ca="1">'Total Duration Tables Sup #2'!I78</f>
        <v>0.44197409667423287</v>
      </c>
      <c r="J78" s="1">
        <f ca="1">'Total Duration Tables Sup #2'!J78</f>
        <v>0.45175628108173427</v>
      </c>
      <c r="K78" s="1">
        <f ca="1">'Total Duration Tables Sup #2'!K78</f>
        <v>0.46060974884952721</v>
      </c>
    </row>
    <row r="79" spans="1:11" x14ac:dyDescent="0.2">
      <c r="A79" t="str">
        <f ca="1">OFFSET(Waikato_Reference,56,2)</f>
        <v>Local Ferry</v>
      </c>
      <c r="B79" s="4">
        <f ca="1">'Total Duration Tables Sup #2'!B79</f>
        <v>0</v>
      </c>
      <c r="C79" s="4">
        <f ca="1">'Total Duration Tables Sup #2'!C79</f>
        <v>0</v>
      </c>
      <c r="D79" s="4">
        <f ca="1">'Total Duration Tables Sup #2'!D79</f>
        <v>0</v>
      </c>
      <c r="E79" s="4">
        <f ca="1">'Total Duration Tables Sup #2'!E79</f>
        <v>0</v>
      </c>
      <c r="F79" s="4">
        <f ca="1">'Total Duration Tables Sup #2'!F79</f>
        <v>0</v>
      </c>
      <c r="G79" s="4">
        <f ca="1">'Total Duration Tables Sup #2'!G79</f>
        <v>0</v>
      </c>
      <c r="H79" s="4">
        <f ca="1">'Total Duration Tables Sup #2'!H79</f>
        <v>0</v>
      </c>
      <c r="I79" s="1">
        <f ca="1">'Total Duration Tables Sup #2'!I79</f>
        <v>0</v>
      </c>
      <c r="J79" s="1">
        <f ca="1">'Total Duration Tables Sup #2'!J79</f>
        <v>0</v>
      </c>
      <c r="K79" s="1">
        <f ca="1">'Total Duration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Duration Tables Sup #2'!B80</f>
        <v>5.6354069499999999E-2</v>
      </c>
      <c r="C80" s="4">
        <f ca="1">'Total Duration Tables Sup #2'!C80</f>
        <v>6.0802468707559496E-2</v>
      </c>
      <c r="D80" s="4">
        <f ca="1">'Total Duration Tables Sup #2'!D80</f>
        <v>6.241045897042493E-2</v>
      </c>
      <c r="E80" s="4">
        <f ca="1">'Total Duration Tables Sup #2'!E80</f>
        <v>6.3785813850670225E-2</v>
      </c>
      <c r="F80" s="4">
        <f ca="1">'Total Duration Tables Sup #2'!F80</f>
        <v>6.4123097568980422E-2</v>
      </c>
      <c r="G80" s="4">
        <f ca="1">'Total Duration Tables Sup #2'!G80</f>
        <v>6.4415768913239219E-2</v>
      </c>
      <c r="H80" s="4">
        <f ca="1">'Total Duration Tables Sup #2'!H80</f>
        <v>6.391285436985962E-2</v>
      </c>
      <c r="I80" s="1">
        <f ca="1">'Total Duration Tables Sup #2'!I80</f>
        <v>6.5225984313061661E-2</v>
      </c>
      <c r="J80" s="1">
        <f ca="1">'Total Duration Tables Sup #2'!J80</f>
        <v>6.6280251781904151E-2</v>
      </c>
      <c r="K80" s="1">
        <f ca="1">'Total Duration Tables Sup #2'!K80</f>
        <v>6.7193918672667802E-2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'Total Duration Tables Sup #2'!B82</f>
        <v>8.3408449691000008</v>
      </c>
      <c r="C82" s="4">
        <f ca="1">'Total Duration Tables Sup #2'!C82</f>
        <v>8.4286328987279102</v>
      </c>
      <c r="D82" s="4">
        <f ca="1">'Total Duration Tables Sup #2'!D82</f>
        <v>8.596405749411991</v>
      </c>
      <c r="E82" s="4">
        <f ca="1">'Total Duration Tables Sup #2'!E82</f>
        <v>8.6670120056051978</v>
      </c>
      <c r="F82" s="4">
        <f ca="1">'Total Duration Tables Sup #2'!F82</f>
        <v>8.6614679749791339</v>
      </c>
      <c r="G82" s="4">
        <f ca="1">'Total Duration Tables Sup #2'!G82</f>
        <v>8.634115015747712</v>
      </c>
      <c r="H82" s="4">
        <f ca="1">'Total Duration Tables Sup #2'!H82</f>
        <v>8.548864491533541</v>
      </c>
      <c r="I82" s="1">
        <f ca="1">'Total Duration Tables Sup #2'!I82</f>
        <v>8.6388076607216</v>
      </c>
      <c r="J82" s="1">
        <f ca="1">'Total Duration Tables Sup #2'!J82</f>
        <v>8.7023651229532657</v>
      </c>
      <c r="K82" s="1">
        <f ca="1">'Total Duration Tables Sup #2'!K82</f>
        <v>8.745145149181079</v>
      </c>
    </row>
    <row r="83" spans="1:11" x14ac:dyDescent="0.2">
      <c r="A83" t="str">
        <f ca="1">OFFSET(Manawatu_Reference,7,2)</f>
        <v>Cyclist</v>
      </c>
      <c r="B83" s="4">
        <f ca="1">'Total Duration Tables Sup #2'!B83</f>
        <v>1.7566260256999999</v>
      </c>
      <c r="C83" s="4">
        <f ca="1">'Total Duration Tables Sup #2'!C83</f>
        <v>1.8052481362730051</v>
      </c>
      <c r="D83" s="4">
        <f ca="1">'Total Duration Tables Sup #2'!D83</f>
        <v>2.0818897414270143</v>
      </c>
      <c r="E83" s="4">
        <f ca="1">'Total Duration Tables Sup #2'!E83</f>
        <v>2.2906685318114666</v>
      </c>
      <c r="F83" s="4">
        <f ca="1">'Total Duration Tables Sup #2'!F83</f>
        <v>2.5230295535216474</v>
      </c>
      <c r="G83" s="4">
        <f ca="1">'Total Duration Tables Sup #2'!G83</f>
        <v>2.7909123727401806</v>
      </c>
      <c r="H83" s="4">
        <f ca="1">'Total Duration Tables Sup #2'!H83</f>
        <v>3.0598304166456542</v>
      </c>
      <c r="I83" s="1">
        <f ca="1">'Total Duration Tables Sup #2'!I83</f>
        <v>3.1134021663926701</v>
      </c>
      <c r="J83" s="1">
        <f ca="1">'Total Duration Tables Sup #2'!J83</f>
        <v>3.1668352673693438</v>
      </c>
      <c r="K83" s="1">
        <f ca="1">'Total Duration Tables Sup #2'!K83</f>
        <v>3.2139851161515631</v>
      </c>
    </row>
    <row r="84" spans="1:11" x14ac:dyDescent="0.2">
      <c r="A84" t="str">
        <f ca="1">OFFSET(Manawatu_Reference,14,2)</f>
        <v>Light Vehicle Driver</v>
      </c>
      <c r="B84" s="4">
        <f ca="1">'Total Duration Tables Sup #2'!B84</f>
        <v>42.09204356</v>
      </c>
      <c r="C84" s="4">
        <f ca="1">'Total Duration Tables Sup #2'!C84*(1-'Other Assumptions'!G13)</f>
        <v>44.463378257207786</v>
      </c>
      <c r="D84" s="4">
        <f ca="1">'Total Duration Tables Sup #2'!D84*(1-'Other Assumptions'!H13)</f>
        <v>45.372810891187434</v>
      </c>
      <c r="E84" s="4">
        <f ca="1">'Total Duration Tables Sup #2'!E84*(1-'Other Assumptions'!I13)</f>
        <v>39.514182718740315</v>
      </c>
      <c r="F84" s="4">
        <f ca="1">'Total Duration Tables Sup #2'!F84*(1-'Other Assumptions'!J13)</f>
        <v>32.989157574802114</v>
      </c>
      <c r="G84" s="4">
        <f ca="1">'Total Duration Tables Sup #2'!G84*(1-'Other Assumptions'!K13)</f>
        <v>25.988114099206655</v>
      </c>
      <c r="H84" s="4">
        <f ca="1">'Total Duration Tables Sup #2'!H84*(1-'Other Assumptions'!L13)</f>
        <v>18.780671344632562</v>
      </c>
      <c r="I84" s="1">
        <f ca="1">'Total Duration Tables Sup #2'!I84*(1-'Other Assumptions'!M13)</f>
        <v>18.941864855527037</v>
      </c>
      <c r="J84" s="1">
        <f ca="1">'Total Duration Tables Sup #2'!J84*(1-'Other Assumptions'!N13)</f>
        <v>19.0330987632342</v>
      </c>
      <c r="K84" s="1">
        <f ca="1">'Total Duration Tables Sup #2'!K84*(1-'Other Assumptions'!O13)</f>
        <v>19.078304582805856</v>
      </c>
    </row>
    <row r="85" spans="1:11" x14ac:dyDescent="0.2">
      <c r="A85" t="str">
        <f ca="1">OFFSET(Manawatu_Reference,21,2)</f>
        <v>Light Vehicle Passenger</v>
      </c>
      <c r="B85" s="4">
        <f ca="1">'Total Duration Tables Sup #2'!B85</f>
        <v>20.286542670999999</v>
      </c>
      <c r="C85" s="4">
        <f ca="1">'Total Duration Tables Sup #2'!C85*(1-'Other Assumptions'!G13)</f>
        <v>20.44593004567923</v>
      </c>
      <c r="D85" s="4">
        <f ca="1">'Total Duration Tables Sup #2'!D85*(1-'Other Assumptions'!H13)</f>
        <v>20.535696061737543</v>
      </c>
      <c r="E85" s="4">
        <f ca="1">'Total Duration Tables Sup #2'!E85*(1-'Other Assumptions'!I13)</f>
        <v>17.557027697000994</v>
      </c>
      <c r="F85" s="4">
        <f ca="1">'Total Duration Tables Sup #2'!F85*(1-'Other Assumptions'!J13)</f>
        <v>14.424595277905839</v>
      </c>
      <c r="G85" s="4">
        <f ca="1">'Total Duration Tables Sup #2'!G85*(1-'Other Assumptions'!K13)</f>
        <v>11.241356519719126</v>
      </c>
      <c r="H85" s="4">
        <f ca="1">'Total Duration Tables Sup #2'!H85*(1-'Other Assumptions'!L13)</f>
        <v>8.0522904930662449</v>
      </c>
      <c r="I85" s="1">
        <f ca="1">'Total Duration Tables Sup #2'!I85*(1-'Other Assumptions'!M13)</f>
        <v>8.1267936867845201</v>
      </c>
      <c r="J85" s="1">
        <f ca="1">'Total Duration Tables Sup #2'!J85*(1-'Other Assumptions'!N13)</f>
        <v>8.1721608623775861</v>
      </c>
      <c r="K85" s="1">
        <f ca="1">'Total Duration Tables Sup #2'!K85*(1-'Other Assumptions'!O13)</f>
        <v>8.1976394657173497</v>
      </c>
    </row>
    <row r="86" spans="1:11" x14ac:dyDescent="0.2">
      <c r="A86" t="str">
        <f ca="1">OFFSET(Manawatu_Reference,28,2)</f>
        <v>Taxi/Vehicle Share</v>
      </c>
      <c r="B86" s="4">
        <f ca="1">'Total Duration Tables Sup #2'!B86</f>
        <v>0.26821620219999998</v>
      </c>
      <c r="C86" s="4">
        <f ca="1">'Total Duration Tables Sup #2'!C86+((C84+C85)*'Other Assumptions'!G13/(1-'Other Assumptions'!G13))</f>
        <v>0.29891369300805165</v>
      </c>
      <c r="D86" s="4">
        <f ca="1">'Total Duration Tables Sup #2'!D86+((D84+D85)*'Other Assumptions'!H13/(1-'Other Assumptions'!H13))</f>
        <v>0.32798136901656572</v>
      </c>
      <c r="E86" s="4">
        <f ca="1">'Total Duration Tables Sup #2'!E86+((E84+E85)*'Other Assumptions'!I13/(1-'Other Assumptions'!I13))</f>
        <v>10.423445994569441</v>
      </c>
      <c r="F86" s="4">
        <f ca="1">'Total Duration Tables Sup #2'!F86+((F84+F85)*'Other Assumptions'!J13/(1-'Other Assumptions'!J13))</f>
        <v>20.6901410694379</v>
      </c>
      <c r="G86" s="4">
        <f ca="1">'Total Duration Tables Sup #2'!G86+((G84+G85)*'Other Assumptions'!K13/(1-'Other Assumptions'!K13))</f>
        <v>30.840329534369694</v>
      </c>
      <c r="H86" s="4">
        <f ca="1">'Total Duration Tables Sup #2'!H86+((H84+H85)*'Other Assumptions'!L13/(1-'Other Assumptions'!L13))</f>
        <v>40.634812219662898</v>
      </c>
      <c r="I86" s="1">
        <f ca="1">'Total Duration Tables Sup #2'!I86+((I84+I85)*'Other Assumptions'!M13/(1-'Other Assumptions'!M13))</f>
        <v>40.99227707157371</v>
      </c>
      <c r="J86" s="1">
        <f ca="1">'Total Duration Tables Sup #2'!J86+((J84+J85)*'Other Assumptions'!N13/(1-'Other Assumptions'!N13))</f>
        <v>41.199986407702355</v>
      </c>
      <c r="K86" s="1">
        <f ca="1">'Total Duration Tables Sup #2'!K86+((K84+K85)*'Other Assumptions'!O13/(1-'Other Assumptions'!O13))</f>
        <v>41.307902057173393</v>
      </c>
    </row>
    <row r="87" spans="1:11" x14ac:dyDescent="0.2">
      <c r="A87" t="str">
        <f ca="1">OFFSET(Manawatu_Reference,35,2)</f>
        <v>Motorcyclist</v>
      </c>
      <c r="B87" s="4">
        <f ca="1">'Total Duration Tables Sup #2'!B87</f>
        <v>0.1643149203</v>
      </c>
      <c r="C87" s="4">
        <f ca="1">'Total Duration Tables Sup #2'!C87</f>
        <v>0.17077299303443491</v>
      </c>
      <c r="D87" s="4">
        <f ca="1">'Total Duration Tables Sup #2'!D87</f>
        <v>0.17461126585604239</v>
      </c>
      <c r="E87" s="4">
        <f ca="1">'Total Duration Tables Sup #2'!E87</f>
        <v>0.17653162970256689</v>
      </c>
      <c r="F87" s="4">
        <f ca="1">'Total Duration Tables Sup #2'!F87</f>
        <v>0.17577287866452562</v>
      </c>
      <c r="G87" s="4">
        <f ca="1">'Total Duration Tables Sup #2'!G87</f>
        <v>0.17158168397420928</v>
      </c>
      <c r="H87" s="4">
        <f ca="1">'Total Duration Tables Sup #2'!H87</f>
        <v>0.16574480764293736</v>
      </c>
      <c r="I87" s="1">
        <f ca="1">'Total Duration Tables Sup #2'!I87</f>
        <v>0.16780574785615351</v>
      </c>
      <c r="J87" s="1">
        <f ca="1">'Total Duration Tables Sup #2'!J87</f>
        <v>0.16935903040039343</v>
      </c>
      <c r="K87" s="1">
        <f ca="1">'Total Duration Tables Sup #2'!K87</f>
        <v>0.1704957202419643</v>
      </c>
    </row>
    <row r="88" spans="1:11" x14ac:dyDescent="0.2">
      <c r="A88" t="str">
        <f ca="1">OFFSET(Taranaki_Reference,42,2)</f>
        <v>Local Train</v>
      </c>
      <c r="B88" s="4">
        <f ca="1">'Total Duration Tables Sup #2'!B88</f>
        <v>0</v>
      </c>
      <c r="C88" s="4">
        <f ca="1">'Total Duration Tables Sup #2'!C88</f>
        <v>0</v>
      </c>
      <c r="D88" s="4">
        <f ca="1">'Total Duration Tables Sup #2'!D88</f>
        <v>0</v>
      </c>
      <c r="E88" s="4">
        <f ca="1">'Total Duration Tables Sup #2'!E88</f>
        <v>0</v>
      </c>
      <c r="F88" s="4">
        <f ca="1">'Total Duration Tables Sup #2'!F88</f>
        <v>0</v>
      </c>
      <c r="G88" s="4">
        <f ca="1">'Total Duration Tables Sup #2'!G88</f>
        <v>0</v>
      </c>
      <c r="H88" s="4">
        <f ca="1">'Total Duration Tables Sup #2'!H88</f>
        <v>0</v>
      </c>
      <c r="I88" s="1">
        <f ca="1">'Total Duration Tables Sup #2'!I88</f>
        <v>0</v>
      </c>
      <c r="J88" s="1">
        <f ca="1">'Total Duration Tables Sup #2'!J88</f>
        <v>0</v>
      </c>
      <c r="K88" s="1">
        <f ca="1">'Total Duration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Duration Tables Sup #2'!B89</f>
        <v>1.7349616699999999</v>
      </c>
      <c r="C89" s="4">
        <f ca="1">'Total Duration Tables Sup #2'!C89</f>
        <v>1.5802706232861932</v>
      </c>
      <c r="D89" s="4">
        <f ca="1">'Total Duration Tables Sup #2'!D89</f>
        <v>1.582855570677596</v>
      </c>
      <c r="E89" s="4">
        <f ca="1">'Total Duration Tables Sup #2'!E89</f>
        <v>1.5630052750710766</v>
      </c>
      <c r="F89" s="4">
        <f ca="1">'Total Duration Tables Sup #2'!F89</f>
        <v>1.5358667046579069</v>
      </c>
      <c r="G89" s="4">
        <f ca="1">'Total Duration Tables Sup #2'!G89</f>
        <v>1.5194296331125061</v>
      </c>
      <c r="H89" s="4">
        <f ca="1">'Total Duration Tables Sup #2'!H89</f>
        <v>1.5009186023828565</v>
      </c>
      <c r="I89" s="1">
        <f ca="1">'Total Duration Tables Sup #2'!I89</f>
        <v>1.5167835798526692</v>
      </c>
      <c r="J89" s="1">
        <f ca="1">'Total Duration Tables Sup #2'!J89</f>
        <v>1.5275424569220613</v>
      </c>
      <c r="K89" s="1">
        <f ca="1">'Total Duration Tables Sup #2'!K89</f>
        <v>1.5345622300592618</v>
      </c>
    </row>
    <row r="90" spans="1:11" x14ac:dyDescent="0.2">
      <c r="A90" t="str">
        <f ca="1">OFFSET(Manawatu_Reference,49,2)</f>
        <v>Local Ferry</v>
      </c>
      <c r="B90" s="4">
        <f ca="1">'Total Duration Tables Sup #2'!B90</f>
        <v>1.3357738999999997E-2</v>
      </c>
      <c r="C90" s="4">
        <f ca="1">'Total Duration Tables Sup #2'!C90</f>
        <v>1.5225516137388458E-2</v>
      </c>
      <c r="D90" s="4">
        <f ca="1">'Total Duration Tables Sup #2'!D90</f>
        <v>1.5148751517469103E-2</v>
      </c>
      <c r="E90" s="4">
        <f ca="1">'Total Duration Tables Sup #2'!E90</f>
        <v>1.5361213345630018E-2</v>
      </c>
      <c r="F90" s="4">
        <f ca="1">'Total Duration Tables Sup #2'!F90</f>
        <v>1.5242820337056168E-2</v>
      </c>
      <c r="G90" s="4">
        <f ca="1">'Total Duration Tables Sup #2'!G90</f>
        <v>1.5293343285508111E-2</v>
      </c>
      <c r="H90" s="4">
        <f ca="1">'Total Duration Tables Sup #2'!H90</f>
        <v>1.5092206351433513E-2</v>
      </c>
      <c r="I90" s="1">
        <f ca="1">'Total Duration Tables Sup #2'!I90</f>
        <v>1.5008712912891327E-2</v>
      </c>
      <c r="J90" s="1">
        <f ca="1">'Total Duration Tables Sup #2'!J90</f>
        <v>1.4811924847073377E-2</v>
      </c>
      <c r="K90" s="1">
        <f ca="1">'Total Duration Tables Sup #2'!K90</f>
        <v>1.4588281888237331E-2</v>
      </c>
    </row>
    <row r="91" spans="1:11" x14ac:dyDescent="0.2">
      <c r="A91" t="str">
        <f ca="1">OFFSET(Manawatu_Reference,56,2)</f>
        <v>Other Household Travel</v>
      </c>
      <c r="B91" s="4">
        <f ca="1">'Total Duration Tables Sup #2'!B91</f>
        <v>3.9735238899999997E-2</v>
      </c>
      <c r="C91" s="4">
        <f ca="1">'Total Duration Tables Sup #2'!C91</f>
        <v>4.2536874800581485E-2</v>
      </c>
      <c r="D91" s="4">
        <f ca="1">'Total Duration Tables Sup #2'!D91</f>
        <v>4.3173652067707582E-2</v>
      </c>
      <c r="E91" s="4">
        <f ca="1">'Total Duration Tables Sup #2'!E91</f>
        <v>4.3580943218554345E-2</v>
      </c>
      <c r="F91" s="4">
        <f ca="1">'Total Duration Tables Sup #2'!F91</f>
        <v>4.3266282649732493E-2</v>
      </c>
      <c r="G91" s="4">
        <f ca="1">'Total Duration Tables Sup #2'!G91</f>
        <v>4.2875959266638418E-2</v>
      </c>
      <c r="H91" s="4">
        <f ca="1">'Total Duration Tables Sup #2'!H91</f>
        <v>4.1915259275911831E-2</v>
      </c>
      <c r="I91" s="1">
        <f ca="1">'Total Duration Tables Sup #2'!I91</f>
        <v>4.2147020032390334E-2</v>
      </c>
      <c r="J91" s="1">
        <f ca="1">'Total Duration Tables Sup #2'!J91</f>
        <v>4.2198077969635699E-2</v>
      </c>
      <c r="K91" s="1">
        <f ca="1">'Total Duration Tables Sup #2'!K91</f>
        <v>4.2150310564648644E-2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'Total Duration Tables Sup #2'!B93</f>
        <v>32.985647405999998</v>
      </c>
      <c r="C93" s="4">
        <f ca="1">'Total Duration Tables Sup #2'!C93+'Total Duration Tables Sup #2'!C95*'Other Assumptions'!G77*'Other Assumptions'!G84+'Total Duration Tables Sup #2'!C96*'Other Assumptions'!G77*'Other Assumptions'!G84</f>
        <v>33.919609499960778</v>
      </c>
      <c r="D93" s="4">
        <f ca="1">'Total Duration Tables Sup #2'!D93+'Total Duration Tables Sup #2'!D95*'Other Assumptions'!H77*'Other Assumptions'!H84+'Total Duration Tables Sup #2'!D96*'Other Assumptions'!H77*'Other Assumptions'!H84</f>
        <v>35.111825992295145</v>
      </c>
      <c r="E93" s="4">
        <f ca="1">'Total Duration Tables Sup #2'!E93+'Total Duration Tables Sup #2'!E95*'Other Assumptions'!I77*'Other Assumptions'!I84+'Total Duration Tables Sup #2'!E96*'Other Assumptions'!I77*'Other Assumptions'!I84</f>
        <v>35.854578732436224</v>
      </c>
      <c r="F93" s="4">
        <f ca="1">'Total Duration Tables Sup #2'!F93+'Total Duration Tables Sup #2'!F95*'Other Assumptions'!J77*'Other Assumptions'!J84+'Total Duration Tables Sup #2'!F96*'Other Assumptions'!J77*'Other Assumptions'!J84</f>
        <v>36.347372418506026</v>
      </c>
      <c r="G93" s="4">
        <f ca="1">'Total Duration Tables Sup #2'!G93+'Total Duration Tables Sup #2'!G95*'Other Assumptions'!K77*'Other Assumptions'!K84+'Total Duration Tables Sup #2'!G96*'Other Assumptions'!K77*'Other Assumptions'!K84</f>
        <v>36.764120116316882</v>
      </c>
      <c r="H93" s="4">
        <f ca="1">'Total Duration Tables Sup #2'!H93+'Total Duration Tables Sup #2'!H95*'Other Assumptions'!L77*'Other Assumptions'!L84+'Total Duration Tables Sup #2'!H96*'Other Assumptions'!L77*'Other Assumptions'!L84</f>
        <v>36.926223132668596</v>
      </c>
      <c r="I93" s="1">
        <f ca="1">'Total Duration Tables Sup #2'!I93+'Total Duration Tables Sup #2'!I95*'Other Assumptions'!M77*'Other Assumptions'!M84+'Total Duration Tables Sup #2'!I96*'Other Assumptions'!M77*'Other Assumptions'!M84</f>
        <v>37.861662352606913</v>
      </c>
      <c r="J93" s="1">
        <f ca="1">'Total Duration Tables Sup #2'!J93+'Total Duration Tables Sup #2'!J95*'Other Assumptions'!N77*'Other Assumptions'!N84+'Total Duration Tables Sup #2'!J96*'Other Assumptions'!N77*'Other Assumptions'!N84</f>
        <v>38.697002269341574</v>
      </c>
      <c r="K93" s="1">
        <f ca="1">'Total Duration Tables Sup #2'!K93+'Total Duration Tables Sup #2'!K95*'Other Assumptions'!O77*'Other Assumptions'!O84+'Total Duration Tables Sup #2'!K96*'Other Assumptions'!O77*'Other Assumptions'!O84</f>
        <v>39.453118750082105</v>
      </c>
    </row>
    <row r="94" spans="1:11" x14ac:dyDescent="0.2">
      <c r="A94" t="str">
        <f ca="1">OFFSET(Wellington_Reference,7,2)</f>
        <v>Cyclist</v>
      </c>
      <c r="B94" s="4">
        <f ca="1">'Total Duration Tables Sup #2'!B94</f>
        <v>3.6978261002999999</v>
      </c>
      <c r="C94" s="4">
        <f ca="1">'Total Duration Tables Sup #2'!C94+'Total Duration Tables Sup #2'!C95*'Other Assumptions'!G77*'Other Assumptions'!G83+'Total Duration Tables Sup #2'!C96*'Other Assumptions'!G77*'Other Assumptions'!G83</f>
        <v>3.8671528064128657</v>
      </c>
      <c r="D94" s="4">
        <f ca="1">'Total Duration Tables Sup #2'!D94+'Total Duration Tables Sup #2'!D95*'Other Assumptions'!H77*'Other Assumptions'!H83+'Total Duration Tables Sup #2'!D96*'Other Assumptions'!H77*'Other Assumptions'!H83</f>
        <v>4.5322571080364371</v>
      </c>
      <c r="E94" s="4">
        <f ca="1">'Total Duration Tables Sup #2'!E94+'Total Duration Tables Sup #2'!E95*'Other Assumptions'!I77*'Other Assumptions'!I83+'Total Duration Tables Sup #2'!E96*'Other Assumptions'!I77*'Other Assumptions'!I83</f>
        <v>5.0551307894350606</v>
      </c>
      <c r="F94" s="4">
        <f ca="1">'Total Duration Tables Sup #2'!F94+'Total Duration Tables Sup #2'!F95*'Other Assumptions'!J77*'Other Assumptions'!J83+'Total Duration Tables Sup #2'!F96*'Other Assumptions'!J77*'Other Assumptions'!J83</f>
        <v>5.6501250465453952</v>
      </c>
      <c r="G94" s="4">
        <f ca="1">'Total Duration Tables Sup #2'!G94+'Total Duration Tables Sup #2'!G95*'Other Assumptions'!K77*'Other Assumptions'!K83+'Total Duration Tables Sup #2'!G96*'Other Assumptions'!K77*'Other Assumptions'!K83</f>
        <v>6.3445215947770928</v>
      </c>
      <c r="H94" s="4">
        <f ca="1">'Total Duration Tables Sup #2'!H94+'Total Duration Tables Sup #2'!H95*'Other Assumptions'!L77*'Other Assumptions'!L83+'Total Duration Tables Sup #2'!H96*'Other Assumptions'!L77*'Other Assumptions'!L83</f>
        <v>7.0599982814844058</v>
      </c>
      <c r="I94" s="1">
        <f ca="1">'Total Duration Tables Sup #2'!I94+'Total Duration Tables Sup #2'!I95*'Other Assumptions'!M77*'Other Assumptions'!M83+'Total Duration Tables Sup #2'!I96*'Other Assumptions'!M77*'Other Assumptions'!M83</f>
        <v>7.291166571241992</v>
      </c>
      <c r="J94" s="1">
        <f ca="1">'Total Duration Tables Sup #2'!J94+'Total Duration Tables Sup #2'!J95*'Other Assumptions'!N77*'Other Assumptions'!N83+'Total Duration Tables Sup #2'!J96*'Other Assumptions'!N77*'Other Assumptions'!N83</f>
        <v>7.5273451228090495</v>
      </c>
      <c r="K94" s="1">
        <f ca="1">'Total Duration Tables Sup #2'!K94+'Total Duration Tables Sup #2'!K95*'Other Assumptions'!O77*'Other Assumptions'!O83+'Total Duration Tables Sup #2'!K96*'Other Assumptions'!O77*'Other Assumptions'!O83</f>
        <v>7.7538032352796478</v>
      </c>
    </row>
    <row r="95" spans="1:11" x14ac:dyDescent="0.2">
      <c r="A95" t="str">
        <f ca="1">OFFSET(Wellington_Reference,14,2)</f>
        <v>Light Vehicle Driver</v>
      </c>
      <c r="B95" s="4">
        <f ca="1">'Total Duration Tables Sup #2'!B95</f>
        <v>92.129697210000003</v>
      </c>
      <c r="C95" s="4">
        <f ca="1">'Total Duration Tables Sup #2'!C95*(1-'Other Assumptions'!G14)*(1-'Other Assumptions'!G77)</f>
        <v>99.013935891666776</v>
      </c>
      <c r="D95" s="4">
        <f ca="1">'Total Duration Tables Sup #2'!D95*(1-'Other Assumptions'!H14)*(1-'Other Assumptions'!H77)</f>
        <v>102.11369995467845</v>
      </c>
      <c r="E95" s="4">
        <f ca="1">'Total Duration Tables Sup #2'!E95*(1-'Other Assumptions'!I14)*(1-'Other Assumptions'!I77)</f>
        <v>89.784132506118794</v>
      </c>
      <c r="F95" s="4">
        <f ca="1">'Total Duration Tables Sup #2'!F95*(1-'Other Assumptions'!J14)*(1-'Other Assumptions'!J77)</f>
        <v>75.871051476301176</v>
      </c>
      <c r="G95" s="4">
        <f ca="1">'Total Duration Tables Sup #2'!G95*(1-'Other Assumptions'!K14)*(1-'Other Assumptions'!K77)</f>
        <v>60.5042788590466</v>
      </c>
      <c r="H95" s="4">
        <f ca="1">'Total Duration Tables Sup #2'!H95*(1-'Other Assumptions'!L14)*(1-'Other Assumptions'!L77)</f>
        <v>44.238048083027252</v>
      </c>
      <c r="I95" s="1">
        <f ca="1">'Total Duration Tables Sup #2'!I95*(1-'Other Assumptions'!M14)*(1-'Other Assumptions'!M77)</f>
        <v>45.187350244162424</v>
      </c>
      <c r="J95" s="1">
        <f ca="1">'Total Duration Tables Sup #2'!J95*(1-'Other Assumptions'!N14)*(1-'Other Assumptions'!N77)</f>
        <v>45.969688245993893</v>
      </c>
      <c r="K95" s="1">
        <f ca="1">'Total Duration Tables Sup #2'!K95*(1-'Other Assumptions'!O14)*(1-'Other Assumptions'!O77)</f>
        <v>46.63872368500305</v>
      </c>
    </row>
    <row r="96" spans="1:11" x14ac:dyDescent="0.2">
      <c r="A96" t="str">
        <f ca="1">OFFSET(Wellington_Reference,21,2)</f>
        <v>Light Vehicle Passenger</v>
      </c>
      <c r="B96" s="4">
        <f ca="1">'Total Duration Tables Sup #2'!B96</f>
        <v>48.966354531</v>
      </c>
      <c r="C96" s="4">
        <f ca="1">'Total Duration Tables Sup #2'!C96*(1-'Other Assumptions'!G14)*(1-'Other Assumptions'!G77+'Other Assumptions'!G77*'Other Assumptions'!G80)+'Total Duration Tables Sup #2'!C95*(1-'Other Assumptions'!G14)*'Other Assumptions'!G77*'Other Assumptions'!G80</f>
        <v>50.199617001449425</v>
      </c>
      <c r="D96" s="4">
        <f ca="1">'Total Duration Tables Sup #2'!D96*(1-'Other Assumptions'!H14)*(1-'Other Assumptions'!H77+'Other Assumptions'!H77*'Other Assumptions'!H80)+'Total Duration Tables Sup #2'!D95*(1-'Other Assumptions'!H14)*'Other Assumptions'!H77*'Other Assumptions'!H80</f>
        <v>50.692283299715513</v>
      </c>
      <c r="E96" s="4">
        <f ca="1">'Total Duration Tables Sup #2'!E96*(1-'Other Assumptions'!I14)*(1-'Other Assumptions'!I77+'Other Assumptions'!I77*'Other Assumptions'!I80)+'Total Duration Tables Sup #2'!E95*(1-'Other Assumptions'!I14)*'Other Assumptions'!I77*'Other Assumptions'!I80</f>
        <v>43.578307222789867</v>
      </c>
      <c r="F96" s="4">
        <f ca="1">'Total Duration Tables Sup #2'!F96*(1-'Other Assumptions'!J14)*(1-'Other Assumptions'!J77+'Other Assumptions'!J77*'Other Assumptions'!J80)+'Total Duration Tables Sup #2'!F95*(1-'Other Assumptions'!J14)*'Other Assumptions'!J77*'Other Assumptions'!J80</f>
        <v>36.141369872196535</v>
      </c>
      <c r="G96" s="4">
        <f ca="1">'Total Duration Tables Sup #2'!G96*(1-'Other Assumptions'!K14)*(1-'Other Assumptions'!K77+'Other Assumptions'!K77*'Other Assumptions'!K80)+'Total Duration Tables Sup #2'!G95*(1-'Other Assumptions'!K14)*'Other Assumptions'!K77*'Other Assumptions'!K80</f>
        <v>28.426972989189125</v>
      </c>
      <c r="H96" s="4">
        <f ca="1">'Total Duration Tables Sup #2'!H96*(1-'Other Assumptions'!L14)*(1-'Other Assumptions'!L77+'Other Assumptions'!L77*'Other Assumptions'!L80)+'Total Duration Tables Sup #2'!H95*(1-'Other Assumptions'!L14)*'Other Assumptions'!L77*'Other Assumptions'!L80</f>
        <v>20.529965888888601</v>
      </c>
      <c r="I96" s="1">
        <f ca="1">'Total Duration Tables Sup #2'!I96*(1-'Other Assumptions'!M14)*(1-'Other Assumptions'!M77+'Other Assumptions'!M77*'Other Assumptions'!M80)+'Total Duration Tables Sup #2'!I95*(1-'Other Assumptions'!M14)*'Other Assumptions'!M77*'Other Assumptions'!M80</f>
        <v>20.932492232776148</v>
      </c>
      <c r="J96" s="1">
        <f ca="1">'Total Duration Tables Sup #2'!J96*(1-'Other Assumptions'!N14)*(1-'Other Assumptions'!N77+'Other Assumptions'!N77*'Other Assumptions'!N80)+'Total Duration Tables Sup #2'!J95*(1-'Other Assumptions'!N14)*'Other Assumptions'!N77*'Other Assumptions'!N80</f>
        <v>21.250425206529755</v>
      </c>
      <c r="K96" s="1">
        <f ca="1">'Total Duration Tables Sup #2'!K96*(1-'Other Assumptions'!O14)*(1-'Other Assumptions'!O77+'Other Assumptions'!O77*'Other Assumptions'!O80)+'Total Duration Tables Sup #2'!K95*(1-'Other Assumptions'!O14)*'Other Assumptions'!O77*'Other Assumptions'!O80</f>
        <v>21.506925111082595</v>
      </c>
    </row>
    <row r="97" spans="1:11" x14ac:dyDescent="0.2">
      <c r="A97" t="str">
        <f ca="1">OFFSET(Wellington_Reference,28,2)</f>
        <v>Taxi/Vehicle Share</v>
      </c>
      <c r="B97" s="4">
        <f ca="1">'Total Duration Tables Sup #2'!B97</f>
        <v>0.76229285280000003</v>
      </c>
      <c r="C97" s="4">
        <f ca="1">'Total Duration Tables Sup #2'!C97+((C95+C96)*'Other Assumptions'!G14/(1-'Other Assumptions'!G14))</f>
        <v>0.86450977137693774</v>
      </c>
      <c r="D97" s="4">
        <f ca="1">'Total Duration Tables Sup #2'!D97+((D95+D96)*'Other Assumptions'!H14/(1-'Other Assumptions'!H14))</f>
        <v>0.96399694207591946</v>
      </c>
      <c r="E97" s="4">
        <f ca="1">'Total Duration Tables Sup #2'!E97+((E95+E96)*'Other Assumptions'!I14/(1-'Other Assumptions'!I14))</f>
        <v>24.583490170790682</v>
      </c>
      <c r="F97" s="4">
        <f ca="1">'Total Duration Tables Sup #2'!F97+((F95+F96)*'Other Assumptions'!J14/(1-'Other Assumptions'!J14))</f>
        <v>49.123889548249736</v>
      </c>
      <c r="G97" s="4">
        <f ca="1">'Total Duration Tables Sup #2'!G97+((G95+G96)*'Other Assumptions'!K14/(1-'Other Assumptions'!K14))</f>
        <v>73.927772288157456</v>
      </c>
      <c r="H97" s="4">
        <f ca="1">'Total Duration Tables Sup #2'!H97+((H95+H96)*'Other Assumptions'!L14/(1-'Other Assumptions'!L14))</f>
        <v>98.352498954108896</v>
      </c>
      <c r="I97" s="1">
        <f ca="1">'Total Duration Tables Sup #2'!I97+((I95+I96)*'Other Assumptions'!M14/(1-'Other Assumptions'!M14))</f>
        <v>100.41061018788429</v>
      </c>
      <c r="J97" s="1">
        <f ca="1">'Total Duration Tables Sup #2'!J97+((J95+J96)*'Other Assumptions'!N14/(1-'Other Assumptions'!N14))</f>
        <v>102.08845659892449</v>
      </c>
      <c r="K97" s="1">
        <f ca="1">'Total Duration Tables Sup #2'!K97+((K95+K96)*'Other Assumptions'!O14/(1-'Other Assumptions'!O14))</f>
        <v>103.50175298678793</v>
      </c>
    </row>
    <row r="98" spans="1:11" x14ac:dyDescent="0.2">
      <c r="A98" t="str">
        <f ca="1">OFFSET(Wellington_Reference,35,2)</f>
        <v>Motorcyclist</v>
      </c>
      <c r="B98" s="4">
        <f ca="1">'Total Duration Tables Sup #2'!B98</f>
        <v>0.71073078609999996</v>
      </c>
      <c r="C98" s="4">
        <f ca="1">'Total Duration Tables Sup #2'!C98</f>
        <v>0.75168273373549566</v>
      </c>
      <c r="D98" s="4">
        <f ca="1">'Total Duration Tables Sup #2'!D98</f>
        <v>0.78107013243990808</v>
      </c>
      <c r="E98" s="4">
        <f ca="1">'Total Duration Tables Sup #2'!E98</f>
        <v>0.80048580296600902</v>
      </c>
      <c r="F98" s="4">
        <f ca="1">'Total Duration Tables Sup #2'!F98</f>
        <v>0.80881378378286117</v>
      </c>
      <c r="G98" s="4">
        <f ca="1">'Total Duration Tables Sup #2'!G98</f>
        <v>0.80146499996991971</v>
      </c>
      <c r="H98" s="4">
        <f ca="1">'Total Duration Tables Sup #2'!H98</f>
        <v>0.78579294711679448</v>
      </c>
      <c r="I98" s="1">
        <f ca="1">'Total Duration Tables Sup #2'!I98</f>
        <v>0.80747593143995822</v>
      </c>
      <c r="J98" s="1">
        <f ca="1">'Total Duration Tables Sup #2'!J98</f>
        <v>0.8271526606240962</v>
      </c>
      <c r="K98" s="1">
        <f ca="1">'Total Duration Tables Sup #2'!K98</f>
        <v>0.84517249137107031</v>
      </c>
    </row>
    <row r="99" spans="1:11" x14ac:dyDescent="0.2">
      <c r="A99" t="str">
        <f ca="1">OFFSET(Wellington_Reference,42,2)</f>
        <v>Local Train</v>
      </c>
      <c r="B99" s="4">
        <f ca="1">'Total Duration Tables Sup #2'!B99</f>
        <v>6.554720885672368</v>
      </c>
      <c r="C99" s="4">
        <f ca="1">'Total Duration Tables Sup #2'!C99+'Total Duration Tables Sup #2'!C95*'Other Assumptions'!G77*'Other Assumptions'!G82+'Total Duration Tables Sup #2'!C96*'Other Assumptions'!G77*'Other Assumptions'!G82</f>
        <v>6.5173063965197686</v>
      </c>
      <c r="D99" s="4">
        <f ca="1">'Total Duration Tables Sup #2'!D99+'Total Duration Tables Sup #2'!D95*'Other Assumptions'!H77*'Other Assumptions'!H82+'Total Duration Tables Sup #2'!D96*'Other Assumptions'!H77*'Other Assumptions'!H82</f>
        <v>7.5739777410552458</v>
      </c>
      <c r="E99" s="4">
        <f ca="1">'Total Duration Tables Sup #2'!E99+'Total Duration Tables Sup #2'!E95*'Other Assumptions'!I77*'Other Assumptions'!I82+'Total Duration Tables Sup #2'!E96*'Other Assumptions'!I77*'Other Assumptions'!I82</f>
        <v>8.0762762410707687</v>
      </c>
      <c r="F99" s="4">
        <f ca="1">'Total Duration Tables Sup #2'!F99+'Total Duration Tables Sup #2'!F95*'Other Assumptions'!J77*'Other Assumptions'!J82+'Total Duration Tables Sup #2'!F96*'Other Assumptions'!J77*'Other Assumptions'!J82</f>
        <v>8.3987143184878512</v>
      </c>
      <c r="G99" s="4">
        <f ca="1">'Total Duration Tables Sup #2'!G99+'Total Duration Tables Sup #2'!G95*'Other Assumptions'!K77*'Other Assumptions'!K82+'Total Duration Tables Sup #2'!G96*'Other Assumptions'!K77*'Other Assumptions'!K82</f>
        <v>8.6837649382554183</v>
      </c>
      <c r="H99" s="4">
        <f ca="1">'Total Duration Tables Sup #2'!H99+'Total Duration Tables Sup #2'!H95*'Other Assumptions'!L77*'Other Assumptions'!L82+'Total Duration Tables Sup #2'!H96*'Other Assumptions'!L77*'Other Assumptions'!L82</f>
        <v>8.9415917032404266</v>
      </c>
      <c r="I99" s="1">
        <f ca="1">'Total Duration Tables Sup #2'!I99+'Total Duration Tables Sup #2'!I95*'Other Assumptions'!M77*'Other Assumptions'!M82+'Total Duration Tables Sup #2'!I96*'Other Assumptions'!M77*'Other Assumptions'!M82</f>
        <v>9.6274652569525649</v>
      </c>
      <c r="J99" s="1">
        <f ca="1">'Total Duration Tables Sup #2'!J99+'Total Duration Tables Sup #2'!J95*'Other Assumptions'!N77*'Other Assumptions'!N82+'Total Duration Tables Sup #2'!J96*'Other Assumptions'!N77*'Other Assumptions'!N82</f>
        <v>10.358740412393434</v>
      </c>
      <c r="K99" s="1">
        <f ca="1">'Total Duration Tables Sup #2'!K99+'Total Duration Tables Sup #2'!K95*'Other Assumptions'!O77*'Other Assumptions'!O82+'Total Duration Tables Sup #2'!K96*'Other Assumptions'!O77*'Other Assumptions'!O82</f>
        <v>11.142130710823157</v>
      </c>
    </row>
    <row r="100" spans="1:11" x14ac:dyDescent="0.2">
      <c r="A100" t="str">
        <f ca="1">OFFSET(Wellington_Reference,49,2)</f>
        <v>Local Bus</v>
      </c>
      <c r="B100" s="4">
        <f ca="1">'Total Duration Tables Sup #2'!B100</f>
        <v>8.2404499312721509</v>
      </c>
      <c r="C100" s="4">
        <f ca="1">'Total Duration Tables Sup #2'!C100+'Total Duration Tables Sup #2'!C95*'Other Assumptions'!G77*'Other Assumptions'!G81+'Total Duration Tables Sup #2'!C96*'Other Assumptions'!G77*'Other Assumptions'!G81</f>
        <v>7.9756978131113518</v>
      </c>
      <c r="D100" s="4">
        <f ca="1">'Total Duration Tables Sup #2'!D100+'Total Duration Tables Sup #2'!D95*'Other Assumptions'!H77*'Other Assumptions'!H81+'Total Duration Tables Sup #2'!D96*'Other Assumptions'!H77*'Other Assumptions'!H81</f>
        <v>9.1795627318990256</v>
      </c>
      <c r="E100" s="4">
        <f ca="1">'Total Duration Tables Sup #2'!E100+'Total Duration Tables Sup #2'!E95*'Other Assumptions'!I77*'Other Assumptions'!I81+'Total Duration Tables Sup #2'!E96*'Other Assumptions'!I77*'Other Assumptions'!I81</f>
        <v>9.4438144818442833</v>
      </c>
      <c r="F100" s="4">
        <f ca="1">'Total Duration Tables Sup #2'!F100+'Total Duration Tables Sup #2'!F95*'Other Assumptions'!J77*'Other Assumptions'!J81+'Total Duration Tables Sup #2'!F96*'Other Assumptions'!J77*'Other Assumptions'!J81</f>
        <v>9.2991553371073827</v>
      </c>
      <c r="G100" s="4">
        <f ca="1">'Total Duration Tables Sup #2'!G100+'Total Duration Tables Sup #2'!G95*'Other Assumptions'!K77*'Other Assumptions'!K81+'Total Duration Tables Sup #2'!G96*'Other Assumptions'!K77*'Other Assumptions'!K81</f>
        <v>9.17852527633082</v>
      </c>
      <c r="H100" s="4">
        <f ca="1">'Total Duration Tables Sup #2'!H100+'Total Duration Tables Sup #2'!H95*'Other Assumptions'!L77*'Other Assumptions'!L81+'Total Duration Tables Sup #2'!H96*'Other Assumptions'!L77*'Other Assumptions'!L81</f>
        <v>9.0684597253516053</v>
      </c>
      <c r="I100" s="1">
        <f ca="1">'Total Duration Tables Sup #2'!I100+'Total Duration Tables Sup #2'!I95*'Other Assumptions'!M77*'Other Assumptions'!M81+'Total Duration Tables Sup #2'!I96*'Other Assumptions'!M77*'Other Assumptions'!M81</f>
        <v>9.4682923949428286</v>
      </c>
      <c r="J100" s="1">
        <f ca="1">'Total Duration Tables Sup #2'!J100+'Total Duration Tables Sup #2'!J95*'Other Assumptions'!N77*'Other Assumptions'!N81+'Total Duration Tables Sup #2'!J96*'Other Assumptions'!N77*'Other Assumptions'!N81</f>
        <v>9.8818510224582621</v>
      </c>
      <c r="K100" s="1">
        <f ca="1">'Total Duration Tables Sup #2'!K100+'Total Duration Tables Sup #2'!K95*'Other Assumptions'!O77*'Other Assumptions'!O81+'Total Duration Tables Sup #2'!K96*'Other Assumptions'!O77*'Other Assumptions'!O81</f>
        <v>10.310298822100266</v>
      </c>
    </row>
    <row r="101" spans="1:11" x14ac:dyDescent="0.2">
      <c r="A101" t="str">
        <f ca="1">OFFSET(Wellington_Reference,56,2)</f>
        <v>Local Ferry</v>
      </c>
      <c r="B101" s="4">
        <f ca="1">'Total Duration Tables Sup #2'!B101</f>
        <v>5.6537513499999983E-2</v>
      </c>
      <c r="C101" s="4">
        <f ca="1">'Total Duration Tables Sup #2'!C101</f>
        <v>6.5578734566202612E-2</v>
      </c>
      <c r="D101" s="4">
        <f ca="1">'Total Duration Tables Sup #2'!D101</f>
        <v>6.6308657614347302E-2</v>
      </c>
      <c r="E101" s="4">
        <f ca="1">'Total Duration Tables Sup #2'!E101</f>
        <v>6.8160418452460694E-2</v>
      </c>
      <c r="F101" s="4">
        <f ca="1">'Total Duration Tables Sup #2'!F101</f>
        <v>6.8633734922891529E-2</v>
      </c>
      <c r="G101" s="4">
        <f ca="1">'Total Duration Tables Sup #2'!G101</f>
        <v>6.9902337152966385E-2</v>
      </c>
      <c r="H101" s="4">
        <f ca="1">'Total Duration Tables Sup #2'!H101</f>
        <v>7.0015880185485518E-2</v>
      </c>
      <c r="I101" s="1">
        <f ca="1">'Total Duration Tables Sup #2'!I101</f>
        <v>7.0671096172990999E-2</v>
      </c>
      <c r="J101" s="1">
        <f ca="1">'Total Duration Tables Sup #2'!J101</f>
        <v>7.0788781365875117E-2</v>
      </c>
      <c r="K101" s="1">
        <f ca="1">'Total Duration Tables Sup #2'!K101</f>
        <v>7.0763880696229631E-2</v>
      </c>
    </row>
    <row r="102" spans="1:11" x14ac:dyDescent="0.2">
      <c r="A102" t="str">
        <f ca="1">OFFSET(Wellington_Reference,63,2)</f>
        <v>Other Household Travel</v>
      </c>
      <c r="B102" s="4">
        <f ca="1">'Total Duration Tables Sup #2'!B102</f>
        <v>0.36538599710000003</v>
      </c>
      <c r="C102" s="4">
        <f ca="1">'Total Duration Tables Sup #2'!C102</f>
        <v>0.3980420069068944</v>
      </c>
      <c r="D102" s="4">
        <f ca="1">'Total Duration Tables Sup #2'!D102</f>
        <v>0.4105674367848598</v>
      </c>
      <c r="E102" s="4">
        <f ca="1">'Total Duration Tables Sup #2'!E102</f>
        <v>0.42012224020750971</v>
      </c>
      <c r="F102" s="4">
        <f ca="1">'Total Duration Tables Sup #2'!F102</f>
        <v>0.42324730898058682</v>
      </c>
      <c r="G102" s="4">
        <f ca="1">'Total Duration Tables Sup #2'!G102</f>
        <v>0.4257703642483735</v>
      </c>
      <c r="H102" s="4">
        <f ca="1">'Total Duration Tables Sup #2'!H102</f>
        <v>0.42246262700649717</v>
      </c>
      <c r="I102" s="1">
        <f ca="1">'Total Duration Tables Sup #2'!I102</f>
        <v>0.43115911413729652</v>
      </c>
      <c r="J102" s="1">
        <f ca="1">'Total Duration Tables Sup #2'!J102</f>
        <v>0.43814506708741668</v>
      </c>
      <c r="K102" s="1">
        <f ca="1">'Total Duration Tables Sup #2'!K102</f>
        <v>0.44420208637675873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'Total Duration Tables Sup #2'!B104</f>
        <v>7.2640217022</v>
      </c>
      <c r="C104" s="4">
        <f ca="1">'Total Duration Tables Sup #2'!C104</f>
        <v>7.3990339323175691</v>
      </c>
      <c r="D104" s="4">
        <f ca="1">'Total Duration Tables Sup #2'!D104</f>
        <v>7.6437590095019345</v>
      </c>
      <c r="E104" s="4">
        <f ca="1">'Total Duration Tables Sup #2'!E104</f>
        <v>7.7848305636276365</v>
      </c>
      <c r="F104" s="4">
        <f ca="1">'Total Duration Tables Sup #2'!F104</f>
        <v>7.8543498488332224</v>
      </c>
      <c r="G104" s="4">
        <f ca="1">'Total Duration Tables Sup #2'!G104</f>
        <v>7.896572875054793</v>
      </c>
      <c r="H104" s="4">
        <f ca="1">'Total Duration Tables Sup #2'!H104</f>
        <v>7.871164450660209</v>
      </c>
      <c r="I104" s="1">
        <f ca="1">'Total Duration Tables Sup #2'!I104</f>
        <v>8.0078249740452065</v>
      </c>
      <c r="J104" s="1">
        <f ca="1">'Total Duration Tables Sup #2'!J104</f>
        <v>8.121734464469446</v>
      </c>
      <c r="K104" s="1">
        <f ca="1">'Total Duration Tables Sup #2'!K104</f>
        <v>8.2176899459007657</v>
      </c>
    </row>
    <row r="105" spans="1:11" x14ac:dyDescent="0.2">
      <c r="A105" t="str">
        <f ca="1">OFFSET(Nelson_Reference,7,2)</f>
        <v>Cyclist</v>
      </c>
      <c r="B105" s="4">
        <f ca="1">'Total Duration Tables Sup #2'!B105</f>
        <v>1.0417220854</v>
      </c>
      <c r="C105" s="4">
        <f ca="1">'Total Duration Tables Sup #2'!C105</f>
        <v>1.0790964411005883</v>
      </c>
      <c r="D105" s="4">
        <f ca="1">'Total Duration Tables Sup #2'!D105</f>
        <v>1.2605302735055526</v>
      </c>
      <c r="E105" s="4">
        <f ca="1">'Total Duration Tables Sup #2'!E105</f>
        <v>1.4010301812423993</v>
      </c>
      <c r="F105" s="4">
        <f ca="1">'Total Duration Tables Sup #2'!F105</f>
        <v>1.5579250136181659</v>
      </c>
      <c r="G105" s="4">
        <f ca="1">'Total Duration Tables Sup #2'!G105</f>
        <v>1.7380909326364677</v>
      </c>
      <c r="H105" s="4">
        <f ca="1">'Total Duration Tables Sup #2'!H105</f>
        <v>1.9183744664393663</v>
      </c>
      <c r="I105" s="1">
        <f ca="1">'Total Duration Tables Sup #2'!I105</f>
        <v>1.9651760635246007</v>
      </c>
      <c r="J105" s="1">
        <f ca="1">'Total Duration Tables Sup #2'!J105</f>
        <v>2.0125303251109563</v>
      </c>
      <c r="K105" s="1">
        <f ca="1">'Total Duration Tables Sup #2'!K105</f>
        <v>2.0565158695877468</v>
      </c>
    </row>
    <row r="106" spans="1:11" x14ac:dyDescent="0.2">
      <c r="A106" t="str">
        <f ca="1">OFFSET(Nelson_Reference,14,2)</f>
        <v>Light Vehicle Driver</v>
      </c>
      <c r="B106" s="4">
        <f ca="1">'Total Duration Tables Sup #2'!B106</f>
        <v>23.635435057999999</v>
      </c>
      <c r="C106" s="4">
        <f ca="1">'Total Duration Tables Sup #2'!C106*(1-'Other Assumptions'!G15)</f>
        <v>25.166153563652728</v>
      </c>
      <c r="D106" s="4">
        <f ca="1">'Total Duration Tables Sup #2'!D106*(1-'Other Assumptions'!H15)</f>
        <v>25.997677882616358</v>
      </c>
      <c r="E106" s="4">
        <f ca="1">'Total Duration Tables Sup #2'!E106*(1-'Other Assumptions'!I15)</f>
        <v>22.858620783976516</v>
      </c>
      <c r="F106" s="4">
        <f ca="1">'Total Duration Tables Sup #2'!F106*(1-'Other Assumptions'!J15)</f>
        <v>19.256986245688115</v>
      </c>
      <c r="G106" s="4">
        <f ca="1">'Total Duration Tables Sup #2'!G106*(1-'Other Assumptions'!K15)</f>
        <v>15.292504598608613</v>
      </c>
      <c r="H106" s="4">
        <f ca="1">'Total Duration Tables Sup #2'!H106*(1-'Other Assumptions'!L15)</f>
        <v>11.120240830566367</v>
      </c>
      <c r="I106" s="1">
        <f ca="1">'Total Duration Tables Sup #2'!I106*(1-'Other Assumptions'!M15)</f>
        <v>11.291533998369978</v>
      </c>
      <c r="J106" s="1">
        <f ca="1">'Total Duration Tables Sup #2'!J106*(1-'Other Assumptions'!N15)</f>
        <v>11.423160325180376</v>
      </c>
      <c r="K106" s="1">
        <f ca="1">'Total Duration Tables Sup #2'!K106*(1-'Other Assumptions'!O15)</f>
        <v>11.528785883325648</v>
      </c>
    </row>
    <row r="107" spans="1:11" x14ac:dyDescent="0.2">
      <c r="A107" t="str">
        <f ca="1">OFFSET(Nelson_Reference,21,2)</f>
        <v>Light Vehicle Passenger</v>
      </c>
      <c r="B107" s="4">
        <f ca="1">'Total Duration Tables Sup #2'!B107</f>
        <v>11.910351560000001</v>
      </c>
      <c r="C107" s="4">
        <f ca="1">'Total Duration Tables Sup #2'!C107*(1-'Other Assumptions'!G15)</f>
        <v>12.099689025996708</v>
      </c>
      <c r="D107" s="4">
        <f ca="1">'Total Duration Tables Sup #2'!D107*(1-'Other Assumptions'!H15)</f>
        <v>12.297246715526368</v>
      </c>
      <c r="E107" s="4">
        <f ca="1">'Total Duration Tables Sup #2'!E107*(1-'Other Assumptions'!I15)</f>
        <v>10.609920894812499</v>
      </c>
      <c r="F107" s="4">
        <f ca="1">'Total Duration Tables Sup #2'!F107*(1-'Other Assumptions'!J15)</f>
        <v>8.7920545799752201</v>
      </c>
      <c r="G107" s="4">
        <f ca="1">'Total Duration Tables Sup #2'!G107*(1-'Other Assumptions'!K15)</f>
        <v>6.9040000456236417</v>
      </c>
      <c r="H107" s="4">
        <f ca="1">'Total Duration Tables Sup #2'!H107*(1-'Other Assumptions'!L15)</f>
        <v>4.974081250232615</v>
      </c>
      <c r="I107" s="1">
        <f ca="1">'Total Duration Tables Sup #2'!I107*(1-'Other Assumptions'!M15)</f>
        <v>5.054053969328657</v>
      </c>
      <c r="J107" s="1">
        <f ca="1">'Total Duration Tables Sup #2'!J107*(1-'Other Assumptions'!N15)</f>
        <v>5.1168657272642148</v>
      </c>
      <c r="K107" s="1">
        <f ca="1">'Total Duration Tables Sup #2'!K107*(1-'Other Assumptions'!O15)</f>
        <v>5.1680040368572682</v>
      </c>
    </row>
    <row r="108" spans="1:11" x14ac:dyDescent="0.2">
      <c r="A108" t="str">
        <f ca="1">OFFSET(Nelson_Reference,28,2)</f>
        <v>Taxi/Vehicle Share</v>
      </c>
      <c r="B108" s="4">
        <f ca="1">'Total Duration Tables Sup #2'!B108</f>
        <v>8.1526233300000001E-2</v>
      </c>
      <c r="C108" s="4">
        <f ca="1">'Total Duration Tables Sup #2'!C108+((C106+C107)*'Other Assumptions'!G15/(1-'Other Assumptions'!G15))</f>
        <v>9.1581757759997537E-2</v>
      </c>
      <c r="D108" s="4">
        <f ca="1">'Total Duration Tables Sup #2'!D108+((D106+D107)*'Other Assumptions'!H15/(1-'Other Assumptions'!H15))</f>
        <v>0.10178517770538575</v>
      </c>
      <c r="E108" s="4">
        <f ca="1">'Total Duration Tables Sup #2'!E108+((E106+E107)*'Other Assumptions'!I15/(1-'Other Assumptions'!I15))</f>
        <v>6.0165795935776689</v>
      </c>
      <c r="F108" s="4">
        <f ca="1">'Total Duration Tables Sup #2'!F108+((F106+F107)*'Other Assumptions'!J15/(1-'Other Assumptions'!J15))</f>
        <v>12.138107627292985</v>
      </c>
      <c r="G108" s="4">
        <f ca="1">'Total Duration Tables Sup #2'!G108+((G106+G107)*'Other Assumptions'!K15/(1-'Other Assumptions'!K15))</f>
        <v>18.282026686712502</v>
      </c>
      <c r="H108" s="4">
        <f ca="1">'Total Duration Tables Sup #2'!H108+((H106+H107)*'Other Assumptions'!L15/(1-'Other Assumptions'!L15))</f>
        <v>24.26532089480617</v>
      </c>
      <c r="I108" s="1">
        <f ca="1">'Total Duration Tables Sup #2'!I108+((I106+I107)*'Other Assumptions'!M15/(1-'Other Assumptions'!M15))</f>
        <v>24.64432623858437</v>
      </c>
      <c r="J108" s="1">
        <f ca="1">'Total Duration Tables Sup #2'!J108+((J106+J107)*'Other Assumptions'!N15/(1-'Other Assumptions'!N15))</f>
        <v>24.937756533549745</v>
      </c>
      <c r="K108" s="1">
        <f ca="1">'Total Duration Tables Sup #2'!K108+((K106+K107)*'Other Assumptions'!O15/(1-'Other Assumptions'!O15))</f>
        <v>25.174398646824386</v>
      </c>
    </row>
    <row r="109" spans="1:11" x14ac:dyDescent="0.2">
      <c r="A109" t="str">
        <f ca="1">OFFSET(Nelson_Reference,35,2)</f>
        <v>Motorcyclist</v>
      </c>
      <c r="B109" s="4">
        <f ca="1">'Total Duration Tables Sup #2'!B109</f>
        <v>0.60769230029999999</v>
      </c>
      <c r="C109" s="4">
        <f ca="1">'Total Duration Tables Sup #2'!C109</f>
        <v>0.63661478319431308</v>
      </c>
      <c r="D109" s="4">
        <f ca="1">'Total Duration Tables Sup #2'!D109</f>
        <v>0.65932871477906452</v>
      </c>
      <c r="E109" s="4">
        <f ca="1">'Total Duration Tables Sup #2'!E109</f>
        <v>0.6733516772445276</v>
      </c>
      <c r="F109" s="4">
        <f ca="1">'Total Duration Tables Sup #2'!F109</f>
        <v>0.67687777166396546</v>
      </c>
      <c r="G109" s="4">
        <f ca="1">'Total Duration Tables Sup #2'!G109</f>
        <v>0.66639448333245321</v>
      </c>
      <c r="H109" s="4">
        <f ca="1">'Total Duration Tables Sup #2'!H109</f>
        <v>0.64805241623259602</v>
      </c>
      <c r="I109" s="1">
        <f ca="1">'Total Duration Tables Sup #2'!I109</f>
        <v>0.66055236133134076</v>
      </c>
      <c r="J109" s="1">
        <f ca="1">'Total Duration Tables Sup #2'!J109</f>
        <v>0.67121166162761992</v>
      </c>
      <c r="K109" s="1">
        <f ca="1">'Total Duration Tables Sup #2'!K109</f>
        <v>0.68035543770796902</v>
      </c>
    </row>
    <row r="110" spans="1:11" x14ac:dyDescent="0.2">
      <c r="A110" t="str">
        <f ca="1">OFFSET(Nelson_Reference,42,2)</f>
        <v>Local Train</v>
      </c>
      <c r="B110" s="4">
        <f ca="1">'Total Duration Tables Sup #2'!B110</f>
        <v>0</v>
      </c>
      <c r="C110" s="4">
        <f ca="1">'Total Duration Tables Sup #2'!C110</f>
        <v>0</v>
      </c>
      <c r="D110" s="4">
        <f ca="1">'Total Duration Tables Sup #2'!D110</f>
        <v>0</v>
      </c>
      <c r="E110" s="4">
        <f ca="1">'Total Duration Tables Sup #2'!E110</f>
        <v>0</v>
      </c>
      <c r="F110" s="4">
        <f ca="1">'Total Duration Tables Sup #2'!F110</f>
        <v>0</v>
      </c>
      <c r="G110" s="4">
        <f ca="1">'Total Duration Tables Sup #2'!G110</f>
        <v>0</v>
      </c>
      <c r="H110" s="4">
        <f ca="1">'Total Duration Tables Sup #2'!H110</f>
        <v>0</v>
      </c>
      <c r="I110" s="1">
        <f ca="1">'Total Duration Tables Sup #2'!I110</f>
        <v>0</v>
      </c>
      <c r="J110" s="1">
        <f ca="1">'Total Duration Tables Sup #2'!J110</f>
        <v>0</v>
      </c>
      <c r="K110" s="1">
        <f ca="1">'Total Duration Tables Sup #2'!K110</f>
        <v>0</v>
      </c>
    </row>
    <row r="111" spans="1:11" x14ac:dyDescent="0.2">
      <c r="A111" t="str">
        <f ca="1">OFFSET(Nelson_Reference,49,2)</f>
        <v>Local Bus</v>
      </c>
      <c r="B111" s="4">
        <f ca="1">'Total Duration Tables Sup #2'!B111</f>
        <v>0.94491203199999996</v>
      </c>
      <c r="C111" s="4">
        <f ca="1">'Total Duration Tables Sup #2'!C111</f>
        <v>0.86752851273004539</v>
      </c>
      <c r="D111" s="4">
        <f ca="1">'Total Duration Tables Sup #2'!D111</f>
        <v>0.88016841539599722</v>
      </c>
      <c r="E111" s="4">
        <f ca="1">'Total Duration Tables Sup #2'!E111</f>
        <v>0.87795977967717931</v>
      </c>
      <c r="F111" s="4">
        <f ca="1">'Total Duration Tables Sup #2'!F111</f>
        <v>0.87097697462815715</v>
      </c>
      <c r="G111" s="4">
        <f ca="1">'Total Duration Tables Sup #2'!G111</f>
        <v>0.86903210449509039</v>
      </c>
      <c r="H111" s="4">
        <f ca="1">'Total Duration Tables Sup #2'!H111</f>
        <v>0.86421560478857717</v>
      </c>
      <c r="I111" s="1">
        <f ca="1">'Total Duration Tables Sup #2'!I111</f>
        <v>0.8792629970394783</v>
      </c>
      <c r="J111" s="1">
        <f ca="1">'Total Duration Tables Sup #2'!J111</f>
        <v>0.89153661892532599</v>
      </c>
      <c r="K111" s="1">
        <f ca="1">'Total Duration Tables Sup #2'!K111</f>
        <v>0.90178217066291988</v>
      </c>
    </row>
    <row r="112" spans="1:11" x14ac:dyDescent="0.2">
      <c r="A112" t="str">
        <f ca="1">OFFSET(Wellington_Reference,56,2)</f>
        <v>Local Ferry</v>
      </c>
      <c r="B112" s="4">
        <f ca="1">'Total Duration Tables Sup #2'!B112</f>
        <v>0</v>
      </c>
      <c r="C112" s="4">
        <f ca="1">'Total Duration Tables Sup #2'!C112</f>
        <v>0</v>
      </c>
      <c r="D112" s="4">
        <f ca="1">'Total Duration Tables Sup #2'!D112</f>
        <v>0</v>
      </c>
      <c r="E112" s="4">
        <f ca="1">'Total Duration Tables Sup #2'!E112</f>
        <v>0</v>
      </c>
      <c r="F112" s="4">
        <f ca="1">'Total Duration Tables Sup #2'!F112</f>
        <v>0</v>
      </c>
      <c r="G112" s="4">
        <f ca="1">'Total Duration Tables Sup #2'!G112</f>
        <v>0</v>
      </c>
      <c r="H112" s="4">
        <f ca="1">'Total Duration Tables Sup #2'!H112</f>
        <v>0</v>
      </c>
      <c r="I112" s="1">
        <f ca="1">'Total Duration Tables Sup #2'!I112</f>
        <v>0</v>
      </c>
      <c r="J112" s="1">
        <f ca="1">'Total Duration Tables Sup #2'!J112</f>
        <v>0</v>
      </c>
      <c r="K112" s="1">
        <f ca="1">'Total Duration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Duration Tables Sup #2'!B113</f>
        <v>0.51346004550000002</v>
      </c>
      <c r="C113" s="4">
        <f ca="1">'Total Duration Tables Sup #2'!C113</f>
        <v>0.55404775767611081</v>
      </c>
      <c r="D113" s="4">
        <f ca="1">'Total Duration Tables Sup #2'!D113</f>
        <v>0.56960344870491664</v>
      </c>
      <c r="E113" s="4">
        <f ca="1">'Total Duration Tables Sup #2'!E113</f>
        <v>0.58081809009807694</v>
      </c>
      <c r="F113" s="4">
        <f ca="1">'Total Duration Tables Sup #2'!F113</f>
        <v>0.58214619529169864</v>
      </c>
      <c r="G113" s="4">
        <f ca="1">'Total Duration Tables Sup #2'!G113</f>
        <v>0.58183308121845567</v>
      </c>
      <c r="H113" s="4">
        <f ca="1">'Total Duration Tables Sup #2'!H113</f>
        <v>0.57261992065447431</v>
      </c>
      <c r="I113" s="1">
        <f ca="1">'Total Duration Tables Sup #2'!I113</f>
        <v>0.57968409372400176</v>
      </c>
      <c r="J113" s="1">
        <f ca="1">'Total Duration Tables Sup #2'!J113</f>
        <v>0.58434307042088174</v>
      </c>
      <c r="K113" s="1">
        <f ca="1">'Total Duration Tables Sup #2'!K113</f>
        <v>0.58768857856369627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'Total Duration Tables Sup #2'!B115</f>
        <v>1.1518220776999999</v>
      </c>
      <c r="C115" s="4">
        <f ca="1">'Total Duration Tables Sup #2'!C115</f>
        <v>1.1019824008813337</v>
      </c>
      <c r="D115" s="4">
        <f ca="1">'Total Duration Tables Sup #2'!D115</f>
        <v>1.1050783071142012</v>
      </c>
      <c r="E115" s="4">
        <f ca="1">'Total Duration Tables Sup #2'!E115</f>
        <v>1.0943240824109346</v>
      </c>
      <c r="F115" s="4">
        <f ca="1">'Total Duration Tables Sup #2'!F115</f>
        <v>1.0740055605630847</v>
      </c>
      <c r="G115" s="4">
        <f ca="1">'Total Duration Tables Sup #2'!G115</f>
        <v>1.0508991254969842</v>
      </c>
      <c r="H115" s="4">
        <f ca="1">'Total Duration Tables Sup #2'!H115</f>
        <v>1.0221825406408418</v>
      </c>
      <c r="I115" s="1">
        <f ca="1">'Total Duration Tables Sup #2'!I115</f>
        <v>1.0147303614261083</v>
      </c>
      <c r="J115" s="1">
        <f ca="1">'Total Duration Tables Sup #2'!J115</f>
        <v>1.0041786320053545</v>
      </c>
      <c r="K115" s="1">
        <f ca="1">'Total Duration Tables Sup #2'!K115</f>
        <v>0.99132833923822161</v>
      </c>
    </row>
    <row r="116" spans="1:11" x14ac:dyDescent="0.2">
      <c r="A116" t="str">
        <f ca="1">OFFSET(West_Coast_Reference,7,2)</f>
        <v>Cyclist</v>
      </c>
      <c r="B116" s="4">
        <f ca="1">'Total Duration Tables Sup #2'!B116</f>
        <v>0.17528853950000001</v>
      </c>
      <c r="C116" s="4">
        <f ca="1">'Total Duration Tables Sup #2'!C116</f>
        <v>0.17055061315616363</v>
      </c>
      <c r="D116" s="4">
        <f ca="1">'Total Duration Tables Sup #2'!D116</f>
        <v>0.19338942984315791</v>
      </c>
      <c r="E116" s="4">
        <f ca="1">'Total Duration Tables Sup #2'!E116</f>
        <v>0.20899585280967295</v>
      </c>
      <c r="F116" s="4">
        <f ca="1">'Total Duration Tables Sup #2'!F116</f>
        <v>0.22606650681707424</v>
      </c>
      <c r="G116" s="4">
        <f ca="1">'Total Duration Tables Sup #2'!G116</f>
        <v>0.24546425716952275</v>
      </c>
      <c r="H116" s="4">
        <f ca="1">'Total Duration Tables Sup #2'!H116</f>
        <v>0.26437247884241183</v>
      </c>
      <c r="I116" s="1">
        <f ca="1">'Total Duration Tables Sup #2'!I116</f>
        <v>0.26425969751722123</v>
      </c>
      <c r="J116" s="1">
        <f ca="1">'Total Duration Tables Sup #2'!J116</f>
        <v>0.26405719626822671</v>
      </c>
      <c r="K116" s="1">
        <f ca="1">'Total Duration Tables Sup #2'!K116</f>
        <v>0.26326505785113818</v>
      </c>
    </row>
    <row r="117" spans="1:11" x14ac:dyDescent="0.2">
      <c r="A117" t="str">
        <f ca="1">OFFSET(West_Coast_Reference,14,2)</f>
        <v>Light Vehicle Driver</v>
      </c>
      <c r="B117" s="4">
        <f ca="1">'Total Duration Tables Sup #2'!B117</f>
        <v>5.0852916584000001</v>
      </c>
      <c r="C117" s="4">
        <f ca="1">'Total Duration Tables Sup #2'!C117*(1-'Other Assumptions'!G16)</f>
        <v>5.0858141033990281</v>
      </c>
      <c r="D117" s="4">
        <f ca="1">'Total Duration Tables Sup #2'!D117*(1-'Other Assumptions'!H16)</f>
        <v>5.1030928136001474</v>
      </c>
      <c r="E117" s="4">
        <f ca="1">'Total Duration Tables Sup #2'!E117*(1-'Other Assumptions'!I16)</f>
        <v>4.3652979558489111</v>
      </c>
      <c r="F117" s="4">
        <f ca="1">'Total Duration Tables Sup #2'!F117*(1-'Other Assumptions'!J16)</f>
        <v>3.5793045078801144</v>
      </c>
      <c r="G117" s="4">
        <f ca="1">'Total Duration Tables Sup #2'!G117*(1-'Other Assumptions'!K16)</f>
        <v>2.7680067586721568</v>
      </c>
      <c r="H117" s="4">
        <f ca="1">'Total Duration Tables Sup #2'!H117*(1-'Other Assumptions'!L16)</f>
        <v>1.9652827751316213</v>
      </c>
      <c r="I117" s="1">
        <f ca="1">'Total Duration Tables Sup #2'!I117*(1-'Other Assumptions'!M16)</f>
        <v>1.9472272149920871</v>
      </c>
      <c r="J117" s="1">
        <f ca="1">'Total Duration Tables Sup #2'!J117*(1-'Other Assumptions'!N16)</f>
        <v>1.9221384136017416</v>
      </c>
      <c r="K117" s="1">
        <f ca="1">'Total Duration Tables Sup #2'!K117*(1-'Other Assumptions'!O16)</f>
        <v>1.8927634311596386</v>
      </c>
    </row>
    <row r="118" spans="1:11" x14ac:dyDescent="0.2">
      <c r="A118" t="str">
        <f ca="1">OFFSET(West_Coast_Reference,21,2)</f>
        <v>Light Vehicle Passenger</v>
      </c>
      <c r="B118" s="4">
        <f ca="1">'Total Duration Tables Sup #2'!B118</f>
        <v>3.4140139011000001</v>
      </c>
      <c r="C118" s="4">
        <f ca="1">'Total Duration Tables Sup #2'!C118*(1-'Other Assumptions'!G16)</f>
        <v>3.2576639885192074</v>
      </c>
      <c r="D118" s="4">
        <f ca="1">'Total Duration Tables Sup #2'!D118*(1-'Other Assumptions'!H16)</f>
        <v>3.221323309580435</v>
      </c>
      <c r="E118" s="4">
        <f ca="1">'Total Duration Tables Sup #2'!E118*(1-'Other Assumptions'!I16)</f>
        <v>2.7085648645991949</v>
      </c>
      <c r="F118" s="4">
        <f ca="1">'Total Duration Tables Sup #2'!F118*(1-'Other Assumptions'!J16)</f>
        <v>2.1883128534371994</v>
      </c>
      <c r="G118" s="4">
        <f ca="1">'Total Duration Tables Sup #2'!G118*(1-'Other Assumptions'!K16)</f>
        <v>1.6763758320772679</v>
      </c>
      <c r="H118" s="4">
        <f ca="1">'Total Duration Tables Sup #2'!H118*(1-'Other Assumptions'!L16)</f>
        <v>1.1814146979246247</v>
      </c>
      <c r="I118" s="1">
        <f ca="1">'Total Duration Tables Sup #2'!I118*(1-'Other Assumptions'!M16)</f>
        <v>1.1713808623701212</v>
      </c>
      <c r="J118" s="1">
        <f ca="1">'Total Duration Tables Sup #2'!J118*(1-'Other Assumptions'!N16)</f>
        <v>1.1572301972030588</v>
      </c>
      <c r="K118" s="1">
        <f ca="1">'Total Duration Tables Sup #2'!K118*(1-'Other Assumptions'!O16)</f>
        <v>1.1404505021088556</v>
      </c>
    </row>
    <row r="119" spans="1:11" x14ac:dyDescent="0.2">
      <c r="A119" t="str">
        <f ca="1">OFFSET(West_Coast_Reference,28,2)</f>
        <v>Taxi/Vehicle Share</v>
      </c>
      <c r="B119" s="4">
        <f ca="1">'Total Duration Tables Sup #2'!B119</f>
        <v>6.5507808299999998E-2</v>
      </c>
      <c r="C119" s="4">
        <f ca="1">'Total Duration Tables Sup #2'!C119+((C117+C118)*'Other Assumptions'!G16/(1-'Other Assumptions'!G16))</f>
        <v>6.9118776345903993E-2</v>
      </c>
      <c r="D119" s="4">
        <f ca="1">'Total Duration Tables Sup #2'!D119+((D117+D118)*'Other Assumptions'!H16/(1-'Other Assumptions'!H16))</f>
        <v>7.4568950894252889E-2</v>
      </c>
      <c r="E119" s="4">
        <f ca="1">'Total Duration Tables Sup #2'!E119+((E117+E118)*'Other Assumptions'!I16/(1-'Other Assumptions'!I16))</f>
        <v>1.3269465395454436</v>
      </c>
      <c r="F119" s="4">
        <f ca="1">'Total Duration Tables Sup #2'!F119+((F117+F118)*'Other Assumptions'!J16/(1-'Other Assumptions'!J16))</f>
        <v>2.5529702207039571</v>
      </c>
      <c r="G119" s="4">
        <f ca="1">'Total Duration Tables Sup #2'!G119+((G117+G118)*'Other Assumptions'!K16/(1-'Other Assumptions'!K16))</f>
        <v>3.7180826768196016</v>
      </c>
      <c r="H119" s="4">
        <f ca="1">'Total Duration Tables Sup #2'!H119+((H117+H118)*'Other Assumptions'!L16/(1-'Other Assumptions'!L16))</f>
        <v>4.8015410351606507</v>
      </c>
      <c r="I119" s="1">
        <f ca="1">'Total Duration Tables Sup #2'!I119+((I117+I118)*'Other Assumptions'!M16/(1-'Other Assumptions'!M16))</f>
        <v>4.7587848232559269</v>
      </c>
      <c r="J119" s="1">
        <f ca="1">'Total Duration Tables Sup #2'!J119+((J117+J118)*'Other Assumptions'!N16/(1-'Other Assumptions'!N16))</f>
        <v>4.6990731601982034</v>
      </c>
      <c r="K119" s="1">
        <f ca="1">'Total Duration Tables Sup #2'!K119+((K117+K118)*'Other Assumptions'!O16/(1-'Other Assumptions'!O16))</f>
        <v>4.6288094210708639</v>
      </c>
    </row>
    <row r="120" spans="1:11" x14ac:dyDescent="0.2">
      <c r="A120" t="str">
        <f ca="1">OFFSET(West_Coast_Reference,35,2)</f>
        <v>Motorcyclist</v>
      </c>
      <c r="B120" s="4">
        <f ca="1">'Total Duration Tables Sup #2'!B120</f>
        <v>9.7989774000000005E-3</v>
      </c>
      <c r="C120" s="4">
        <f ca="1">'Total Duration Tables Sup #2'!C120</f>
        <v>9.6419553444856403E-3</v>
      </c>
      <c r="D120" s="4">
        <f ca="1">'Total Duration Tables Sup #2'!D120</f>
        <v>9.6934151802757981E-3</v>
      </c>
      <c r="E120" s="4">
        <f ca="1">'Total Duration Tables Sup #2'!E120</f>
        <v>9.6255930131877356E-3</v>
      </c>
      <c r="F120" s="4">
        <f ca="1">'Total Duration Tables Sup #2'!F120</f>
        <v>9.4122899456222323E-3</v>
      </c>
      <c r="G120" s="4">
        <f ca="1">'Total Duration Tables Sup #2'!G120</f>
        <v>9.0186707628298352E-3</v>
      </c>
      <c r="H120" s="4">
        <f ca="1">'Total Duration Tables Sup #2'!H120</f>
        <v>8.5583168972666237E-3</v>
      </c>
      <c r="I120" s="1">
        <f ca="1">'Total Duration Tables Sup #2'!I120</f>
        <v>8.512009287058914E-3</v>
      </c>
      <c r="J120" s="1">
        <f ca="1">'Total Duration Tables Sup #2'!J120</f>
        <v>8.43937799988035E-3</v>
      </c>
      <c r="K120" s="1">
        <f ca="1">'Total Duration Tables Sup #2'!K120</f>
        <v>8.3462691791274645E-3</v>
      </c>
    </row>
    <row r="121" spans="1:11" x14ac:dyDescent="0.2">
      <c r="A121" t="str">
        <f ca="1">OFFSET(Nelson_Reference,42,2)</f>
        <v>Local Train</v>
      </c>
      <c r="B121" s="4">
        <f ca="1">'Total Duration Tables Sup #2'!B121</f>
        <v>0</v>
      </c>
      <c r="C121" s="4">
        <f ca="1">'Total Duration Tables Sup #2'!C121</f>
        <v>0</v>
      </c>
      <c r="D121" s="4">
        <f ca="1">'Total Duration Tables Sup #2'!D121</f>
        <v>0</v>
      </c>
      <c r="E121" s="4">
        <f ca="1">'Total Duration Tables Sup #2'!E121</f>
        <v>0</v>
      </c>
      <c r="F121" s="4">
        <f ca="1">'Total Duration Tables Sup #2'!F121</f>
        <v>0</v>
      </c>
      <c r="G121" s="4">
        <f ca="1">'Total Duration Tables Sup #2'!G121</f>
        <v>0</v>
      </c>
      <c r="H121" s="4">
        <f ca="1">'Total Duration Tables Sup #2'!H121</f>
        <v>0</v>
      </c>
      <c r="I121" s="1">
        <f ca="1">'Total Duration Tables Sup #2'!I121</f>
        <v>0</v>
      </c>
      <c r="J121" s="1">
        <f ca="1">'Total Duration Tables Sup #2'!J121</f>
        <v>0</v>
      </c>
      <c r="K121" s="1">
        <f ca="1">'Total Duration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Duration Tables Sup #2'!B122</f>
        <v>0.18249519829999999</v>
      </c>
      <c r="C122" s="4">
        <f ca="1">'Total Duration Tables Sup #2'!C122</f>
        <v>0.15737480119548647</v>
      </c>
      <c r="D122" s="4">
        <f ca="1">'Total Duration Tables Sup #2'!D122</f>
        <v>0.15498998803015754</v>
      </c>
      <c r="E122" s="4">
        <f ca="1">'Total Duration Tables Sup #2'!E122</f>
        <v>0.15032223014922041</v>
      </c>
      <c r="F122" s="4">
        <f ca="1">'Total Duration Tables Sup #2'!F122</f>
        <v>0.14506236696442998</v>
      </c>
      <c r="G122" s="4">
        <f ca="1">'Total Duration Tables Sup #2'!G122</f>
        <v>0.14086723853280536</v>
      </c>
      <c r="H122" s="4">
        <f ca="1">'Total Duration Tables Sup #2'!H122</f>
        <v>0.13669838189999542</v>
      </c>
      <c r="I122" s="1">
        <f ca="1">'Total Duration Tables Sup #2'!I122</f>
        <v>0.1357083832760213</v>
      </c>
      <c r="J122" s="1">
        <f ca="1">'Total Duration Tables Sup #2'!J122</f>
        <v>0.13426201870486151</v>
      </c>
      <c r="K122" s="1">
        <f ca="1">'Total Duration Tables Sup #2'!K122</f>
        <v>0.13250162733919874</v>
      </c>
    </row>
    <row r="123" spans="1:11" x14ac:dyDescent="0.2">
      <c r="A123" t="str">
        <f ca="1">OFFSET(Wellington_Reference,56,2)</f>
        <v>Local Ferry</v>
      </c>
      <c r="B123" s="4">
        <f ca="1">'Total Duration Tables Sup #2'!B123</f>
        <v>0</v>
      </c>
      <c r="C123" s="4">
        <f ca="1">'Total Duration Tables Sup #2'!C123</f>
        <v>0</v>
      </c>
      <c r="D123" s="4">
        <f ca="1">'Total Duration Tables Sup #2'!D123</f>
        <v>0</v>
      </c>
      <c r="E123" s="4">
        <f ca="1">'Total Duration Tables Sup #2'!E123</f>
        <v>0</v>
      </c>
      <c r="F123" s="4">
        <f ca="1">'Total Duration Tables Sup #2'!F123</f>
        <v>0</v>
      </c>
      <c r="G123" s="4">
        <f ca="1">'Total Duration Tables Sup #2'!G123</f>
        <v>0</v>
      </c>
      <c r="H123" s="4">
        <f ca="1">'Total Duration Tables Sup #2'!H123</f>
        <v>0</v>
      </c>
      <c r="I123" s="1">
        <f ca="1">'Total Duration Tables Sup #2'!I123</f>
        <v>0</v>
      </c>
      <c r="J123" s="1">
        <f ca="1">'Total Duration Tables Sup #2'!J123</f>
        <v>0</v>
      </c>
      <c r="K123" s="1">
        <f ca="1">'Total Duration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Duration Tables Sup #2'!B124</f>
        <v>3.6766106000000001E-3</v>
      </c>
      <c r="C124" s="4">
        <f ca="1">'Total Duration Tables Sup #2'!C124</f>
        <v>3.7263149218255513E-3</v>
      </c>
      <c r="D124" s="4">
        <f ca="1">'Total Duration Tables Sup #2'!D124</f>
        <v>3.7187021247470221E-3</v>
      </c>
      <c r="E124" s="4">
        <f ca="1">'Total Duration Tables Sup #2'!E124</f>
        <v>3.6869703139378726E-3</v>
      </c>
      <c r="F124" s="4">
        <f ca="1">'Total Duration Tables Sup #2'!F124</f>
        <v>3.5946868747923277E-3</v>
      </c>
      <c r="G124" s="4">
        <f ca="1">'Total Duration Tables Sup #2'!G124</f>
        <v>3.4966608220970206E-3</v>
      </c>
      <c r="H124" s="4">
        <f ca="1">'Total Duration Tables Sup #2'!H124</f>
        <v>3.3580614523148417E-3</v>
      </c>
      <c r="I124" s="1">
        <f ca="1">'Total Duration Tables Sup #2'!I124</f>
        <v>3.3171123462790862E-3</v>
      </c>
      <c r="J124" s="1">
        <f ca="1">'Total Duration Tables Sup #2'!J124</f>
        <v>3.2625922631118885E-3</v>
      </c>
      <c r="K124" s="1">
        <f ca="1">'Total Duration Tables Sup #2'!K124</f>
        <v>3.2014574583060077E-3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'Total Duration Tables Sup #2'!B126</f>
        <v>27.07651954</v>
      </c>
      <c r="C126" s="4">
        <f ca="1">'Total Duration Tables Sup #2'!C126+'Total Duration Tables Sup #2'!C128*'Other Assumptions'!G88*'Other Assumptions'!G95+'Total Duration Tables Sup #2'!C129*'Other Assumptions'!G88*'Other Assumptions'!G95</f>
        <v>29.12117362075827</v>
      </c>
      <c r="D126" s="4">
        <f ca="1">'Total Duration Tables Sup #2'!D126+'Total Duration Tables Sup #2'!D128*'Other Assumptions'!H88*'Other Assumptions'!H95+'Total Duration Tables Sup #2'!D129*'Other Assumptions'!H88*'Other Assumptions'!H95</f>
        <v>31.124235679379701</v>
      </c>
      <c r="E126" s="4">
        <f ca="1">'Total Duration Tables Sup #2'!E126+'Total Duration Tables Sup #2'!E128*'Other Assumptions'!I88*'Other Assumptions'!I95+'Total Duration Tables Sup #2'!E129*'Other Assumptions'!I88*'Other Assumptions'!I95</f>
        <v>32.417590418781792</v>
      </c>
      <c r="F126" s="4">
        <f ca="1">'Total Duration Tables Sup #2'!F126+'Total Duration Tables Sup #2'!F128*'Other Assumptions'!J88*'Other Assumptions'!J95+'Total Duration Tables Sup #2'!F129*'Other Assumptions'!J88*'Other Assumptions'!J95</f>
        <v>33.485954543605274</v>
      </c>
      <c r="G126" s="4">
        <f ca="1">'Total Duration Tables Sup #2'!G126+'Total Duration Tables Sup #2'!G128*'Other Assumptions'!K88*'Other Assumptions'!K95+'Total Duration Tables Sup #2'!G129*'Other Assumptions'!K88*'Other Assumptions'!K95</f>
        <v>34.508748020482265</v>
      </c>
      <c r="H126" s="4">
        <f ca="1">'Total Duration Tables Sup #2'!H126+'Total Duration Tables Sup #2'!H128*'Other Assumptions'!L88*'Other Assumptions'!L95+'Total Duration Tables Sup #2'!H129*'Other Assumptions'!L88*'Other Assumptions'!L95</f>
        <v>35.323388808626923</v>
      </c>
      <c r="I126" s="1">
        <f ca="1">'Total Duration Tables Sup #2'!I126+'Total Duration Tables Sup #2'!I128*'Other Assumptions'!M88*'Other Assumptions'!M95+'Total Duration Tables Sup #2'!I129*'Other Assumptions'!M88*'Other Assumptions'!M95</f>
        <v>36.902032596713632</v>
      </c>
      <c r="J126" s="1">
        <f ca="1">'Total Duration Tables Sup #2'!J126+'Total Duration Tables Sup #2'!J128*'Other Assumptions'!N88*'Other Assumptions'!N95+'Total Duration Tables Sup #2'!J129*'Other Assumptions'!N88*'Other Assumptions'!N95</f>
        <v>38.430526926358482</v>
      </c>
      <c r="K126" s="1">
        <f ca="1">'Total Duration Tables Sup #2'!K126+'Total Duration Tables Sup #2'!K128*'Other Assumptions'!O88*'Other Assumptions'!O95+'Total Duration Tables Sup #2'!K129*'Other Assumptions'!O88*'Other Assumptions'!O95</f>
        <v>39.925339266956044</v>
      </c>
    </row>
    <row r="127" spans="1:11" x14ac:dyDescent="0.2">
      <c r="A127" t="str">
        <f ca="1">OFFSET(Canterbury_Reference,7,2)</f>
        <v>Cyclist</v>
      </c>
      <c r="B127" s="4">
        <f ca="1">'Total Duration Tables Sup #2'!B127</f>
        <v>7.2445897615000003</v>
      </c>
      <c r="C127" s="4">
        <f ca="1">'Total Duration Tables Sup #2'!C127+'Total Duration Tables Sup #2'!C128*'Other Assumptions'!G88*'Other Assumptions'!G94+'Total Duration Tables Sup #2'!C129*'Other Assumptions'!G88*'Other Assumptions'!G94</f>
        <v>7.9239246162888124</v>
      </c>
      <c r="D127" s="4">
        <f ca="1">'Total Duration Tables Sup #2'!D127+'Total Duration Tables Sup #2'!D128*'Other Assumptions'!H88*'Other Assumptions'!H94+'Total Duration Tables Sup #2'!D129*'Other Assumptions'!H88*'Other Assumptions'!H94</f>
        <v>9.5761559435570476</v>
      </c>
      <c r="E127" s="4">
        <f ca="1">'Total Duration Tables Sup #2'!E127+'Total Duration Tables Sup #2'!E128*'Other Assumptions'!I88*'Other Assumptions'!I94+'Total Duration Tables Sup #2'!E129*'Other Assumptions'!I88*'Other Assumptions'!I94</f>
        <v>10.884920907678255</v>
      </c>
      <c r="F127" s="4">
        <f ca="1">'Total Duration Tables Sup #2'!F127+'Total Duration Tables Sup #2'!F128*'Other Assumptions'!J88*'Other Assumptions'!J94+'Total Duration Tables Sup #2'!F129*'Other Assumptions'!J88*'Other Assumptions'!J94</f>
        <v>12.392108644949403</v>
      </c>
      <c r="G127" s="4">
        <f ca="1">'Total Duration Tables Sup #2'!G127+'Total Duration Tables Sup #2'!G128*'Other Assumptions'!K88*'Other Assumptions'!K94+'Total Duration Tables Sup #2'!G129*'Other Assumptions'!K88*'Other Assumptions'!K94</f>
        <v>14.171286231799085</v>
      </c>
      <c r="H127" s="4">
        <f ca="1">'Total Duration Tables Sup #2'!H127+'Total Duration Tables Sup #2'!H128*'Other Assumptions'!L88*'Other Assumptions'!L94+'Total Duration Tables Sup #2'!H129*'Other Assumptions'!L88*'Other Assumptions'!L94</f>
        <v>16.062124258079518</v>
      </c>
      <c r="I127" s="1">
        <f ca="1">'Total Duration Tables Sup #2'!I127+'Total Duration Tables Sup #2'!I128*'Other Assumptions'!M88*'Other Assumptions'!M94+'Total Duration Tables Sup #2'!I129*'Other Assumptions'!M88*'Other Assumptions'!M94</f>
        <v>16.895980591146191</v>
      </c>
      <c r="J127" s="1">
        <f ca="1">'Total Duration Tables Sup #2'!J127+'Total Duration Tables Sup #2'!J128*'Other Assumptions'!N88*'Other Assumptions'!N94+'Total Duration Tables Sup #2'!J129*'Other Assumptions'!N88*'Other Assumptions'!N94</f>
        <v>17.76708607489919</v>
      </c>
      <c r="K127" s="1">
        <f ca="1">'Total Duration Tables Sup #2'!K127+'Total Duration Tables Sup #2'!K128*'Other Assumptions'!O88*'Other Assumptions'!O94+'Total Duration Tables Sup #2'!K129*'Other Assumptions'!O88*'Other Assumptions'!O94</f>
        <v>18.641340943515793</v>
      </c>
    </row>
    <row r="128" spans="1:11" x14ac:dyDescent="0.2">
      <c r="A128" t="str">
        <f ca="1">OFFSET(Canterbury_Reference,14,2)</f>
        <v>Light Vehicle Driver</v>
      </c>
      <c r="B128" s="4">
        <f ca="1">'Total Duration Tables Sup #2'!B128</f>
        <v>111.06814274</v>
      </c>
      <c r="C128" s="4">
        <f ca="1">'Total Duration Tables Sup #2'!C128*(1-'Other Assumptions'!G17)*(1-'Other Assumptions'!G88)</f>
        <v>124.87080176940057</v>
      </c>
      <c r="D128" s="4">
        <f ca="1">'Total Duration Tables Sup #2'!D128*(1-'Other Assumptions'!H17)*(1-'Other Assumptions'!H88)</f>
        <v>133.42469518541665</v>
      </c>
      <c r="E128" s="4">
        <f ca="1">'Total Duration Tables Sup #2'!E128*(1-'Other Assumptions'!I17)*(1-'Other Assumptions'!I88)</f>
        <v>119.94697168470903</v>
      </c>
      <c r="F128" s="4">
        <f ca="1">'Total Duration Tables Sup #2'!F128*(1-'Other Assumptions'!J17)*(1-'Other Assumptions'!J88)</f>
        <v>103.4267144064199</v>
      </c>
      <c r="G128" s="4">
        <f ca="1">'Total Duration Tables Sup #2'!G128*(1-'Other Assumptions'!K17)*(1-'Other Assumptions'!K88)</f>
        <v>84.162927172649987</v>
      </c>
      <c r="H128" s="4">
        <f ca="1">'Total Duration Tables Sup #2'!H128*(1-'Other Assumptions'!L17)*(1-'Other Assumptions'!L88)</f>
        <v>62.824160429462012</v>
      </c>
      <c r="I128" s="1">
        <f ca="1">'Total Duration Tables Sup #2'!I128*(1-'Other Assumptions'!M17)*(1-'Other Assumptions'!M88)</f>
        <v>65.504068309518985</v>
      </c>
      <c r="J128" s="1">
        <f ca="1">'Total Duration Tables Sup #2'!J128*(1-'Other Assumptions'!N17)*(1-'Other Assumptions'!N88)</f>
        <v>68.042461862202046</v>
      </c>
      <c r="K128" s="1">
        <f ca="1">'Total Duration Tables Sup #2'!K128*(1-'Other Assumptions'!O17)*(1-'Other Assumptions'!O88)</f>
        <v>70.507415389967989</v>
      </c>
    </row>
    <row r="129" spans="1:11" x14ac:dyDescent="0.2">
      <c r="A129" t="str">
        <f ca="1">OFFSET(Canterbury_Reference,21,2)</f>
        <v>Light Vehicle Passenger</v>
      </c>
      <c r="B129" s="4">
        <f ca="1">'Total Duration Tables Sup #2'!B129</f>
        <v>53.544276449999998</v>
      </c>
      <c r="C129" s="4">
        <f ca="1">'Total Duration Tables Sup #2'!C129*(1-'Other Assumptions'!G17)*(1-'Other Assumptions'!G88+'Other Assumptions'!G88*'Other Assumptions'!G91)+'Total Duration Tables Sup #2'!C128*(1-'Other Assumptions'!G17)*'Other Assumptions'!G88*'Other Assumptions'!G91</f>
        <v>57.435556196001869</v>
      </c>
      <c r="D129" s="4">
        <f ca="1">'Total Duration Tables Sup #2'!D129*(1-'Other Assumptions'!H17)*(1-'Other Assumptions'!H88+'Other Assumptions'!H88*'Other Assumptions'!H91)+'Total Duration Tables Sup #2'!D128*(1-'Other Assumptions'!H17)*'Other Assumptions'!H88*'Other Assumptions'!H91</f>
        <v>60.345510590669058</v>
      </c>
      <c r="E129" s="4">
        <f ca="1">'Total Duration Tables Sup #2'!E129*(1-'Other Assumptions'!I17)*(1-'Other Assumptions'!I88+'Other Assumptions'!I88*'Other Assumptions'!I91)+'Total Duration Tables Sup #2'!E128*(1-'Other Assumptions'!I17)*'Other Assumptions'!I88*'Other Assumptions'!I91</f>
        <v>53.204709897232178</v>
      </c>
      <c r="F129" s="4">
        <f ca="1">'Total Duration Tables Sup #2'!F129*(1-'Other Assumptions'!J17)*(1-'Other Assumptions'!J88+'Other Assumptions'!J88*'Other Assumptions'!J91)+'Total Duration Tables Sup #2'!F128*(1-'Other Assumptions'!J17)*'Other Assumptions'!J88*'Other Assumptions'!J91</f>
        <v>45.099443463238899</v>
      </c>
      <c r="G129" s="4">
        <f ca="1">'Total Duration Tables Sup #2'!G129*(1-'Other Assumptions'!K17)*(1-'Other Assumptions'!K88+'Other Assumptions'!K88*'Other Assumptions'!K91)+'Total Duration Tables Sup #2'!G128*(1-'Other Assumptions'!K17)*'Other Assumptions'!K88*'Other Assumptions'!K91</f>
        <v>36.264087056680751</v>
      </c>
      <c r="H129" s="4">
        <f ca="1">'Total Duration Tables Sup #2'!H129*(1-'Other Assumptions'!L17)*(1-'Other Assumptions'!L88+'Other Assumptions'!L88*'Other Assumptions'!L91)+'Total Duration Tables Sup #2'!H128*(1-'Other Assumptions'!L17)*'Other Assumptions'!L88*'Other Assumptions'!L91</f>
        <v>26.798980245976733</v>
      </c>
      <c r="I129" s="1">
        <f ca="1">'Total Duration Tables Sup #2'!I129*(1-'Other Assumptions'!M17)*(1-'Other Assumptions'!M88+'Other Assumptions'!M88*'Other Assumptions'!M91)+'Total Duration Tables Sup #2'!I128*(1-'Other Assumptions'!M17)*'Other Assumptions'!M88*'Other Assumptions'!M91</f>
        <v>27.959786357130294</v>
      </c>
      <c r="J129" s="1">
        <f ca="1">'Total Duration Tables Sup #2'!J129*(1-'Other Assumptions'!N17)*(1-'Other Assumptions'!N88+'Other Assumptions'!N88*'Other Assumptions'!N91)+'Total Duration Tables Sup #2'!J128*(1-'Other Assumptions'!N17)*'Other Assumptions'!N88*'Other Assumptions'!N91</f>
        <v>29.064047006523865</v>
      </c>
      <c r="K129" s="1">
        <f ca="1">'Total Duration Tables Sup #2'!K129*(1-'Other Assumptions'!O17)*(1-'Other Assumptions'!O88+'Other Assumptions'!O88*'Other Assumptions'!O91)+'Total Duration Tables Sup #2'!K128*(1-'Other Assumptions'!O17)*'Other Assumptions'!O88*'Other Assumptions'!O91</f>
        <v>30.137790729263585</v>
      </c>
    </row>
    <row r="130" spans="1:11" x14ac:dyDescent="0.2">
      <c r="A130" t="str">
        <f ca="1">OFFSET(Canterbury_Reference,28,2)</f>
        <v>Taxi/Vehicle Share</v>
      </c>
      <c r="B130" s="4">
        <f ca="1">'Total Duration Tables Sup #2'!B130</f>
        <v>0.86554787379999998</v>
      </c>
      <c r="C130" s="4">
        <f ca="1">'Total Duration Tables Sup #2'!C130+((C128+C129)*'Other Assumptions'!G17/(1-'Other Assumptions'!G17))</f>
        <v>1.0266462857407659</v>
      </c>
      <c r="D130" s="4">
        <f ca="1">'Total Duration Tables Sup #2'!D130+((D128+D129)*'Other Assumptions'!H17/(1-'Other Assumptions'!H17))</f>
        <v>1.1804681093660956</v>
      </c>
      <c r="E130" s="4">
        <f ca="1">'Total Duration Tables Sup #2'!E130+((E128+E129)*'Other Assumptions'!I17/(1-'Other Assumptions'!I17))</f>
        <v>31.865199100232395</v>
      </c>
      <c r="F130" s="4">
        <f ca="1">'Total Duration Tables Sup #2'!F130+((F128+F129)*'Other Assumptions'!J17/(1-'Other Assumptions'!J17))</f>
        <v>65.075907707268641</v>
      </c>
      <c r="G130" s="4">
        <f ca="1">'Total Duration Tables Sup #2'!G130+((G128+G129)*'Other Assumptions'!K17/(1-'Other Assumptions'!K17))</f>
        <v>100.04040766975339</v>
      </c>
      <c r="H130" s="4">
        <f ca="1">'Total Duration Tables Sup #2'!H130+((H128+H129)*'Other Assumptions'!L17/(1-'Other Assumptions'!L17))</f>
        <v>136.01761481405939</v>
      </c>
      <c r="I130" s="1">
        <f ca="1">'Total Duration Tables Sup #2'!I130+((I128+I129)*'Other Assumptions'!M17/(1-'Other Assumptions'!M17))</f>
        <v>141.84885563351312</v>
      </c>
      <c r="J130" s="1">
        <f ca="1">'Total Duration Tables Sup #2'!J130+((J128+J129)*'Other Assumptions'!N17/(1-'Other Assumptions'!N17))</f>
        <v>147.38106033190579</v>
      </c>
      <c r="K130" s="1">
        <f ca="1">'Total Duration Tables Sup #2'!K130+((K128+K129)*'Other Assumptions'!O17/(1-'Other Assumptions'!O17))</f>
        <v>152.75588389043708</v>
      </c>
    </row>
    <row r="131" spans="1:11" x14ac:dyDescent="0.2">
      <c r="A131" t="str">
        <f ca="1">OFFSET(Canterbury_Reference,35,2)</f>
        <v>Motorcyclist</v>
      </c>
      <c r="B131" s="4">
        <f ca="1">'Total Duration Tables Sup #2'!B131</f>
        <v>0.39288238580000001</v>
      </c>
      <c r="C131" s="4">
        <f ca="1">'Total Duration Tables Sup #2'!C131</f>
        <v>0.43458396009018779</v>
      </c>
      <c r="D131" s="4">
        <f ca="1">'Total Duration Tables Sup #2'!D131</f>
        <v>0.46564700971757578</v>
      </c>
      <c r="E131" s="4">
        <f ca="1">'Total Duration Tables Sup #2'!E131</f>
        <v>0.48633623856097014</v>
      </c>
      <c r="F131" s="4">
        <f ca="1">'Total Duration Tables Sup #2'!F131</f>
        <v>0.50052504458700009</v>
      </c>
      <c r="G131" s="4">
        <f ca="1">'Total Duration Tables Sup #2'!G131</f>
        <v>0.5051089546981562</v>
      </c>
      <c r="H131" s="4">
        <f ca="1">'Total Duration Tables Sup #2'!H131</f>
        <v>0.50442503036739261</v>
      </c>
      <c r="I131" s="1">
        <f ca="1">'Total Duration Tables Sup #2'!I131</f>
        <v>0.52796615639409827</v>
      </c>
      <c r="J131" s="1">
        <f ca="1">'Total Duration Tables Sup #2'!J131</f>
        <v>0.55087132364875702</v>
      </c>
      <c r="K131" s="1">
        <f ca="1">'Total Duration Tables Sup #2'!K131</f>
        <v>0.57332099148845117</v>
      </c>
    </row>
    <row r="132" spans="1:11" x14ac:dyDescent="0.2">
      <c r="A132" t="str">
        <f ca="1">OFFSET(Canterbury_Reference,42,2)</f>
        <v>Local Train</v>
      </c>
      <c r="B132" s="4">
        <f ca="1">'Total Duration Tables Sup #2'!B132</f>
        <v>7.3004144E-3</v>
      </c>
      <c r="C132" s="4">
        <f ca="1">'Total Duration Tables Sup #2'!C132+'Total Duration Tables Sup #2'!C128*'Other Assumptions'!G88*'Other Assumptions'!G93+'Total Duration Tables Sup #2'!C129*'Other Assumptions'!G88*'Other Assumptions'!G93</f>
        <v>6.9206742712073274E-3</v>
      </c>
      <c r="D132" s="4">
        <f ca="1">'Total Duration Tables Sup #2'!D132+'Total Duration Tables Sup #2'!D128*'Other Assumptions'!H88*'Other Assumptions'!H93+'Total Duration Tables Sup #2'!D129*'Other Assumptions'!H88*'Other Assumptions'!H93</f>
        <v>5.9779119269766706E-3</v>
      </c>
      <c r="E132" s="4">
        <f ca="1">'Total Duration Tables Sup #2'!E132+'Total Duration Tables Sup #2'!E128*'Other Assumptions'!I88*'Other Assumptions'!I93+'Total Duration Tables Sup #2'!E129*'Other Assumptions'!I88*'Other Assumptions'!I93</f>
        <v>5.2492505340363286E-3</v>
      </c>
      <c r="F132" s="4">
        <f ca="1">'Total Duration Tables Sup #2'!F132+'Total Duration Tables Sup #2'!F128*'Other Assumptions'!J88*'Other Assumptions'!J93+'Total Duration Tables Sup #2'!F129*'Other Assumptions'!J88*'Other Assumptions'!J93</f>
        <v>4.7206872369917521E-3</v>
      </c>
      <c r="G132" s="4">
        <f ca="1">'Total Duration Tables Sup #2'!G132+'Total Duration Tables Sup #2'!G128*'Other Assumptions'!K88*'Other Assumptions'!K93+'Total Duration Tables Sup #2'!G129*'Other Assumptions'!K88*'Other Assumptions'!K93</f>
        <v>3.8153418434970741E-3</v>
      </c>
      <c r="H132" s="4">
        <f ca="1">'Total Duration Tables Sup #2'!H132+'Total Duration Tables Sup #2'!H128*'Other Assumptions'!L88*'Other Assumptions'!L93+'Total Duration Tables Sup #2'!H129*'Other Assumptions'!L88*'Other Assumptions'!L93</f>
        <v>3.0102871984931394E-3</v>
      </c>
      <c r="I132" s="1">
        <f ca="1">'Total Duration Tables Sup #2'!I132+'Total Duration Tables Sup #2'!I128*'Other Assumptions'!M88*'Other Assumptions'!M93+'Total Duration Tables Sup #2'!I129*'Other Assumptions'!M88*'Other Assumptions'!M93</f>
        <v>3.0771383255958772E-3</v>
      </c>
      <c r="J132" s="1">
        <f ca="1">'Total Duration Tables Sup #2'!J132+'Total Duration Tables Sup #2'!J128*'Other Assumptions'!N88*'Other Assumptions'!N93+'Total Duration Tables Sup #2'!J129*'Other Assumptions'!N88*'Other Assumptions'!N93</f>
        <v>3.1476326308581518E-3</v>
      </c>
      <c r="K132" s="1">
        <f ca="1">'Total Duration Tables Sup #2'!K132+'Total Duration Tables Sup #2'!K128*'Other Assumptions'!O88*'Other Assumptions'!O93+'Total Duration Tables Sup #2'!K129*'Other Assumptions'!O88*'Other Assumptions'!O93</f>
        <v>3.2188373250911771E-3</v>
      </c>
    </row>
    <row r="133" spans="1:11" x14ac:dyDescent="0.2">
      <c r="A133" t="str">
        <f ca="1">OFFSET(Canterbury_Reference,49,2)</f>
        <v>Local Bus</v>
      </c>
      <c r="B133" s="4">
        <f ca="1">'Total Duration Tables Sup #2'!B133</f>
        <v>7.9805750329</v>
      </c>
      <c r="C133" s="4">
        <f ca="1">'Total Duration Tables Sup #2'!C133+'Total Duration Tables Sup #2'!C128*'Other Assumptions'!G88*'Other Assumptions'!G92+'Total Duration Tables Sup #2'!C129*'Other Assumptions'!G88*'Other Assumptions'!G92</f>
        <v>7.3627264895</v>
      </c>
      <c r="D133" s="4">
        <f ca="1">'Total Duration Tables Sup #2'!D133+'Total Duration Tables Sup #2'!D128*'Other Assumptions'!H88*'Other Assumptions'!H92+'Total Duration Tables Sup #2'!D129*'Other Assumptions'!H88*'Other Assumptions'!H92</f>
        <v>7.3760218201260006</v>
      </c>
      <c r="E133" s="4">
        <f ca="1">'Total Duration Tables Sup #2'!E133+'Total Duration Tables Sup #2'!E128*'Other Assumptions'!I88*'Other Assumptions'!I92+'Total Duration Tables Sup #2'!E129*'Other Assumptions'!I88*'Other Assumptions'!I92</f>
        <v>7.0601681614879999</v>
      </c>
      <c r="F133" s="4">
        <f ca="1">'Total Duration Tables Sup #2'!F133+'Total Duration Tables Sup #2'!F128*'Other Assumptions'!J88*'Other Assumptions'!J92+'Total Duration Tables Sup #2'!F129*'Other Assumptions'!J88*'Other Assumptions'!J92</f>
        <v>6.7049906472880005</v>
      </c>
      <c r="G133" s="4">
        <f ca="1">'Total Duration Tables Sup #2'!G133+'Total Duration Tables Sup #2'!G128*'Other Assumptions'!K88*'Other Assumptions'!K92+'Total Duration Tables Sup #2'!G129*'Other Assumptions'!K88*'Other Assumptions'!K92</f>
        <v>6.4530295124040009</v>
      </c>
      <c r="H133" s="4">
        <f ca="1">'Total Duration Tables Sup #2'!H133+'Total Duration Tables Sup #2'!H128*'Other Assumptions'!L88*'Other Assumptions'!L92+'Total Duration Tables Sup #2'!H129*'Other Assumptions'!L88*'Other Assumptions'!L92</f>
        <v>6.2400481087999999</v>
      </c>
      <c r="I133" s="1">
        <f ca="1">'Total Duration Tables Sup #2'!I133+'Total Duration Tables Sup #2'!I128*'Other Assumptions'!M88*'Other Assumptions'!M92+'Total Duration Tables Sup #2'!I129*'Other Assumptions'!M88*'Other Assumptions'!M92</f>
        <v>6.3535035289600001</v>
      </c>
      <c r="J133" s="1">
        <f ca="1">'Total Duration Tables Sup #2'!J133+'Total Duration Tables Sup #2'!J128*'Other Assumptions'!N88*'Other Assumptions'!N92+'Total Duration Tables Sup #2'!J129*'Other Assumptions'!N88*'Other Assumptions'!N92</f>
        <v>6.4669589491200004</v>
      </c>
      <c r="K133" s="1">
        <f ca="1">'Total Duration Tables Sup #2'!K133+'Total Duration Tables Sup #2'!K128*'Other Assumptions'!O88*'Other Assumptions'!O92+'Total Duration Tables Sup #2'!K129*'Other Assumptions'!O88*'Other Assumptions'!O92</f>
        <v>6.5804143692799997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'Total Duration Tables Sup #2'!C134</f>
        <v>0</v>
      </c>
      <c r="D134" s="4">
        <f ca="1">'Total Duration Tables Sup #2'!D134</f>
        <v>0</v>
      </c>
      <c r="E134" s="4">
        <f ca="1">'Total Duration Tables Sup #2'!E134</f>
        <v>0</v>
      </c>
      <c r="F134" s="4">
        <f ca="1">'Total Duration Tables Sup #2'!F134</f>
        <v>0</v>
      </c>
      <c r="G134" s="4">
        <f ca="1">'Total Duration Tables Sup #2'!G134</f>
        <v>0</v>
      </c>
      <c r="H134" s="4">
        <f ca="1">'Total Duration Tables Sup #2'!H134</f>
        <v>0</v>
      </c>
      <c r="I134" s="1">
        <f ca="1">'Total Duration Tables Sup #2'!I134</f>
        <v>0</v>
      </c>
      <c r="J134" s="1">
        <f ca="1">'Total Duration Tables Sup #2'!J134</f>
        <v>0</v>
      </c>
      <c r="K134" s="1">
        <f ca="1">'Total Duration Tables Sup #2'!K134</f>
        <v>0</v>
      </c>
    </row>
    <row r="135" spans="1:11" x14ac:dyDescent="0.2">
      <c r="A135" t="str">
        <f ca="1">OFFSET(Canterbury_Reference,56,2)</f>
        <v>Other Household Travel</v>
      </c>
      <c r="B135" s="4">
        <f ca="1">'Total Duration Tables Sup #2'!B135</f>
        <v>0.91635513570000005</v>
      </c>
      <c r="C135" s="4">
        <f ca="1">'Total Duration Tables Sup #2'!C135</f>
        <v>1.0440529233400917</v>
      </c>
      <c r="D135" s="4">
        <f ca="1">'Total Duration Tables Sup #2'!D135</f>
        <v>1.1104673057903793</v>
      </c>
      <c r="E135" s="4">
        <f ca="1">'Total Duration Tables Sup #2'!E135</f>
        <v>1.1580122623233429</v>
      </c>
      <c r="F135" s="4">
        <f ca="1">'Total Duration Tables Sup #2'!F135</f>
        <v>1.1882996319547634</v>
      </c>
      <c r="G135" s="4">
        <f ca="1">'Total Duration Tables Sup #2'!G135</f>
        <v>1.2173919438945517</v>
      </c>
      <c r="H135" s="4">
        <f ca="1">'Total Duration Tables Sup #2'!H135</f>
        <v>1.2303573997811263</v>
      </c>
      <c r="I135" s="1">
        <f ca="1">'Total Duration Tables Sup #2'!I135</f>
        <v>1.2789941473247908</v>
      </c>
      <c r="J135" s="1">
        <f ca="1">'Total Duration Tables Sup #2'!J135</f>
        <v>1.3238442961817514</v>
      </c>
      <c r="K135" s="1">
        <f ca="1">'Total Duration Tables Sup #2'!K135</f>
        <v>1.3670599873550846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'Total Duration Tables Sup #2'!B137</f>
        <v>11.651603939999999</v>
      </c>
      <c r="C137" s="4">
        <f ca="1">'Total Duration Tables Sup #2'!C137</f>
        <v>12.240495424985651</v>
      </c>
      <c r="D137" s="4">
        <f ca="1">'Total Duration Tables Sup #2'!D137</f>
        <v>12.829373719214974</v>
      </c>
      <c r="E137" s="4">
        <f ca="1">'Total Duration Tables Sup #2'!E137</f>
        <v>13.146101202795293</v>
      </c>
      <c r="F137" s="4">
        <f ca="1">'Total Duration Tables Sup #2'!F137</f>
        <v>13.365226618599097</v>
      </c>
      <c r="G137" s="4">
        <f ca="1">'Total Duration Tables Sup #2'!G137</f>
        <v>13.56455952204492</v>
      </c>
      <c r="H137" s="4">
        <f ca="1">'Total Duration Tables Sup #2'!H137</f>
        <v>13.67729994969668</v>
      </c>
      <c r="I137" s="1">
        <f ca="1">'Total Duration Tables Sup #2'!I137</f>
        <v>14.075045749402065</v>
      </c>
      <c r="J137" s="1">
        <f ca="1">'Total Duration Tables Sup #2'!J137</f>
        <v>14.439008882378184</v>
      </c>
      <c r="K137" s="1">
        <f ca="1">'Total Duration Tables Sup #2'!K137</f>
        <v>14.776486352517869</v>
      </c>
    </row>
    <row r="138" spans="1:11" x14ac:dyDescent="0.2">
      <c r="A138" t="str">
        <f ca="1">OFFSET(Otago_Reference,7,2)</f>
        <v>Cyclist</v>
      </c>
      <c r="B138" s="4">
        <f ca="1">'Total Duration Tables Sup #2'!B138</f>
        <v>1.6089304994</v>
      </c>
      <c r="C138" s="4">
        <f ca="1">'Total Duration Tables Sup #2'!C138</f>
        <v>1.7189413905697901</v>
      </c>
      <c r="D138" s="4">
        <f ca="1">'Total Duration Tables Sup #2'!D138</f>
        <v>2.0371761468653671</v>
      </c>
      <c r="E138" s="4">
        <f ca="1">'Total Duration Tables Sup #2'!E138</f>
        <v>2.2780965677652287</v>
      </c>
      <c r="F138" s="4">
        <f ca="1">'Total Duration Tables Sup #2'!F138</f>
        <v>2.5526393956737894</v>
      </c>
      <c r="G138" s="4">
        <f ca="1">'Total Duration Tables Sup #2'!G138</f>
        <v>2.8748578393512876</v>
      </c>
      <c r="H138" s="4">
        <f ca="1">'Total Duration Tables Sup #2'!H138</f>
        <v>3.2097529194574044</v>
      </c>
      <c r="I138" s="1">
        <f ca="1">'Total Duration Tables Sup #2'!I138</f>
        <v>3.325933339509767</v>
      </c>
      <c r="J138" s="1">
        <f ca="1">'Total Duration Tables Sup #2'!J138</f>
        <v>3.4451478320162527</v>
      </c>
      <c r="K138" s="1">
        <f ca="1">'Total Duration Tables Sup #2'!K138</f>
        <v>3.5606585010940299</v>
      </c>
    </row>
    <row r="139" spans="1:11" x14ac:dyDescent="0.2">
      <c r="A139" t="str">
        <f ca="1">OFFSET(Otago_Reference,14,2)</f>
        <v>Light Vehicle Driver</v>
      </c>
      <c r="B139" s="4">
        <f ca="1">'Total Duration Tables Sup #2'!B139</f>
        <v>32.522387277</v>
      </c>
      <c r="C139" s="4">
        <f ca="1">'Total Duration Tables Sup #2'!C139*(1-'Other Assumptions'!G18)</f>
        <v>35.715032926664684</v>
      </c>
      <c r="D139" s="4">
        <f ca="1">'Total Duration Tables Sup #2'!D139*(1-'Other Assumptions'!H18)</f>
        <v>37.41802931655959</v>
      </c>
      <c r="E139" s="4">
        <f ca="1">'Total Duration Tables Sup #2'!E139*(1-'Other Assumptions'!I18)</f>
        <v>33.089651941391104</v>
      </c>
      <c r="F139" s="4">
        <f ca="1">'Total Duration Tables Sup #2'!F139*(1-'Other Assumptions'!J18)</f>
        <v>28.080180044656977</v>
      </c>
      <c r="G139" s="4">
        <f ca="1">'Total Duration Tables Sup #2'!G139*(1-'Other Assumptions'!K18)</f>
        <v>22.502953693360741</v>
      </c>
      <c r="H139" s="4">
        <f ca="1">'Total Duration Tables Sup #2'!H139*(1-'Other Assumptions'!L18)</f>
        <v>16.546884989973989</v>
      </c>
      <c r="I139" s="1">
        <f ca="1">'Total Duration Tables Sup #2'!I139*(1-'Other Assumptions'!M18)</f>
        <v>16.995159775981417</v>
      </c>
      <c r="J139" s="1">
        <f ca="1">'Total Duration Tables Sup #2'!J139*(1-'Other Assumptions'!N18)</f>
        <v>17.390295104754507</v>
      </c>
      <c r="K139" s="1">
        <f ca="1">'Total Duration Tables Sup #2'!K139*(1-'Other Assumptions'!O18)</f>
        <v>17.75137452617869</v>
      </c>
    </row>
    <row r="140" spans="1:11" x14ac:dyDescent="0.2">
      <c r="A140" t="str">
        <f ca="1">OFFSET(Otago_Reference,21,2)</f>
        <v>Light Vehicle Passenger</v>
      </c>
      <c r="B140" s="4">
        <f ca="1">'Total Duration Tables Sup #2'!B140</f>
        <v>19.901766343999999</v>
      </c>
      <c r="C140" s="4">
        <f ca="1">'Total Duration Tables Sup #2'!C140*(1-'Other Assumptions'!G18)</f>
        <v>20.852428808149941</v>
      </c>
      <c r="D140" s="4">
        <f ca="1">'Total Duration Tables Sup #2'!D140*(1-'Other Assumptions'!H18)</f>
        <v>21.507721055049117</v>
      </c>
      <c r="E140" s="4">
        <f ca="1">'Total Duration Tables Sup #2'!E140*(1-'Other Assumptions'!I18)</f>
        <v>18.675679564907789</v>
      </c>
      <c r="F140" s="4">
        <f ca="1">'Total Duration Tables Sup #2'!F140*(1-'Other Assumptions'!J18)</f>
        <v>15.599258423759052</v>
      </c>
      <c r="G140" s="4">
        <f ca="1">'Total Duration Tables Sup #2'!G140*(1-'Other Assumptions'!K18)</f>
        <v>12.369546614949048</v>
      </c>
      <c r="H140" s="4">
        <f ca="1">'Total Duration Tables Sup #2'!H140*(1-'Other Assumptions'!L18)</f>
        <v>9.0178934994675597</v>
      </c>
      <c r="I140" s="1">
        <f ca="1">'Total Duration Tables Sup #2'!I140*(1-'Other Assumptions'!M18)</f>
        <v>9.2685058857291303</v>
      </c>
      <c r="J140" s="1">
        <f ca="1">'Total Duration Tables Sup #2'!J140*(1-'Other Assumptions'!N18)</f>
        <v>9.4914502711733473</v>
      </c>
      <c r="K140" s="1">
        <f ca="1">'Total Duration Tables Sup #2'!K140*(1-'Other Assumptions'!O18)</f>
        <v>9.695935860731776</v>
      </c>
    </row>
    <row r="141" spans="1:11" x14ac:dyDescent="0.2">
      <c r="A141" t="str">
        <f ca="1">OFFSET(Otago_Reference,28,2)</f>
        <v>Taxi/Vehicle Share</v>
      </c>
      <c r="B141" s="4">
        <f ca="1">'Total Duration Tables Sup #2'!B141</f>
        <v>0.23496676969999999</v>
      </c>
      <c r="C141" s="4">
        <f ca="1">'Total Duration Tables Sup #2'!C141+((C139+C140)*'Other Assumptions'!G18/(1-'Other Assumptions'!G18))</f>
        <v>0.27222840582997887</v>
      </c>
      <c r="D141" s="4">
        <f ca="1">'Total Duration Tables Sup #2'!D141+((D139+D140)*'Other Assumptions'!H18/(1-'Other Assumptions'!H18))</f>
        <v>0.30696120952267442</v>
      </c>
      <c r="E141" s="4">
        <f ca="1">'Total Duration Tables Sup #2'!E141+((E139+E140)*'Other Assumptions'!I18/(1-'Other Assumptions'!I18))</f>
        <v>9.4699352533117427</v>
      </c>
      <c r="F141" s="4">
        <f ca="1">'Total Duration Tables Sup #2'!F141+((F139+F140)*'Other Assumptions'!J18/(1-'Other Assumptions'!J18))</f>
        <v>19.077762506682333</v>
      </c>
      <c r="G141" s="4">
        <f ca="1">'Total Duration Tables Sup #2'!G141+((G139+G140)*'Other Assumptions'!K18/(1-'Other Assumptions'!K18))</f>
        <v>28.906285405748761</v>
      </c>
      <c r="H141" s="4">
        <f ca="1">'Total Duration Tables Sup #2'!H141+((H139+H140)*'Other Assumptions'!L18/(1-'Other Assumptions'!L18))</f>
        <v>38.733815058325504</v>
      </c>
      <c r="I141" s="1">
        <f ca="1">'Total Duration Tables Sup #2'!I141+((I139+I140)*'Other Assumptions'!M18/(1-'Other Assumptions'!M18))</f>
        <v>39.79325216975338</v>
      </c>
      <c r="J141" s="1">
        <f ca="1">'Total Duration Tables Sup #2'!J141+((J139+J140)*'Other Assumptions'!N18/(1-'Other Assumptions'!N18))</f>
        <v>40.730598502816719</v>
      </c>
      <c r="K141" s="1">
        <f ca="1">'Total Duration Tables Sup #2'!K141+((K139+K140)*'Other Assumptions'!O18/(1-'Other Assumptions'!O18))</f>
        <v>41.588440798402374</v>
      </c>
    </row>
    <row r="142" spans="1:11" x14ac:dyDescent="0.2">
      <c r="A142" t="str">
        <f ca="1">OFFSET(Otago_Reference,35,2)</f>
        <v>Motorcyclist</v>
      </c>
      <c r="B142" s="4">
        <f ca="1">'Total Duration Tables Sup #2'!B142</f>
        <v>0.42545310469999997</v>
      </c>
      <c r="C142" s="4">
        <f ca="1">'Total Duration Tables Sup #2'!C142</f>
        <v>0.45968473180991698</v>
      </c>
      <c r="D142" s="4">
        <f ca="1">'Total Duration Tables Sup #2'!D142</f>
        <v>0.48301413834851309</v>
      </c>
      <c r="E142" s="4">
        <f ca="1">'Total Duration Tables Sup #2'!E142</f>
        <v>0.49630555453616348</v>
      </c>
      <c r="F142" s="4">
        <f ca="1">'Total Duration Tables Sup #2'!F142</f>
        <v>0.50273106291890768</v>
      </c>
      <c r="G142" s="4">
        <f ca="1">'Total Duration Tables Sup #2'!G142</f>
        <v>0.49964071813760103</v>
      </c>
      <c r="H142" s="4">
        <f ca="1">'Total Duration Tables Sup #2'!H142</f>
        <v>0.49150835223509665</v>
      </c>
      <c r="I142" s="1">
        <f ca="1">'Total Duration Tables Sup #2'!I142</f>
        <v>0.50675947218409678</v>
      </c>
      <c r="J142" s="1">
        <f ca="1">'Total Duration Tables Sup #2'!J142</f>
        <v>0.52084376947010669</v>
      </c>
      <c r="K142" s="1">
        <f ca="1">'Total Duration Tables Sup #2'!K142</f>
        <v>0.53396976763870585</v>
      </c>
    </row>
    <row r="143" spans="1:11" x14ac:dyDescent="0.2">
      <c r="A143" t="str">
        <f ca="1">OFFSET(Canterbury_Reference,42,2)</f>
        <v>Local Train</v>
      </c>
      <c r="B143" s="4">
        <f ca="1">'Total Duration Tables Sup #2'!B143</f>
        <v>0</v>
      </c>
      <c r="C143" s="4">
        <f ca="1">'Total Duration Tables Sup #2'!C143</f>
        <v>0</v>
      </c>
      <c r="D143" s="4">
        <f ca="1">'Total Duration Tables Sup #2'!D143</f>
        <v>0</v>
      </c>
      <c r="E143" s="4">
        <f ca="1">'Total Duration Tables Sup #2'!E143</f>
        <v>0</v>
      </c>
      <c r="F143" s="4">
        <f ca="1">'Total Duration Tables Sup #2'!F143</f>
        <v>0</v>
      </c>
      <c r="G143" s="4">
        <f ca="1">'Total Duration Tables Sup #2'!G143</f>
        <v>0</v>
      </c>
      <c r="H143" s="4">
        <f ca="1">'Total Duration Tables Sup #2'!H143</f>
        <v>0</v>
      </c>
      <c r="I143" s="1">
        <f ca="1">'Total Duration Tables Sup #2'!I143</f>
        <v>0</v>
      </c>
      <c r="J143" s="1">
        <f ca="1">'Total Duration Tables Sup #2'!J143</f>
        <v>0</v>
      </c>
      <c r="K143" s="1">
        <f ca="1">'Total Duration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Duration Tables Sup #2'!B144</f>
        <v>1.347401772</v>
      </c>
      <c r="C144" s="4">
        <f ca="1">'Total Duration Tables Sup #2'!C144</f>
        <v>1.2758654844118533</v>
      </c>
      <c r="D144" s="4">
        <f ca="1">'Total Duration Tables Sup #2'!D144</f>
        <v>1.3132923194443211</v>
      </c>
      <c r="E144" s="4">
        <f ca="1">'Total Duration Tables Sup #2'!E144</f>
        <v>1.318012660196261</v>
      </c>
      <c r="F144" s="4">
        <f ca="1">'Total Duration Tables Sup #2'!F144</f>
        <v>1.3175585198648236</v>
      </c>
      <c r="G144" s="4">
        <f ca="1">'Total Duration Tables Sup #2'!G144</f>
        <v>1.3270889196307567</v>
      </c>
      <c r="H144" s="4">
        <f ca="1">'Total Duration Tables Sup #2'!H144</f>
        <v>1.3349980873751559</v>
      </c>
      <c r="I144" s="1">
        <f ca="1">'Total Duration Tables Sup #2'!I144</f>
        <v>1.3738875687027921</v>
      </c>
      <c r="J144" s="1">
        <f ca="1">'Total Duration Tables Sup #2'!J144</f>
        <v>1.4090452415318169</v>
      </c>
      <c r="K144" s="1">
        <f ca="1">'Total Duration Tables Sup #2'!K144</f>
        <v>1.4415185142256124</v>
      </c>
    </row>
    <row r="145" spans="1:11" x14ac:dyDescent="0.2">
      <c r="A145" t="str">
        <f ca="1">OFFSET(Wellington_Reference,56,2)</f>
        <v>Local Ferry</v>
      </c>
      <c r="B145" s="4">
        <f ca="1">'Total Duration Tables Sup #2'!B145</f>
        <v>0</v>
      </c>
      <c r="C145" s="4">
        <f ca="1">'Total Duration Tables Sup #2'!C145</f>
        <v>0</v>
      </c>
      <c r="D145" s="4">
        <f ca="1">'Total Duration Tables Sup #2'!D145</f>
        <v>0</v>
      </c>
      <c r="E145" s="4">
        <f ca="1">'Total Duration Tables Sup #2'!E145</f>
        <v>0</v>
      </c>
      <c r="F145" s="4">
        <f ca="1">'Total Duration Tables Sup #2'!F145</f>
        <v>0</v>
      </c>
      <c r="G145" s="4">
        <f ca="1">'Total Duration Tables Sup #2'!G145</f>
        <v>0</v>
      </c>
      <c r="H145" s="4">
        <f ca="1">'Total Duration Tables Sup #2'!H145</f>
        <v>0</v>
      </c>
      <c r="I145" s="1">
        <f ca="1">'Total Duration Tables Sup #2'!I145</f>
        <v>0</v>
      </c>
      <c r="J145" s="1">
        <f ca="1">'Total Duration Tables Sup #2'!J145</f>
        <v>0</v>
      </c>
      <c r="K145" s="1">
        <f ca="1">'Total Duration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Duration Tables Sup #2'!B146</f>
        <v>0.25154479130000001</v>
      </c>
      <c r="C146" s="4">
        <f ca="1">'Total Duration Tables Sup #2'!C146</f>
        <v>0.27994406956688311</v>
      </c>
      <c r="D146" s="4">
        <f ca="1">'Total Duration Tables Sup #2'!D146</f>
        <v>0.29199214829351888</v>
      </c>
      <c r="E146" s="4">
        <f ca="1">'Total Duration Tables Sup #2'!E146</f>
        <v>0.29956290556421811</v>
      </c>
      <c r="F146" s="4">
        <f ca="1">'Total Duration Tables Sup #2'!F146</f>
        <v>0.30255075560064876</v>
      </c>
      <c r="G146" s="4">
        <f ca="1">'Total Duration Tables Sup #2'!G146</f>
        <v>0.30525694351731575</v>
      </c>
      <c r="H146" s="4">
        <f ca="1">'Total Duration Tables Sup #2'!H146</f>
        <v>0.30389806224389443</v>
      </c>
      <c r="I146" s="1">
        <f ca="1">'Total Duration Tables Sup #2'!I146</f>
        <v>0.3111907790251438</v>
      </c>
      <c r="J146" s="1">
        <f ca="1">'Total Duration Tables Sup #2'!J146</f>
        <v>0.3172901489988203</v>
      </c>
      <c r="K146" s="1">
        <f ca="1">'Total Duration Tables Sup #2'!K146</f>
        <v>0.32275187168279762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'Total Duration Tables Sup #2'!B148</f>
        <v>2.2528617661000001</v>
      </c>
      <c r="C148" s="4">
        <f ca="1">'Total Duration Tables Sup #2'!C148</f>
        <v>2.2614907858550857</v>
      </c>
      <c r="D148" s="4">
        <f ca="1">'Total Duration Tables Sup #2'!D148</f>
        <v>2.2884194111583649</v>
      </c>
      <c r="E148" s="4">
        <f ca="1">'Total Duration Tables Sup #2'!E148</f>
        <v>2.2915707373780876</v>
      </c>
      <c r="F148" s="4">
        <f ca="1">'Total Duration Tables Sup #2'!F148</f>
        <v>2.2772236225805735</v>
      </c>
      <c r="G148" s="4">
        <f ca="1">'Total Duration Tables Sup #2'!G148</f>
        <v>2.2574001305344198</v>
      </c>
      <c r="H148" s="4">
        <f ca="1">'Total Duration Tables Sup #2'!H148</f>
        <v>2.2234843631018673</v>
      </c>
      <c r="I148" s="1">
        <f ca="1">'Total Duration Tables Sup #2'!I148</f>
        <v>2.2351896689391357</v>
      </c>
      <c r="J148" s="1">
        <f ca="1">'Total Duration Tables Sup #2'!J148</f>
        <v>2.2399215492393765</v>
      </c>
      <c r="K148" s="1">
        <f ca="1">'Total Duration Tables Sup #2'!K148</f>
        <v>2.239223583247961</v>
      </c>
    </row>
    <row r="149" spans="1:11" x14ac:dyDescent="0.2">
      <c r="A149" t="str">
        <f ca="1">OFFSET(Southland_Reference,7,2)</f>
        <v>Cyclist</v>
      </c>
      <c r="B149" s="4">
        <f ca="1">'Total Duration Tables Sup #2'!B149</f>
        <v>0.50294231479999996</v>
      </c>
      <c r="C149" s="4">
        <f ca="1">'Total Duration Tables Sup #2'!C149</f>
        <v>0.51343912178442497</v>
      </c>
      <c r="D149" s="4">
        <f ca="1">'Total Duration Tables Sup #2'!D149</f>
        <v>0.58747692112513306</v>
      </c>
      <c r="E149" s="4">
        <f ca="1">'Total Duration Tables Sup #2'!E149</f>
        <v>0.64200807026175355</v>
      </c>
      <c r="F149" s="4">
        <f ca="1">'Total Duration Tables Sup #2'!F149</f>
        <v>0.70315469664588126</v>
      </c>
      <c r="G149" s="4">
        <f ca="1">'Total Duration Tables Sup #2'!G149</f>
        <v>0.7734839121481355</v>
      </c>
      <c r="H149" s="4">
        <f ca="1">'Total Duration Tables Sup #2'!H149</f>
        <v>0.84360155556297844</v>
      </c>
      <c r="I149" s="1">
        <f ca="1">'Total Duration Tables Sup #2'!I149</f>
        <v>0.85390620212421675</v>
      </c>
      <c r="J149" s="1">
        <f ca="1">'Total Duration Tables Sup #2'!J149</f>
        <v>0.86404298332001628</v>
      </c>
      <c r="K149" s="1">
        <f ca="1">'Total Duration Tables Sup #2'!K149</f>
        <v>0.87234578391547912</v>
      </c>
    </row>
    <row r="150" spans="1:11" x14ac:dyDescent="0.2">
      <c r="A150" t="str">
        <f ca="1">OFFSET(Southland_Reference,14,2)</f>
        <v>Light Vehicle Driver</v>
      </c>
      <c r="B150" s="4">
        <f ca="1">'Total Duration Tables Sup #2'!B150</f>
        <v>14.603785903</v>
      </c>
      <c r="C150" s="4">
        <f ca="1">'Total Duration Tables Sup #2'!C150*(1-'Other Assumptions'!G19)</f>
        <v>15.324315721316792</v>
      </c>
      <c r="D150" s="4">
        <f ca="1">'Total Duration Tables Sup #2'!D150*(1-'Other Assumptions'!H19)</f>
        <v>15.5211470526827</v>
      </c>
      <c r="E150" s="4">
        <f ca="1">'Total Duration Tables Sup #2'!E150*(1-'Other Assumptions'!I19)</f>
        <v>13.430308449525786</v>
      </c>
      <c r="F150" s="4">
        <f ca="1">'Total Duration Tables Sup #2'!F150*(1-'Other Assumptions'!J19)</f>
        <v>11.153487975975104</v>
      </c>
      <c r="G150" s="4">
        <f ca="1">'Total Duration Tables Sup #2'!G150*(1-'Other Assumptions'!K19)</f>
        <v>8.7408103486973516</v>
      </c>
      <c r="H150" s="4">
        <f ca="1">'Total Duration Tables Sup #2'!H150*(1-'Other Assumptions'!L19)</f>
        <v>6.2861862082110633</v>
      </c>
      <c r="I150" s="1">
        <f ca="1">'Total Duration Tables Sup #2'!I150*(1-'Other Assumptions'!M19)</f>
        <v>6.3072231578811095</v>
      </c>
      <c r="J150" s="1">
        <f ca="1">'Total Duration Tables Sup #2'!J150*(1-'Other Assumptions'!N19)</f>
        <v>6.3047228682087466</v>
      </c>
      <c r="K150" s="1">
        <f ca="1">'Total Duration Tables Sup #2'!K150*(1-'Other Assumptions'!O19)</f>
        <v>6.2869132163208139</v>
      </c>
    </row>
    <row r="151" spans="1:11" x14ac:dyDescent="0.2">
      <c r="A151" t="str">
        <f ca="1">OFFSET(Southland_Reference,21,2)</f>
        <v>Light Vehicle Passenger</v>
      </c>
      <c r="B151" s="4">
        <f ca="1">'Total Duration Tables Sup #2'!B151</f>
        <v>7.5859087797999996</v>
      </c>
      <c r="C151" s="4">
        <f ca="1">'Total Duration Tables Sup #2'!C151*(1-'Other Assumptions'!G19)</f>
        <v>7.5948576081271035</v>
      </c>
      <c r="D151" s="4">
        <f ca="1">'Total Duration Tables Sup #2'!D151*(1-'Other Assumptions'!H19)</f>
        <v>7.5767841019216942</v>
      </c>
      <c r="E151" s="4">
        <f ca="1">'Total Duration Tables Sup #2'!E151*(1-'Other Assumptions'!I19)</f>
        <v>6.4408876513641147</v>
      </c>
      <c r="F151" s="4">
        <f ca="1">'Total Duration Tables Sup #2'!F151*(1-'Other Assumptions'!J19)</f>
        <v>5.2677689895268509</v>
      </c>
      <c r="G151" s="4">
        <f ca="1">'Total Duration Tables Sup #2'!G151*(1-'Other Assumptions'!K19)</f>
        <v>4.0871094097126539</v>
      </c>
      <c r="H151" s="4">
        <f ca="1">'Total Duration Tables Sup #2'!H151*(1-'Other Assumptions'!L19)</f>
        <v>2.9158574543270568</v>
      </c>
      <c r="I151" s="1">
        <f ca="1">'Total Duration Tables Sup #2'!I151*(1-'Other Assumptions'!M19)</f>
        <v>2.9276082338343867</v>
      </c>
      <c r="J151" s="1">
        <f ca="1">'Total Duration Tables Sup #2'!J151*(1-'Other Assumptions'!N19)</f>
        <v>2.9287512619368794</v>
      </c>
      <c r="K151" s="1">
        <f ca="1">'Total Duration Tables Sup #2'!K151*(1-'Other Assumptions'!O19)</f>
        <v>2.9227168600058575</v>
      </c>
    </row>
    <row r="152" spans="1:11" x14ac:dyDescent="0.2">
      <c r="A152" t="str">
        <f ca="1">OFFSET(Southland_Reference,28,2)</f>
        <v>Taxi/Vehicle Share</v>
      </c>
      <c r="B152" s="4">
        <f ca="1">'Total Duration Tables Sup #2'!B152</f>
        <v>6.6688903300000005E-2</v>
      </c>
      <c r="C152" s="4">
        <f ca="1">'Total Duration Tables Sup #2'!C152+((C150+C151)*'Other Assumptions'!G19/(1-'Other Assumptions'!G19))</f>
        <v>7.3829098425610945E-2</v>
      </c>
      <c r="D152" s="4">
        <f ca="1">'Total Duration Tables Sup #2'!D152+((D150+D151)*'Other Assumptions'!H19/(1-'Other Assumptions'!H19))</f>
        <v>8.0373330040828542E-2</v>
      </c>
      <c r="E152" s="4">
        <f ca="1">'Total Duration Tables Sup #2'!E152+((E150+E151)*'Other Assumptions'!I19/(1-'Other Assumptions'!I19))</f>
        <v>3.5923695834948601</v>
      </c>
      <c r="F152" s="4">
        <f ca="1">'Total Duration Tables Sup #2'!F152+((F150+F151)*'Other Assumptions'!J19/(1-'Other Assumptions'!J19))</f>
        <v>7.1272210258341016</v>
      </c>
      <c r="G152" s="4">
        <f ca="1">'Total Duration Tables Sup #2'!G152+((G150+G151)*'Other Assumptions'!K19/(1-'Other Assumptions'!K19))</f>
        <v>10.586992771579801</v>
      </c>
      <c r="H152" s="4">
        <f ca="1">'Total Duration Tables Sup #2'!H152+((H150+H151)*'Other Assumptions'!L19/(1-'Other Assumptions'!L19))</f>
        <v>13.895332624577328</v>
      </c>
      <c r="I152" s="1">
        <f ca="1">'Total Duration Tables Sup #2'!I152+((I150+I151)*'Other Assumptions'!M19/(1-'Other Assumptions'!M19))</f>
        <v>13.944967865782106</v>
      </c>
      <c r="J152" s="1">
        <f ca="1">'Total Duration Tables Sup #2'!J152+((J150+J151)*'Other Assumptions'!N19/(1-'Other Assumptions'!N19))</f>
        <v>13.943114906546757</v>
      </c>
      <c r="K152" s="1">
        <f ca="1">'Total Duration Tables Sup #2'!K152+((K150+K151)*'Other Assumptions'!O19/(1-'Other Assumptions'!O19))</f>
        <v>13.907310802577655</v>
      </c>
    </row>
    <row r="153" spans="1:11" x14ac:dyDescent="0.2">
      <c r="A153" t="str">
        <f ca="1">OFFSET(Southland_Reference,35,2)</f>
        <v>Motorcyclist</v>
      </c>
      <c r="B153" s="4">
        <f ca="1">'Total Duration Tables Sup #2'!B153</f>
        <v>0.2609239458</v>
      </c>
      <c r="C153" s="4">
        <f ca="1">'Total Duration Tables Sup #2'!C153</f>
        <v>0.26938246041102576</v>
      </c>
      <c r="D153" s="4">
        <f ca="1">'Total Duration Tables Sup #2'!D153</f>
        <v>0.27327721259676502</v>
      </c>
      <c r="E153" s="4">
        <f ca="1">'Total Duration Tables Sup #2'!E153</f>
        <v>0.27440930994156049</v>
      </c>
      <c r="F153" s="4">
        <f ca="1">'Total Duration Tables Sup #2'!F153</f>
        <v>0.27169302118910876</v>
      </c>
      <c r="G153" s="4">
        <f ca="1">'Total Duration Tables Sup #2'!G153</f>
        <v>0.26373883503650919</v>
      </c>
      <c r="H153" s="4">
        <f ca="1">'Total Duration Tables Sup #2'!H153</f>
        <v>0.25344166900460952</v>
      </c>
      <c r="I153" s="1">
        <f ca="1">'Total Duration Tables Sup #2'!I153</f>
        <v>0.25525828725490968</v>
      </c>
      <c r="J153" s="1">
        <f ca="1">'Total Duration Tables Sup #2'!J153</f>
        <v>0.25628093932722062</v>
      </c>
      <c r="K153" s="1">
        <f ca="1">'Total Duration Tables Sup #2'!K153</f>
        <v>0.25665891891069553</v>
      </c>
    </row>
    <row r="154" spans="1:11" x14ac:dyDescent="0.2">
      <c r="A154" t="str">
        <f ca="1">OFFSET(Canterbury_Reference,42,2)</f>
        <v>Local Train</v>
      </c>
      <c r="B154" s="4">
        <f ca="1">'Total Duration Tables Sup #2'!B154</f>
        <v>0</v>
      </c>
      <c r="C154" s="4">
        <f ca="1">'Total Duration Tables Sup #2'!C154</f>
        <v>0</v>
      </c>
      <c r="D154" s="4">
        <f ca="1">'Total Duration Tables Sup #2'!D154</f>
        <v>0</v>
      </c>
      <c r="E154" s="4">
        <f ca="1">'Total Duration Tables Sup #2'!E154</f>
        <v>0</v>
      </c>
      <c r="F154" s="4">
        <f ca="1">'Total Duration Tables Sup #2'!F154</f>
        <v>0</v>
      </c>
      <c r="G154" s="4">
        <f ca="1">'Total Duration Tables Sup #2'!G154</f>
        <v>0</v>
      </c>
      <c r="H154" s="4">
        <f ca="1">'Total Duration Tables Sup #2'!H154</f>
        <v>0</v>
      </c>
      <c r="I154" s="1">
        <f ca="1">'Total Duration Tables Sup #2'!I154</f>
        <v>0</v>
      </c>
      <c r="J154" s="1">
        <f ca="1">'Total Duration Tables Sup #2'!J154</f>
        <v>0</v>
      </c>
      <c r="K154" s="1">
        <f ca="1">'Total Duration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Duration Tables Sup #2'!B155</f>
        <v>1.2152660816</v>
      </c>
      <c r="C155" s="4">
        <f ca="1">'Total Duration Tables Sup #2'!C155</f>
        <v>1.0995782663803759</v>
      </c>
      <c r="D155" s="4">
        <f ca="1">'Total Duration Tables Sup #2'!D155</f>
        <v>1.0927404075857159</v>
      </c>
      <c r="E155" s="4">
        <f ca="1">'Total Duration Tables Sup #2'!E155</f>
        <v>1.0717199378046307</v>
      </c>
      <c r="F155" s="4">
        <f ca="1">'Total Duration Tables Sup #2'!F155</f>
        <v>1.0471881009738777</v>
      </c>
      <c r="G155" s="4">
        <f ca="1">'Total Duration Tables Sup #2'!G155</f>
        <v>1.030216034621467</v>
      </c>
      <c r="H155" s="4">
        <f ca="1">'Total Duration Tables Sup #2'!H155</f>
        <v>1.0123712040108062</v>
      </c>
      <c r="I155" s="1">
        <f ca="1">'Total Duration Tables Sup #2'!I155</f>
        <v>1.0177501897876176</v>
      </c>
      <c r="J155" s="1">
        <f ca="1">'Total Duration Tables Sup #2'!J155</f>
        <v>1.0196374866248819</v>
      </c>
      <c r="K155" s="1">
        <f ca="1">'Total Duration Tables Sup #2'!K155</f>
        <v>1.0189947321092299</v>
      </c>
    </row>
    <row r="156" spans="1:11" x14ac:dyDescent="0.2">
      <c r="A156" t="str">
        <f ca="1">OFFSET(Wellington_Reference,56,2)</f>
        <v>Local Ferry</v>
      </c>
      <c r="B156" s="4">
        <f ca="1">'Total Duration Tables Sup #2'!B156</f>
        <v>0</v>
      </c>
      <c r="C156" s="4">
        <f ca="1">'Total Duration Tables Sup #2'!C156</f>
        <v>0</v>
      </c>
      <c r="D156" s="4">
        <f ca="1">'Total Duration Tables Sup #2'!D156</f>
        <v>0</v>
      </c>
      <c r="E156" s="4">
        <f ca="1">'Total Duration Tables Sup #2'!E156</f>
        <v>0</v>
      </c>
      <c r="F156" s="4">
        <f ca="1">'Total Duration Tables Sup #2'!F156</f>
        <v>0</v>
      </c>
      <c r="G156" s="4">
        <f ca="1">'Total Duration Tables Sup #2'!G156</f>
        <v>0</v>
      </c>
      <c r="H156" s="4">
        <f ca="1">'Total Duration Tables Sup #2'!H156</f>
        <v>0</v>
      </c>
      <c r="I156" s="1">
        <f ca="1">'Total Duration Tables Sup #2'!I156</f>
        <v>0</v>
      </c>
      <c r="J156" s="1">
        <f ca="1">'Total Duration Tables Sup #2'!J156</f>
        <v>0</v>
      </c>
      <c r="K156" s="1">
        <f ca="1">'Total Duration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Duration Tables Sup #2'!B157</f>
        <v>8.5162673699999997E-2</v>
      </c>
      <c r="C157" s="4">
        <f ca="1">'Total Duration Tables Sup #2'!C157</f>
        <v>9.0563297327486955E-2</v>
      </c>
      <c r="D157" s="4">
        <f ca="1">'Total Duration Tables Sup #2'!D157</f>
        <v>9.1198242290336726E-2</v>
      </c>
      <c r="E157" s="4">
        <f ca="1">'Total Duration Tables Sup #2'!E157</f>
        <v>9.143436620643508E-2</v>
      </c>
      <c r="F157" s="4">
        <f ca="1">'Total Duration Tables Sup #2'!F157</f>
        <v>9.0263615095888455E-2</v>
      </c>
      <c r="G157" s="4">
        <f ca="1">'Total Duration Tables Sup #2'!G157</f>
        <v>8.8951551938900614E-2</v>
      </c>
      <c r="H157" s="4">
        <f ca="1">'Total Duration Tables Sup #2'!H157</f>
        <v>8.6506106818364001E-2</v>
      </c>
      <c r="I157" s="1">
        <f ca="1">'Total Duration Tables Sup #2'!I157</f>
        <v>8.6531934754091461E-2</v>
      </c>
      <c r="J157" s="1">
        <f ca="1">'Total Duration Tables Sup #2'!J157</f>
        <v>8.618608255365004E-2</v>
      </c>
      <c r="K157" s="1">
        <f ca="1">'Total Duration Tables Sup #2'!K157</f>
        <v>8.5640694377150148E-2</v>
      </c>
    </row>
    <row r="158" spans="1:11" x14ac:dyDescent="0.2">
      <c r="A158" t="s">
        <v>103</v>
      </c>
      <c r="B158" s="1">
        <f ca="1">SUM(B159:B168)</f>
        <v>1563.2845741693284</v>
      </c>
      <c r="C158" s="1">
        <f t="shared" ref="C158:H158" ca="1" si="0">SUM(C159:C168)</f>
        <v>1743.7235879277132</v>
      </c>
      <c r="D158" s="1">
        <f t="shared" ca="1" si="0"/>
        <v>1894.7861313759472</v>
      </c>
      <c r="E158" s="1">
        <f t="shared" ca="1" si="0"/>
        <v>2038.6729006896776</v>
      </c>
      <c r="F158" s="1">
        <f t="shared" ca="1" si="0"/>
        <v>2167.1029061497561</v>
      </c>
      <c r="G158" s="1">
        <f t="shared" ca="1" si="0"/>
        <v>2284.7073814679543</v>
      </c>
      <c r="H158" s="1">
        <f t="shared" ca="1" si="0"/>
        <v>2388.8127831356464</v>
      </c>
      <c r="I158" s="1">
        <f t="shared" ref="I158:K158" ca="1" si="1">SUM(I159:I168)</f>
        <v>2520.3478844685897</v>
      </c>
      <c r="J158" s="1">
        <f t="shared" ca="1" si="1"/>
        <v>2674.9719957635052</v>
      </c>
      <c r="K158" s="1">
        <f t="shared" ca="1" si="1"/>
        <v>2836.4934961199697</v>
      </c>
    </row>
    <row r="159" spans="1:11" x14ac:dyDescent="0.2">
      <c r="A159" t="str">
        <f t="shared" ref="A159:A165" ca="1" si="2">A5</f>
        <v>Pedestrian</v>
      </c>
      <c r="B159" s="4">
        <f t="shared" ref="B159:H168" ca="1" si="3">B5+B16+B27+B38+B49+B60+B71+B82+B93+B104+B115+B126+B137+B148</f>
        <v>205.0143830817</v>
      </c>
      <c r="C159" s="4">
        <f t="shared" ca="1" si="3"/>
        <v>222.57681058936581</v>
      </c>
      <c r="D159" s="4">
        <f t="shared" ca="1" si="3"/>
        <v>240.92407741671198</v>
      </c>
      <c r="E159" s="4">
        <f t="shared" ca="1" si="3"/>
        <v>255.51728289803316</v>
      </c>
      <c r="F159" s="4">
        <f t="shared" ca="1" si="3"/>
        <v>268.67516383468359</v>
      </c>
      <c r="G159" s="4">
        <f t="shared" ca="1" si="3"/>
        <v>281.66046014655291</v>
      </c>
      <c r="H159" s="4">
        <f t="shared" ca="1" si="3"/>
        <v>293.20821423049307</v>
      </c>
      <c r="I159" s="1">
        <f t="shared" ref="I159:K159" ca="1" si="4">I5+I16+I27+I38+I49+I60+I71+I82+I93+I104+I115+I126+I137+I148</f>
        <v>308.88278008206333</v>
      </c>
      <c r="J159" s="1">
        <f t="shared" ca="1" si="4"/>
        <v>327.18096123232039</v>
      </c>
      <c r="K159" s="1">
        <f t="shared" ca="1" si="4"/>
        <v>346.14921337388836</v>
      </c>
    </row>
    <row r="160" spans="1:11" x14ac:dyDescent="0.2">
      <c r="A160" t="str">
        <f t="shared" ca="1" si="2"/>
        <v>Cyclist</v>
      </c>
      <c r="B160" s="4">
        <f t="shared" ca="1" si="3"/>
        <v>24.928098629399997</v>
      </c>
      <c r="C160" s="4">
        <f t="shared" ca="1" si="3"/>
        <v>27.160431718608482</v>
      </c>
      <c r="D160" s="4">
        <f t="shared" ca="1" si="3"/>
        <v>32.903337683173405</v>
      </c>
      <c r="E160" s="4">
        <f t="shared" ca="1" si="3"/>
        <v>37.698794270298485</v>
      </c>
      <c r="F160" s="4">
        <f t="shared" ca="1" si="3"/>
        <v>43.245210836380629</v>
      </c>
      <c r="G160" s="4">
        <f t="shared" ca="1" si="3"/>
        <v>49.820948795478024</v>
      </c>
      <c r="H160" s="4">
        <f t="shared" ca="1" si="3"/>
        <v>56.892798238055683</v>
      </c>
      <c r="I160" s="1">
        <f t="shared" ref="I160:K160" ca="1" si="5">I6+I17+I28+I39+I50+I61+I72+I83+I94+I105+I116+I127+I138+I149</f>
        <v>59.969910107245845</v>
      </c>
      <c r="J160" s="1">
        <f t="shared" ca="1" si="5"/>
        <v>63.558941412647208</v>
      </c>
      <c r="K160" s="1">
        <f t="shared" ca="1" si="5"/>
        <v>67.2853638215785</v>
      </c>
    </row>
    <row r="161" spans="1:11" x14ac:dyDescent="0.2">
      <c r="A161" t="str">
        <f t="shared" ca="1" si="2"/>
        <v>Light Vehicle Driver</v>
      </c>
      <c r="B161" s="4">
        <f t="shared" ca="1" si="3"/>
        <v>820.39837236829999</v>
      </c>
      <c r="C161" s="4">
        <f t="shared" ca="1" si="3"/>
        <v>933.76693075523792</v>
      </c>
      <c r="D161" s="4">
        <f t="shared" ca="1" si="3"/>
        <v>1010.3997284454653</v>
      </c>
      <c r="E161" s="4">
        <f t="shared" ca="1" si="3"/>
        <v>925.08078331567765</v>
      </c>
      <c r="F161" s="4">
        <f t="shared" ca="1" si="3"/>
        <v>813.77906602831558</v>
      </c>
      <c r="G161" s="4">
        <f t="shared" ca="1" si="3"/>
        <v>675.07992140215447</v>
      </c>
      <c r="H161" s="4">
        <f t="shared" ca="1" si="3"/>
        <v>513.55271715187632</v>
      </c>
      <c r="I161" s="1">
        <f t="shared" ref="I161:K161" ca="1" si="6">I7+I18+I29+I40+I51+I62+I73+I84+I95+I106+I117+I128+I139+I150</f>
        <v>540.23762425292568</v>
      </c>
      <c r="J161" s="1">
        <f t="shared" ca="1" si="6"/>
        <v>571.46683288645249</v>
      </c>
      <c r="K161" s="1">
        <f t="shared" ca="1" si="6"/>
        <v>603.71439600375754</v>
      </c>
    </row>
    <row r="162" spans="1:11" x14ac:dyDescent="0.2">
      <c r="A162" t="str">
        <f t="shared" ca="1" si="2"/>
        <v>Light Vehicle Passenger</v>
      </c>
      <c r="B162" s="4">
        <f t="shared" ca="1" si="3"/>
        <v>430.09037615619997</v>
      </c>
      <c r="C162" s="4">
        <f t="shared" ca="1" si="3"/>
        <v>465.52394784617962</v>
      </c>
      <c r="D162" s="4">
        <f t="shared" ca="1" si="3"/>
        <v>492.07662176586342</v>
      </c>
      <c r="E162" s="4">
        <f t="shared" ca="1" si="3"/>
        <v>439.26613787237289</v>
      </c>
      <c r="F162" s="4">
        <f t="shared" ca="1" si="3"/>
        <v>378.84044996545174</v>
      </c>
      <c r="G162" s="4">
        <f t="shared" ca="1" si="3"/>
        <v>309.78473801260094</v>
      </c>
      <c r="H162" s="4">
        <f t="shared" ca="1" si="3"/>
        <v>232.75134549158807</v>
      </c>
      <c r="I162" s="1">
        <f t="shared" ref="I162:K162" ca="1" si="7">I8+I19+I30+I41+I52+I63+I74+I85+I96+I107+I118+I129+I140+I151</f>
        <v>244.2487902005561</v>
      </c>
      <c r="J162" s="1">
        <f t="shared" ca="1" si="7"/>
        <v>257.76389538514593</v>
      </c>
      <c r="K162" s="1">
        <f t="shared" ca="1" si="7"/>
        <v>271.61924443986999</v>
      </c>
    </row>
    <row r="163" spans="1:11" x14ac:dyDescent="0.2">
      <c r="A163" t="str">
        <f t="shared" ca="1" si="2"/>
        <v>Taxi/Vehicle Share</v>
      </c>
      <c r="B163" s="4">
        <f t="shared" ca="1" si="3"/>
        <v>4.6704390591000005</v>
      </c>
      <c r="C163" s="4">
        <f t="shared" ca="1" si="3"/>
        <v>5.5973034020074097</v>
      </c>
      <c r="D163" s="4">
        <f t="shared" ca="1" si="3"/>
        <v>6.5325107311538808</v>
      </c>
      <c r="E163" s="4">
        <f t="shared" ca="1" si="3"/>
        <v>248.15474092388382</v>
      </c>
      <c r="F163" s="4">
        <f t="shared" ca="1" si="3"/>
        <v>519.29843524182388</v>
      </c>
      <c r="G163" s="4">
        <f t="shared" ca="1" si="3"/>
        <v>814.63454825212943</v>
      </c>
      <c r="H163" s="4">
        <f t="shared" ca="1" si="3"/>
        <v>1128.8905209537222</v>
      </c>
      <c r="I163" s="1">
        <f t="shared" ref="I163:K163" ca="1" si="8">I9+I20+I31+I42+I53+I64+I75+I86+I97+I108+I119+I130+I141+I152</f>
        <v>1186.6743204107693</v>
      </c>
      <c r="J163" s="1">
        <f t="shared" ca="1" si="8"/>
        <v>1254.3859535285978</v>
      </c>
      <c r="K163" s="1">
        <f t="shared" ca="1" si="8"/>
        <v>1324.1582674886329</v>
      </c>
    </row>
    <row r="164" spans="1:11" x14ac:dyDescent="0.2">
      <c r="A164" t="str">
        <f t="shared" ca="1" si="2"/>
        <v>Motorcyclist</v>
      </c>
      <c r="B164" s="4">
        <f t="shared" ca="1" si="3"/>
        <v>6.0136150244</v>
      </c>
      <c r="C164" s="4">
        <f t="shared" ca="1" si="3"/>
        <v>6.6846875966390966</v>
      </c>
      <c r="D164" s="4">
        <f t="shared" ca="1" si="3"/>
        <v>7.2441192713451423</v>
      </c>
      <c r="E164" s="4">
        <f t="shared" ca="1" si="3"/>
        <v>7.6987269186502498</v>
      </c>
      <c r="F164" s="4">
        <f t="shared" ca="1" si="3"/>
        <v>8.0543186746870976</v>
      </c>
      <c r="G164" s="4">
        <f t="shared" ca="1" si="3"/>
        <v>8.2571644780300488</v>
      </c>
      <c r="H164" s="4">
        <f t="shared" ca="1" si="3"/>
        <v>8.3753293234962136</v>
      </c>
      <c r="I164" s="1">
        <f t="shared" ref="I164:K164" ca="1" si="9">I10+I21+I32+I43+I54+I65+I76+I87+I98+I109+I120+I131+I142+I153</f>
        <v>8.8283185605850569</v>
      </c>
      <c r="J164" s="1">
        <f t="shared" ca="1" si="9"/>
        <v>9.3566687220465692</v>
      </c>
      <c r="K164" s="1">
        <f t="shared" ca="1" si="9"/>
        <v>9.9052445671414802</v>
      </c>
    </row>
    <row r="165" spans="1:11" x14ac:dyDescent="0.2">
      <c r="A165" t="str">
        <f t="shared" ca="1" si="2"/>
        <v>Local Train</v>
      </c>
      <c r="B165" s="4">
        <f t="shared" ca="1" si="3"/>
        <v>11.945939429511251</v>
      </c>
      <c r="C165" s="4">
        <f t="shared" ca="1" si="3"/>
        <v>18.393149844879598</v>
      </c>
      <c r="D165" s="4">
        <f t="shared" ca="1" si="3"/>
        <v>30.592219912847796</v>
      </c>
      <c r="E165" s="4">
        <f t="shared" ca="1" si="3"/>
        <v>42.669783737388187</v>
      </c>
      <c r="F165" s="4">
        <f t="shared" ca="1" si="3"/>
        <v>48.585454328246733</v>
      </c>
      <c r="G165" s="4">
        <f t="shared" ca="1" si="3"/>
        <v>54.570057870487283</v>
      </c>
      <c r="H165" s="4">
        <f t="shared" ca="1" si="3"/>
        <v>60.482746901003239</v>
      </c>
      <c r="I165" s="1">
        <f t="shared" ref="I165:K165" ca="1" si="10">I11+I22+I33+I44+I55+I66+I77+I88+I99+I110+I121+I132+I143+I154</f>
        <v>68.627592326379443</v>
      </c>
      <c r="J165" s="1">
        <f t="shared" ca="1" si="10"/>
        <v>78.487098926198726</v>
      </c>
      <c r="K165" s="1">
        <f t="shared" ca="1" si="10"/>
        <v>89.845969418071505</v>
      </c>
    </row>
    <row r="166" spans="1:11" x14ac:dyDescent="0.2">
      <c r="A166" t="s">
        <v>20</v>
      </c>
      <c r="B166" s="4">
        <f t="shared" ca="1" si="3"/>
        <v>52.97039647611355</v>
      </c>
      <c r="C166" s="4">
        <f t="shared" ca="1" si="3"/>
        <v>55.393202845605046</v>
      </c>
      <c r="D166" s="4">
        <f t="shared" ca="1" si="3"/>
        <v>64.700956341059722</v>
      </c>
      <c r="E166" s="4">
        <f t="shared" ca="1" si="3"/>
        <v>72.431785980771764</v>
      </c>
      <c r="F166" s="4">
        <f t="shared" ca="1" si="3"/>
        <v>75.879029991143682</v>
      </c>
      <c r="G166" s="4">
        <f t="shared" ca="1" si="3"/>
        <v>79.528549097313203</v>
      </c>
      <c r="H166" s="4">
        <f t="shared" ca="1" si="3"/>
        <v>82.807086418857168</v>
      </c>
      <c r="I166" s="1">
        <f t="shared" ref="I166:K166" ca="1" si="11">I12+I23+I34+I45+I56+I67+I78+I89+I100+I111+I122+I133+I144+I155</f>
        <v>90.384751094374508</v>
      </c>
      <c r="J166" s="1">
        <f t="shared" ca="1" si="11"/>
        <v>99.529172346295212</v>
      </c>
      <c r="K166" s="1">
        <f t="shared" ca="1" si="11"/>
        <v>109.79596236676647</v>
      </c>
    </row>
    <row r="167" spans="1:11" x14ac:dyDescent="0.2">
      <c r="A167" t="str">
        <f ca="1">A13</f>
        <v>Local Ferry</v>
      </c>
      <c r="B167" s="4">
        <f t="shared" ca="1" si="3"/>
        <v>1.5789294523033413</v>
      </c>
      <c r="C167" s="4">
        <f t="shared" ca="1" si="3"/>
        <v>2.0186692675589848</v>
      </c>
      <c r="D167" s="4">
        <f t="shared" ca="1" si="3"/>
        <v>2.2099800784434103</v>
      </c>
      <c r="E167" s="4">
        <f t="shared" ca="1" si="3"/>
        <v>2.4318066304597346</v>
      </c>
      <c r="F167" s="4">
        <f t="shared" ca="1" si="3"/>
        <v>2.6103234206627719</v>
      </c>
      <c r="G167" s="4">
        <f t="shared" ca="1" si="3"/>
        <v>2.8255261293265392</v>
      </c>
      <c r="H167" s="4">
        <f t="shared" ca="1" si="3"/>
        <v>3.002876405831342</v>
      </c>
      <c r="I167" s="1">
        <f t="shared" ref="I167:K167" ca="1" si="12">I13+I24+I35+I46+I57+I68+I79+I90+I101+I112+I123+I134+I145+I156</f>
        <v>3.1660331513305091</v>
      </c>
      <c r="J167" s="1">
        <f t="shared" ca="1" si="12"/>
        <v>3.3564664511370514</v>
      </c>
      <c r="K167" s="1">
        <f t="shared" ca="1" si="12"/>
        <v>3.554219263182286</v>
      </c>
    </row>
    <row r="168" spans="1:11" x14ac:dyDescent="0.2">
      <c r="A168" t="str">
        <f ca="1">A14</f>
        <v>Other Household Travel</v>
      </c>
      <c r="B168" s="4">
        <f t="shared" ca="1" si="3"/>
        <v>5.6740244923000009</v>
      </c>
      <c r="C168" s="4">
        <f t="shared" ca="1" si="3"/>
        <v>6.6084540616310923</v>
      </c>
      <c r="D168" s="4">
        <f t="shared" ca="1" si="3"/>
        <v>7.2025797298832197</v>
      </c>
      <c r="E168" s="4">
        <f t="shared" ca="1" si="3"/>
        <v>7.7230581421418023</v>
      </c>
      <c r="F168" s="4">
        <f t="shared" ca="1" si="3"/>
        <v>8.1354538283603848</v>
      </c>
      <c r="G168" s="4">
        <f t="shared" ca="1" si="3"/>
        <v>8.5454672838814414</v>
      </c>
      <c r="H168" s="4">
        <f t="shared" ca="1" si="3"/>
        <v>8.8491480207225646</v>
      </c>
      <c r="I168" s="1">
        <f t="shared" ref="I168:K168" ca="1" si="13">I14+I25+I36+I47+I58+I69+I80+I91+I102+I113+I124+I135+I146+I157</f>
        <v>9.3277642823599116</v>
      </c>
      <c r="J168" s="1">
        <f t="shared" ca="1" si="13"/>
        <v>9.8860048726647065</v>
      </c>
      <c r="K168" s="1">
        <f t="shared" ca="1" si="13"/>
        <v>10.465615377080237</v>
      </c>
    </row>
    <row r="169" spans="1:11" x14ac:dyDescent="0.2">
      <c r="A169" t="s">
        <v>108</v>
      </c>
      <c r="I169" s="1"/>
      <c r="J169" s="1"/>
      <c r="K169" s="1"/>
    </row>
    <row r="170" spans="1:11" x14ac:dyDescent="0.2">
      <c r="A170" t="s">
        <v>103</v>
      </c>
      <c r="B170" s="1">
        <f ca="1">SUM(B171:B177)</f>
        <v>1563.2845741693282</v>
      </c>
      <c r="C170" s="1">
        <f t="shared" ref="C170:H170" ca="1" si="14">SUM(C171:C177)</f>
        <v>1743.7235879277132</v>
      </c>
      <c r="D170" s="1">
        <f t="shared" ca="1" si="14"/>
        <v>1894.7861313759472</v>
      </c>
      <c r="E170" s="1">
        <f t="shared" ca="1" si="14"/>
        <v>2038.672900689678</v>
      </c>
      <c r="F170" s="1">
        <f t="shared" ca="1" si="14"/>
        <v>2167.1029061497561</v>
      </c>
      <c r="G170" s="1">
        <f t="shared" ca="1" si="14"/>
        <v>2284.7073814679543</v>
      </c>
      <c r="H170" s="1">
        <f t="shared" ca="1" si="14"/>
        <v>2388.8127831356455</v>
      </c>
      <c r="I170" s="1">
        <f t="shared" ref="I170:K170" ca="1" si="15">SUM(I171:I177)</f>
        <v>2520.3478844685897</v>
      </c>
      <c r="J170" s="1">
        <f t="shared" ca="1" si="15"/>
        <v>2674.9719957635066</v>
      </c>
      <c r="K170" s="1">
        <f t="shared" ca="1" si="15"/>
        <v>2836.4934961199692</v>
      </c>
    </row>
    <row r="171" spans="1:11" x14ac:dyDescent="0.2">
      <c r="A171" t="s">
        <v>62</v>
      </c>
      <c r="B171" s="1">
        <f ca="1">B159</f>
        <v>205.0143830817</v>
      </c>
      <c r="C171" s="1">
        <f t="shared" ref="C171:H172" ca="1" si="16">C159</f>
        <v>222.57681058936581</v>
      </c>
      <c r="D171" s="1">
        <f t="shared" ca="1" si="16"/>
        <v>240.92407741671198</v>
      </c>
      <c r="E171" s="1">
        <f t="shared" ca="1" si="16"/>
        <v>255.51728289803316</v>
      </c>
      <c r="F171" s="1">
        <f t="shared" ca="1" si="16"/>
        <v>268.67516383468359</v>
      </c>
      <c r="G171" s="1">
        <f t="shared" ca="1" si="16"/>
        <v>281.66046014655291</v>
      </c>
      <c r="H171" s="1">
        <f t="shared" ca="1" si="16"/>
        <v>293.20821423049307</v>
      </c>
      <c r="I171" s="1">
        <f t="shared" ref="I171:K171" ca="1" si="17">I159</f>
        <v>308.88278008206333</v>
      </c>
      <c r="J171" s="1">
        <f t="shared" ca="1" si="17"/>
        <v>327.18096123232039</v>
      </c>
      <c r="K171" s="1">
        <f t="shared" ca="1" si="17"/>
        <v>346.14921337388836</v>
      </c>
    </row>
    <row r="172" spans="1:11" x14ac:dyDescent="0.2">
      <c r="A172" t="s">
        <v>63</v>
      </c>
      <c r="B172" s="1">
        <f ca="1">B160</f>
        <v>24.928098629399997</v>
      </c>
      <c r="C172" s="1">
        <f t="shared" ca="1" si="16"/>
        <v>27.160431718608482</v>
      </c>
      <c r="D172" s="1">
        <f t="shared" ca="1" si="16"/>
        <v>32.903337683173405</v>
      </c>
      <c r="E172" s="1">
        <f t="shared" ca="1" si="16"/>
        <v>37.698794270298485</v>
      </c>
      <c r="F172" s="1">
        <f t="shared" ca="1" si="16"/>
        <v>43.245210836380629</v>
      </c>
      <c r="G172" s="1">
        <f t="shared" ca="1" si="16"/>
        <v>49.820948795478024</v>
      </c>
      <c r="H172" s="1">
        <f t="shared" ca="1" si="16"/>
        <v>56.892798238055683</v>
      </c>
      <c r="I172" s="1">
        <f t="shared" ref="I172:K172" ca="1" si="18">I160</f>
        <v>59.969910107245845</v>
      </c>
      <c r="J172" s="1">
        <f t="shared" ca="1" si="18"/>
        <v>63.558941412647208</v>
      </c>
      <c r="K172" s="1">
        <f t="shared" ca="1" si="18"/>
        <v>67.2853638215785</v>
      </c>
    </row>
    <row r="173" spans="1:11" x14ac:dyDescent="0.2">
      <c r="A173" t="s">
        <v>104</v>
      </c>
      <c r="B173" s="1">
        <f ca="1">B165</f>
        <v>11.945939429511251</v>
      </c>
      <c r="C173" s="1">
        <f t="shared" ref="C173:H174" ca="1" si="19">C165</f>
        <v>18.393149844879598</v>
      </c>
      <c r="D173" s="1">
        <f t="shared" ca="1" si="19"/>
        <v>30.592219912847796</v>
      </c>
      <c r="E173" s="1">
        <f t="shared" ca="1" si="19"/>
        <v>42.669783737388187</v>
      </c>
      <c r="F173" s="1">
        <f t="shared" ca="1" si="19"/>
        <v>48.585454328246733</v>
      </c>
      <c r="G173" s="1">
        <f t="shared" ca="1" si="19"/>
        <v>54.570057870487283</v>
      </c>
      <c r="H173" s="1">
        <f t="shared" ca="1" si="19"/>
        <v>60.482746901003239</v>
      </c>
      <c r="I173" s="1">
        <f t="shared" ref="I173:K173" ca="1" si="20">I165</f>
        <v>68.627592326379443</v>
      </c>
      <c r="J173" s="1">
        <f t="shared" ca="1" si="20"/>
        <v>78.487098926198726</v>
      </c>
      <c r="K173" s="1">
        <f t="shared" ca="1" si="20"/>
        <v>89.845969418071505</v>
      </c>
    </row>
    <row r="174" spans="1:11" x14ac:dyDescent="0.2">
      <c r="A174" t="s">
        <v>20</v>
      </c>
      <c r="B174" s="1">
        <f ca="1">B166</f>
        <v>52.97039647611355</v>
      </c>
      <c r="C174" s="1">
        <f t="shared" ca="1" si="19"/>
        <v>55.393202845605046</v>
      </c>
      <c r="D174" s="1">
        <f t="shared" ca="1" si="19"/>
        <v>64.700956341059722</v>
      </c>
      <c r="E174" s="1">
        <f t="shared" ca="1" si="19"/>
        <v>72.431785980771764</v>
      </c>
      <c r="F174" s="1">
        <f t="shared" ca="1" si="19"/>
        <v>75.879029991143682</v>
      </c>
      <c r="G174" s="1">
        <f t="shared" ca="1" si="19"/>
        <v>79.528549097313203</v>
      </c>
      <c r="H174" s="1">
        <f t="shared" ca="1" si="19"/>
        <v>82.807086418857168</v>
      </c>
      <c r="I174" s="1">
        <f t="shared" ref="I174:K174" ca="1" si="21">I166</f>
        <v>90.384751094374508</v>
      </c>
      <c r="J174" s="1">
        <f t="shared" ca="1" si="21"/>
        <v>99.529172346295212</v>
      </c>
      <c r="K174" s="1">
        <f t="shared" ca="1" si="21"/>
        <v>109.79596236676647</v>
      </c>
    </row>
    <row r="175" spans="1:11" x14ac:dyDescent="0.2">
      <c r="A175" t="s">
        <v>105</v>
      </c>
      <c r="B175" s="1">
        <f ca="1">'Total Duration Tables Sup #2'!B9+'Total Duration Tables Sup #2'!B20+'Total Duration Tables Sup #2'!B31+'Total Duration Tables Sup #2'!B42+'Total Duration Tables Sup #2'!B53+'Total Duration Tables Sup #2'!B64+'Total Duration Tables Sup #2'!B75+'Total Duration Tables Sup #2'!B86+'Total Duration Tables Sup #2'!B97+'Total Duration Tables Sup #2'!B108+'Total Duration Tables Sup #2'!B119+'Total Duration Tables Sup #2'!B130+'Total Duration Tables Sup #2'!B141+'Total Duration Tables Sup #2'!B152+B164+B167+B168</f>
        <v>17.937008028103342</v>
      </c>
      <c r="C175" s="1">
        <f ca="1">'Total Duration Tables Sup #2'!C9+'Total Duration Tables Sup #2'!C20+'Total Duration Tables Sup #2'!C31+'Total Duration Tables Sup #2'!C42+'Total Duration Tables Sup #2'!C53+'Total Duration Tables Sup #2'!C64+'Total Duration Tables Sup #2'!C75+'Total Duration Tables Sup #2'!C86+'Total Duration Tables Sup #2'!C97+'Total Duration Tables Sup #2'!C108+'Total Duration Tables Sup #2'!C119+'Total Duration Tables Sup #2'!C130+'Total Duration Tables Sup #2'!C141+'Total Duration Tables Sup #2'!C152+C164+C167+C168</f>
        <v>20.909114327836583</v>
      </c>
      <c r="D175" s="1">
        <f ca="1">'Total Duration Tables Sup #2'!D9+'Total Duration Tables Sup #2'!D20+'Total Duration Tables Sup #2'!D31+'Total Duration Tables Sup #2'!D42+'Total Duration Tables Sup #2'!D53+'Total Duration Tables Sup #2'!D64+'Total Duration Tables Sup #2'!D75+'Total Duration Tables Sup #2'!D86+'Total Duration Tables Sup #2'!D97+'Total Duration Tables Sup #2'!D108+'Total Duration Tables Sup #2'!D119+'Total Duration Tables Sup #2'!D130+'Total Duration Tables Sup #2'!D141+'Total Duration Tables Sup #2'!D152+D164+D167+D168</f>
        <v>23.189189810825653</v>
      </c>
      <c r="E175" s="1">
        <f ca="1">'Total Duration Tables Sup #2'!E9+'Total Duration Tables Sup #2'!E20+'Total Duration Tables Sup #2'!E31+'Total Duration Tables Sup #2'!E42+'Total Duration Tables Sup #2'!E53+'Total Duration Tables Sup #2'!E64+'Total Duration Tables Sup #2'!E75+'Total Duration Tables Sup #2'!E86+'Total Duration Tables Sup #2'!E97+'Total Duration Tables Sup #2'!E108+'Total Duration Tables Sup #2'!E119+'Total Duration Tables Sup #2'!E130+'Total Duration Tables Sup #2'!E141+'Total Duration Tables Sup #2'!E152+E164+E167+E168</f>
        <v>25.241228876067886</v>
      </c>
      <c r="F175" s="1">
        <f ca="1">'Total Duration Tables Sup #2'!F9+'Total Duration Tables Sup #2'!F20+'Total Duration Tables Sup #2'!F31+'Total Duration Tables Sup #2'!F42+'Total Duration Tables Sup #2'!F53+'Total Duration Tables Sup #2'!F64+'Total Duration Tables Sup #2'!F75+'Total Duration Tables Sup #2'!F86+'Total Duration Tables Sup #2'!F97+'Total Duration Tables Sup #2'!F108+'Total Duration Tables Sup #2'!F119+'Total Duration Tables Sup #2'!F130+'Total Duration Tables Sup #2'!F141+'Total Duration Tables Sup #2'!F152+F164+F167+F168</f>
        <v>26.975881453919712</v>
      </c>
      <c r="G175" s="1">
        <f ca="1">'Total Duration Tables Sup #2'!G9+'Total Duration Tables Sup #2'!G20+'Total Duration Tables Sup #2'!G31+'Total Duration Tables Sup #2'!G42+'Total Duration Tables Sup #2'!G53+'Total Duration Tables Sup #2'!G64+'Total Duration Tables Sup #2'!G75+'Total Duration Tables Sup #2'!G86+'Total Duration Tables Sup #2'!G97+'Total Duration Tables Sup #2'!G108+'Total Duration Tables Sup #2'!G119+'Total Duration Tables Sup #2'!G130+'Total Duration Tables Sup #2'!G141+'Total Duration Tables Sup #2'!G152+G164+G167+G168</f>
        <v>28.464348440385756</v>
      </c>
      <c r="H175" s="1">
        <f ca="1">'Total Duration Tables Sup #2'!H9+'Total Duration Tables Sup #2'!H20+'Total Duration Tables Sup #2'!H31+'Total Duration Tables Sup #2'!H42+'Total Duration Tables Sup #2'!H53+'Total Duration Tables Sup #2'!H64+'Total Duration Tables Sup #2'!H75+'Total Duration Tables Sup #2'!H86+'Total Duration Tables Sup #2'!H97+'Total Duration Tables Sup #2'!H108+'Total Duration Tables Sup #2'!H119+'Total Duration Tables Sup #2'!H130+'Total Duration Tables Sup #2'!H141+'Total Duration Tables Sup #2'!H152+H164+H167+H168</f>
        <v>29.661780738575544</v>
      </c>
      <c r="I175" s="1">
        <f ca="1">'Total Duration Tables Sup #2'!I9+'Total Duration Tables Sup #2'!I20+'Total Duration Tables Sup #2'!I31+'Total Duration Tables Sup #2'!I42+'Total Duration Tables Sup #2'!I53+'Total Duration Tables Sup #2'!I64+'Total Duration Tables Sup #2'!I75+'Total Duration Tables Sup #2'!I86+'Total Duration Tables Sup #2'!I97+'Total Duration Tables Sup #2'!I108+'Total Duration Tables Sup #2'!I119+'Total Duration Tables Sup #2'!I130+'Total Duration Tables Sup #2'!I141+'Total Duration Tables Sup #2'!I152+I164+I167+I168</f>
        <v>31.266814724822208</v>
      </c>
      <c r="J175" s="1">
        <f ca="1">'Total Duration Tables Sup #2'!J9+'Total Duration Tables Sup #2'!J20+'Total Duration Tables Sup #2'!J31+'Total Duration Tables Sup #2'!J42+'Total Duration Tables Sup #2'!J53+'Total Duration Tables Sup #2'!J64+'Total Duration Tables Sup #2'!J75+'Total Duration Tables Sup #2'!J86+'Total Duration Tables Sup #2'!J97+'Total Duration Tables Sup #2'!J108+'Total Duration Tables Sup #2'!J119+'Total Duration Tables Sup #2'!J130+'Total Duration Tables Sup #2'!J141+'Total Duration Tables Sup #2'!J152+J164+J167+J168</f>
        <v>33.139001167048782</v>
      </c>
      <c r="K175" s="1">
        <f ca="1">'Total Duration Tables Sup #2'!K9+'Total Duration Tables Sup #2'!K20+'Total Duration Tables Sup #2'!K31+'Total Duration Tables Sup #2'!K42+'Total Duration Tables Sup #2'!K53+'Total Duration Tables Sup #2'!K64+'Total Duration Tables Sup #2'!K75+'Total Duration Tables Sup #2'!K86+'Total Duration Tables Sup #2'!K97+'Total Duration Tables Sup #2'!K108+'Total Duration Tables Sup #2'!K119+'Total Duration Tables Sup #2'!K130+'Total Duration Tables Sup #2'!K141+'Total Duration Tables Sup #2'!K152+K164+K167+K168</f>
        <v>35.082886030595802</v>
      </c>
    </row>
    <row r="176" spans="1:11" x14ac:dyDescent="0.2">
      <c r="A176" t="s">
        <v>106</v>
      </c>
      <c r="B176" s="1">
        <f ca="1">B7+B18+B29+B40+B51+B62+B73+B84+B95+B106+B117+B128+B139+B150</f>
        <v>820.39837236829999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933.76693075523792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1010.3997284454653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1088.3303333125618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1162.5415228975935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1227.4180389130079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1283.8817928796907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1350.594060632314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1428.6670822161311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1509.2859900093933</v>
      </c>
    </row>
    <row r="177" spans="1:11" x14ac:dyDescent="0.2">
      <c r="A177" t="s">
        <v>107</v>
      </c>
      <c r="B177" s="1">
        <f ca="1">B8+B19+B30+B41+B52+B63+B74+B85+B96+B107+B118+B129+B140+B151</f>
        <v>430.09037615619997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465.52394784617962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492.07662176586342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516.78369161455646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541.20064280778831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563.24497820472902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581.87836372897016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610.62197550139012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644.40973846286499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679.04811109967511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202"/>
  <sheetViews>
    <sheetView workbookViewId="0">
      <selection activeCell="H16" sqref="H16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17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Trip Tables Sup #1'!B5</f>
        <v>23.706864376999999</v>
      </c>
      <c r="C5" s="4">
        <f ca="1">C159*'Total Trip Tables Sup #1'!C5*(1+'Active Mode Assumptions'!C7)</f>
        <v>24.67289840810226</v>
      </c>
      <c r="D5" s="4">
        <f ca="1">D159*'Total Trip Tables Sup #1'!D5*(1+'Active Mode Assumptions'!D7)</f>
        <v>25.436083572256052</v>
      </c>
      <c r="E5" s="4">
        <f ca="1">E159*'Total Trip Tables Sup #1'!E5*(1+'Active Mode Assumptions'!E7)</f>
        <v>25.669051168486156</v>
      </c>
      <c r="F5" s="4">
        <f ca="1">F159*'Total Trip Tables Sup #1'!F5*(1+'Active Mode Assumptions'!F7)</f>
        <v>25.620008445671129</v>
      </c>
      <c r="G5" s="4">
        <f ca="1">G159*'Total Trip Tables Sup #1'!G5*(1+'Active Mode Assumptions'!G7)</f>
        <v>25.449607131752263</v>
      </c>
      <c r="H5" s="4">
        <f ca="1">H159*'Total Trip Tables Sup #1'!H5*(1+'Active Mode Assumptions'!H7)</f>
        <v>25.096153009265009</v>
      </c>
      <c r="I5" s="1">
        <f ca="1">I159*'Total Trip Tables Sup #1'!I5*(1+'Active Mode Assumptions'!I7)</f>
        <v>25.262516426695591</v>
      </c>
      <c r="J5" s="1">
        <f ca="1">J159*'Total Trip Tables Sup #1'!J5*(1+'Active Mode Assumptions'!J7)</f>
        <v>25.367026040882628</v>
      </c>
      <c r="K5" s="1">
        <f ca="1">K159*'Total Trip Tables Sup #1'!K5*(1+'Active Mode Assumptions'!K7)</f>
        <v>25.418089588429861</v>
      </c>
    </row>
    <row r="6" spans="1:11" x14ac:dyDescent="0.2">
      <c r="A6" t="str">
        <f ca="1">OFFSET(Northland_Reference,7,2)</f>
        <v>Cyclist</v>
      </c>
      <c r="B6" s="4">
        <f ca="1">B160*'Total Trip Tables Sup #1'!B6</f>
        <v>0.66592947719999995</v>
      </c>
      <c r="C6" s="4">
        <f ca="1">C160*'Total Trip Tables Sup #1'!C6*(1+'Active Mode Assumptions'!C16)</f>
        <v>0.67743652940739252</v>
      </c>
      <c r="D6" s="4">
        <f ca="1">D160*'Total Trip Tables Sup #1'!D6*(1+'Active Mode Assumptions'!D16)</f>
        <v>0.77188144235260958</v>
      </c>
      <c r="E6" s="4">
        <f ca="1">E160*'Total Trip Tables Sup #1'!E6*(1+'Active Mode Assumptions'!E16)</f>
        <v>0.83177898394433403</v>
      </c>
      <c r="F6" s="4">
        <f ca="1">F160*'Total Trip Tables Sup #1'!F6*(1+'Active Mode Assumptions'!F16)</f>
        <v>0.89025603015175803</v>
      </c>
      <c r="G6" s="4">
        <f ca="1">G160*'Total Trip Tables Sup #1'!G6*(1+'Active Mode Assumptions'!G16)</f>
        <v>0.94699278327725345</v>
      </c>
      <c r="H6" s="4">
        <f ca="1">H160*'Total Trip Tables Sup #1'!H6*(1+'Active Mode Assumptions'!H16)</f>
        <v>1.0005086725712797</v>
      </c>
      <c r="I6" s="1">
        <f ca="1">I160*'Total Trip Tables Sup #1'!I6*(1+'Active Mode Assumptions'!I16)</f>
        <v>1.01380780887005</v>
      </c>
      <c r="J6" s="1">
        <f ca="1">J160*'Total Trip Tables Sup #1'!J6*(1+'Active Mode Assumptions'!J16)</f>
        <v>1.0277820688022437</v>
      </c>
      <c r="K6" s="1">
        <f ca="1">K160*'Total Trip Tables Sup #1'!K6*(1+'Active Mode Assumptions'!K16)</f>
        <v>1.0400053695110052</v>
      </c>
    </row>
    <row r="7" spans="1:11" x14ac:dyDescent="0.2">
      <c r="A7" t="str">
        <f ca="1">OFFSET(Northland_Reference,14,2)</f>
        <v>Light Vehicle Driver</v>
      </c>
      <c r="B7" s="4">
        <f ca="1">B161*'Total Trip Tables Sup #1'!B7</f>
        <v>86.333691700000003</v>
      </c>
      <c r="C7" s="4">
        <f ca="1">C161*'Total Trip Tables Sup #1'!C7-(C5*'Active Mode Assumptions'!C7*'Active Mode Assumptions'!C14/(1+'Active Mode Assumptions'!C7))-(C6*'Active Mode Assumptions'!C16*'Active Mode Assumptions'!C23/(1+'Active Mode Assumptions'!C16))</f>
        <v>92.612818012320943</v>
      </c>
      <c r="D7" s="4">
        <f ca="1">D161*'Total Trip Tables Sup #1'!D7-(D5*'Active Mode Assumptions'!D7*'Active Mode Assumptions'!D14/(1+'Active Mode Assumptions'!D7))-(D6*'Active Mode Assumptions'!D16*'Active Mode Assumptions'!D23/(1+'Active Mode Assumptions'!D16))</f>
        <v>94.994985798321892</v>
      </c>
      <c r="E7" s="4">
        <f ca="1">E161*'Total Trip Tables Sup #1'!E7-(E5*'Active Mode Assumptions'!E7*'Active Mode Assumptions'!E14/(1+'Active Mode Assumptions'!E7))-(E6*'Active Mode Assumptions'!E16*'Active Mode Assumptions'!E23/(1+'Active Mode Assumptions'!E16))</f>
        <v>96.906732351948264</v>
      </c>
      <c r="F7" s="4">
        <f ca="1">F161*'Total Trip Tables Sup #1'!F7-(F5*'Active Mode Assumptions'!F7*'Active Mode Assumptions'!F14/(1+'Active Mode Assumptions'!F7))-(F6*'Active Mode Assumptions'!F16*'Active Mode Assumptions'!F23/(1+'Active Mode Assumptions'!F16))</f>
        <v>97.693423053807038</v>
      </c>
      <c r="G7" s="4">
        <f ca="1">G161*'Total Trip Tables Sup #1'!G7-(G5*'Active Mode Assumptions'!G7*'Active Mode Assumptions'!G14/(1+'Active Mode Assumptions'!G7))-(G6*'Active Mode Assumptions'!G16*'Active Mode Assumptions'!G23/(1+'Active Mode Assumptions'!G16))</f>
        <v>97.281234093064626</v>
      </c>
      <c r="H7" s="4">
        <f ca="1">H161*'Total Trip Tables Sup #1'!H7-(H5*'Active Mode Assumptions'!H7*'Active Mode Assumptions'!H14/(1+'Active Mode Assumptions'!H7))-(H6*'Active Mode Assumptions'!H16*'Active Mode Assumptions'!H23/(1+'Active Mode Assumptions'!H16))</f>
        <v>96.015188000521263</v>
      </c>
      <c r="I7" s="1">
        <f ca="1">I161*'Total Trip Tables Sup #1'!I7-(I5*'Active Mode Assumptions'!I7*'Active Mode Assumptions'!I14/(1+'Active Mode Assumptions'!I7))-(I6*'Active Mode Assumptions'!I16*'Active Mode Assumptions'!I23/(1+'Active Mode Assumptions'!I16))</f>
        <v>96.547556139749602</v>
      </c>
      <c r="J7" s="1">
        <f ca="1">J161*'Total Trip Tables Sup #1'!J7-(J5*'Active Mode Assumptions'!J7*'Active Mode Assumptions'!J14/(1+'Active Mode Assumptions'!J7))-(J6*'Active Mode Assumptions'!J16*'Active Mode Assumptions'!J23/(1+'Active Mode Assumptions'!J16))</f>
        <v>96.799285479217517</v>
      </c>
      <c r="K7" s="1">
        <f ca="1">K161*'Total Trip Tables Sup #1'!K7-(K5*'Active Mode Assumptions'!K7*'Active Mode Assumptions'!K14/(1+'Active Mode Assumptions'!K7))-(K6*'Active Mode Assumptions'!K16*'Active Mode Assumptions'!K23/(1+'Active Mode Assumptions'!K16))</f>
        <v>96.843316694316925</v>
      </c>
    </row>
    <row r="8" spans="1:11" x14ac:dyDescent="0.2">
      <c r="A8" t="str">
        <f ca="1">OFFSET(Northland_Reference,21,2)</f>
        <v>Light Vehicle Passenger</v>
      </c>
      <c r="B8" s="4">
        <f ca="1">B162*'Total Trip Tables Sup #1'!B8</f>
        <v>50.299563868000014</v>
      </c>
      <c r="C8" s="4">
        <f ca="1">C162*'Total Trip Tables Sup #1'!C8-(C5*'Active Mode Assumptions'!C7*'Active Mode Assumptions'!C15/(1+'Active Mode Assumptions'!C7))-(C6*'Active Mode Assumptions'!C16*'Active Mode Assumptions'!C24/(1+'Active Mode Assumptions'!C16))</f>
        <v>51.350753460879559</v>
      </c>
      <c r="D8" s="4">
        <f ca="1">D162*'Total Trip Tables Sup #1'!D8-(D5*'Active Mode Assumptions'!D7*'Active Mode Assumptions'!D15/(1+'Active Mode Assumptions'!D7))-(D6*'Active Mode Assumptions'!D16*'Active Mode Assumptions'!D24/(1+'Active Mode Assumptions'!D16))</f>
        <v>51.627014969191229</v>
      </c>
      <c r="E8" s="4">
        <f ca="1">E162*'Total Trip Tables Sup #1'!E8-(E5*'Active Mode Assumptions'!E7*'Active Mode Assumptions'!E15/(1+'Active Mode Assumptions'!E7))-(E6*'Active Mode Assumptions'!E16*'Active Mode Assumptions'!E24/(1+'Active Mode Assumptions'!E16))</f>
        <v>51.591242446938743</v>
      </c>
      <c r="F8" s="4">
        <f ca="1">F162*'Total Trip Tables Sup #1'!F8-(F5*'Active Mode Assumptions'!F7*'Active Mode Assumptions'!F15/(1+'Active Mode Assumptions'!F7))-(F6*'Active Mode Assumptions'!F16*'Active Mode Assumptions'!F24/(1+'Active Mode Assumptions'!F16))</f>
        <v>51.211073192106767</v>
      </c>
      <c r="G8" s="4">
        <f ca="1">G162*'Total Trip Tables Sup #1'!G8-(G5*'Active Mode Assumptions'!G7*'Active Mode Assumptions'!G15/(1+'Active Mode Assumptions'!G7))-(G6*'Active Mode Assumptions'!G16*'Active Mode Assumptions'!G24/(1+'Active Mode Assumptions'!G16))</f>
        <v>50.470059813356279</v>
      </c>
      <c r="H8" s="4">
        <f ca="1">H162*'Total Trip Tables Sup #1'!H8-(H5*'Active Mode Assumptions'!H7*'Active Mode Assumptions'!H15/(1+'Active Mode Assumptions'!H7))-(H6*'Active Mode Assumptions'!H16*'Active Mode Assumptions'!H24/(1+'Active Mode Assumptions'!H16))</f>
        <v>49.423278026199711</v>
      </c>
      <c r="I8" s="1">
        <f ca="1">I162*'Total Trip Tables Sup #1'!I8-(I5*'Active Mode Assumptions'!I7*'Active Mode Assumptions'!I15/(1+'Active Mode Assumptions'!I7))-(I6*'Active Mode Assumptions'!I16*'Active Mode Assumptions'!I24/(1+'Active Mode Assumptions'!I16))</f>
        <v>49.690165643867843</v>
      </c>
      <c r="J8" s="1">
        <f ca="1">J162*'Total Trip Tables Sup #1'!J8-(J5*'Active Mode Assumptions'!J7*'Active Mode Assumptions'!J15/(1+'Active Mode Assumptions'!J7))-(J6*'Active Mode Assumptions'!J16*'Active Mode Assumptions'!J24/(1+'Active Mode Assumptions'!J16))</f>
        <v>49.807584428250166</v>
      </c>
      <c r="K8" s="1">
        <f ca="1">K162*'Total Trip Tables Sup #1'!K8-(K5*'Active Mode Assumptions'!K7*'Active Mode Assumptions'!K15/(1+'Active Mode Assumptions'!K7))-(K6*'Active Mode Assumptions'!K16*'Active Mode Assumptions'!K24/(1+'Active Mode Assumptions'!K16))</f>
        <v>49.817637934010371</v>
      </c>
    </row>
    <row r="9" spans="1:11" x14ac:dyDescent="0.2">
      <c r="A9" t="str">
        <f ca="1">OFFSET(Northland_Reference,28,2)</f>
        <v>Taxi/Vehicle Share</v>
      </c>
      <c r="B9" s="4">
        <f ca="1">B163*'Total Trip Tables Sup #1'!B9</f>
        <v>0.18126348840000001</v>
      </c>
      <c r="C9" s="4">
        <f ca="1">C163*'Total Trip Tables Sup #1'!C9</f>
        <v>0.2071017604252737</v>
      </c>
      <c r="D9" s="4">
        <f ca="1">D163*'Total Trip Tables Sup #1'!D9</f>
        <v>0.22627311062763383</v>
      </c>
      <c r="E9" s="4">
        <f ca="1">E163*'Total Trip Tables Sup #1'!E9</f>
        <v>0.23863065170432907</v>
      </c>
      <c r="F9" s="4">
        <f ca="1">F163*'Total Trip Tables Sup #1'!F9</f>
        <v>0.2465131415719661</v>
      </c>
      <c r="G9" s="4">
        <f ca="1">G163*'Total Trip Tables Sup #1'!G9</f>
        <v>0.25005067253116142</v>
      </c>
      <c r="H9" s="4">
        <f ca="1">H163*'Total Trip Tables Sup #1'!H9</f>
        <v>0.25093149656199337</v>
      </c>
      <c r="I9" s="1">
        <f ca="1">I163*'Total Trip Tables Sup #1'!I9</f>
        <v>0.25268515790485302</v>
      </c>
      <c r="J9" s="1">
        <f ca="1">J163*'Total Trip Tables Sup #1'!J9</f>
        <v>0.25381345132709726</v>
      </c>
      <c r="K9" s="1">
        <f ca="1">K163*'Total Trip Tables Sup #1'!K9</f>
        <v>0.25439817361770783</v>
      </c>
    </row>
    <row r="10" spans="1:11" x14ac:dyDescent="0.2">
      <c r="A10" t="str">
        <f ca="1">OFFSET(Northland_Reference,35,2)</f>
        <v>Motorcyclist</v>
      </c>
      <c r="B10" s="4">
        <f ca="1">B164*'Total Trip Tables Sup #1'!B10</f>
        <v>1.4141085707000001</v>
      </c>
      <c r="C10" s="4">
        <f ca="1">C164*'Total Trip Tables Sup #1'!C10</f>
        <v>1.4614500441877745</v>
      </c>
      <c r="D10" s="4">
        <f ca="1">D164*'Total Trip Tables Sup #1'!D10</f>
        <v>1.4810442647185096</v>
      </c>
      <c r="E10" s="4">
        <f ca="1">E164*'Total Trip Tables Sup #1'!E10</f>
        <v>1.4715952763165139</v>
      </c>
      <c r="F10" s="4">
        <f ca="1">F164*'Total Trip Tables Sup #1'!F10</f>
        <v>1.4407311809174226</v>
      </c>
      <c r="G10" s="4">
        <f ca="1">G164*'Total Trip Tables Sup #1'!G10</f>
        <v>1.3777392131470905</v>
      </c>
      <c r="H10" s="4">
        <f ca="1">H164*'Total Trip Tables Sup #1'!H10</f>
        <v>1.3044694437779496</v>
      </c>
      <c r="I10" s="1">
        <f ca="1">I164*'Total Trip Tables Sup #1'!I10</f>
        <v>1.320040976794512</v>
      </c>
      <c r="J10" s="1">
        <f ca="1">J164*'Total Trip Tables Sup #1'!J10</f>
        <v>1.3338742890034583</v>
      </c>
      <c r="K10" s="1">
        <f ca="1">K164*'Total Trip Tables Sup #1'!K10</f>
        <v>1.3449406681767822</v>
      </c>
    </row>
    <row r="11" spans="1:11" x14ac:dyDescent="0.2">
      <c r="A11" t="str">
        <f ca="1">OFFSET(Auckland_Reference,42,2)</f>
        <v>Local Train</v>
      </c>
      <c r="B11" s="4">
        <f ca="1">B165*'Total Trip Tables Sup #1'!B11</f>
        <v>0</v>
      </c>
      <c r="C11" s="4">
        <f ca="1">C165*'Total Trip Tables Sup #1'!C11</f>
        <v>0</v>
      </c>
      <c r="D11" s="4">
        <f ca="1">D165*'Total Trip Tables Sup #1'!D11</f>
        <v>0</v>
      </c>
      <c r="E11" s="4">
        <f ca="1">E165*'Total Trip Tables Sup #1'!E11</f>
        <v>0</v>
      </c>
      <c r="F11" s="4">
        <f ca="1">F165*'Total Trip Tables Sup #1'!F11</f>
        <v>0</v>
      </c>
      <c r="G11" s="4">
        <f ca="1">G165*'Total Trip Tables Sup #1'!G11</f>
        <v>0</v>
      </c>
      <c r="H11" s="4">
        <f ca="1">H165*'Total Trip Tables Sup #1'!H11</f>
        <v>0</v>
      </c>
      <c r="I11" s="1">
        <f ca="1">I165*'Total Trip Tables Sup #1'!I11</f>
        <v>0</v>
      </c>
      <c r="J11" s="1">
        <f ca="1">J165*'Total Trip Tables Sup #1'!J11</f>
        <v>0</v>
      </c>
      <c r="K11" s="1">
        <f ca="1">K165*'Total Trip Tables Sup #1'!K11</f>
        <v>0</v>
      </c>
    </row>
    <row r="12" spans="1:11" x14ac:dyDescent="0.2">
      <c r="A12" t="str">
        <f ca="1">OFFSET(Northland_Reference,42,2)</f>
        <v>Local Bus</v>
      </c>
      <c r="B12" s="4">
        <f ca="1">B166*'Total Trip Tables Sup #1'!B12</f>
        <v>3.6339219343</v>
      </c>
      <c r="C12" s="4">
        <f ca="1">C166*'Total Trip Tables Sup #1'!C12</f>
        <v>3.435838983901828</v>
      </c>
      <c r="D12" s="4">
        <f ca="1">D166*'Total Trip Tables Sup #1'!D12</f>
        <v>3.473955575869534</v>
      </c>
      <c r="E12" s="4">
        <f ca="1">E166*'Total Trip Tables Sup #1'!E12</f>
        <v>3.4485569733937558</v>
      </c>
      <c r="F12" s="4">
        <f ca="1">F166*'Total Trip Tables Sup #1'!F12</f>
        <v>3.3990511955599891</v>
      </c>
      <c r="G12" s="4">
        <f ca="1">G166*'Total Trip Tables Sup #1'!G12</f>
        <v>3.3703093568528111</v>
      </c>
      <c r="H12" s="4">
        <f ca="1">H166*'Total Trip Tables Sup #1'!H12</f>
        <v>3.329946408633071</v>
      </c>
      <c r="I12" s="1">
        <f ca="1">I166*'Total Trip Tables Sup #1'!I12</f>
        <v>3.350865472541555</v>
      </c>
      <c r="J12" s="1">
        <f ca="1">J166*'Total Trip Tables Sup #1'!J12</f>
        <v>3.3621154677874312</v>
      </c>
      <c r="K12" s="1">
        <f ca="1">K166*'Total Trip Tables Sup #1'!K12</f>
        <v>3.3661230401756987</v>
      </c>
    </row>
    <row r="13" spans="1:11" x14ac:dyDescent="0.2">
      <c r="A13" t="str">
        <f ca="1">OFFSET(Northland_Reference,49,2)</f>
        <v>Local Ferry</v>
      </c>
      <c r="B13" s="4">
        <f ca="1">B167*'Total Trip Tables Sup #1'!B13</f>
        <v>4.69171767E-2</v>
      </c>
      <c r="C13" s="4">
        <f ca="1">C167*'Total Trip Tables Sup #1'!C13</f>
        <v>5.4609523723570891E-2</v>
      </c>
      <c r="D13" s="4">
        <f ca="1">D167*'Total Trip Tables Sup #1'!D13</f>
        <v>5.4963937763998952E-2</v>
      </c>
      <c r="E13" s="4">
        <f ca="1">E167*'Total Trip Tables Sup #1'!E13</f>
        <v>5.5282127998705043E-2</v>
      </c>
      <c r="F13" s="4">
        <f ca="1">F167*'Total Trip Tables Sup #1'!F13</f>
        <v>5.4356070840652672E-2</v>
      </c>
      <c r="G13" s="4">
        <f ca="1">G167*'Total Trip Tables Sup #1'!G13</f>
        <v>5.4135290633609945E-2</v>
      </c>
      <c r="H13" s="4">
        <f ca="1">H167*'Total Trip Tables Sup #1'!H13</f>
        <v>5.2974910949397477E-2</v>
      </c>
      <c r="I13" s="1">
        <f ca="1">I167*'Total Trip Tables Sup #1'!I13</f>
        <v>5.2444966107047165E-2</v>
      </c>
      <c r="J13" s="1">
        <f ca="1">J167*'Total Trip Tables Sup #1'!J13</f>
        <v>5.1545664965584541E-2</v>
      </c>
      <c r="K13" s="1">
        <f ca="1">K167*'Total Trip Tables Sup #1'!K13</f>
        <v>5.0573758813643246E-2</v>
      </c>
    </row>
    <row r="14" spans="1:11" x14ac:dyDescent="0.2">
      <c r="A14" t="str">
        <f ca="1">OFFSET(Northland_Reference,56,2)</f>
        <v>Other Household Travel</v>
      </c>
      <c r="B14" s="4">
        <f ca="1">B168*'Total Trip Tables Sup #1'!B14</f>
        <v>0.1184310407</v>
      </c>
      <c r="C14" s="4">
        <f ca="1">C168*'Total Trip Tables Sup #1'!C14</f>
        <v>0.12511134370718047</v>
      </c>
      <c r="D14" s="4">
        <f ca="1">D168*'Total Trip Tables Sup #1'!D14</f>
        <v>0.13069288578317076</v>
      </c>
      <c r="E14" s="4">
        <f ca="1">E168*'Total Trip Tables Sup #1'!E14</f>
        <v>0.13272272281858344</v>
      </c>
      <c r="F14" s="4">
        <f ca="1">F168*'Total Trip Tables Sup #1'!F14</f>
        <v>0.13242993124995073</v>
      </c>
      <c r="G14" s="4">
        <f ca="1">G168*'Total Trip Tables Sup #1'!G14</f>
        <v>0.13024790329401661</v>
      </c>
      <c r="H14" s="4">
        <f ca="1">H168*'Total Trip Tables Sup #1'!H14</f>
        <v>0.12532716843410227</v>
      </c>
      <c r="I14" s="1">
        <f ca="1">I168*'Total Trip Tables Sup #1'!I14</f>
        <v>0.12616466554872321</v>
      </c>
      <c r="J14" s="1">
        <f ca="1">J168*'Total Trip Tables Sup #1'!J14</f>
        <v>0.12666657795166106</v>
      </c>
      <c r="K14" s="1">
        <f ca="1">K168*'Total Trip Tables Sup #1'!K14</f>
        <v>0.12689429567629867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56">
        <f ca="1">(B159*'Total Trip Tables Sup #1'!B16)*(1+'Active Mode Assumptions'!B7)-('PT Assumptions'!B14*'Total Trip Tables Sup #2'!B170+'PT Assumptions'!B26*'Total Trip Tables Sup #2'!B173)</f>
        <v>324.81096006000001</v>
      </c>
      <c r="C16" s="4">
        <f ca="1">(C159*'Total Trip Tables Sup #1'!C16)*(1+'Active Mode Assumptions'!C7)-('PT Assumptions'!C14*'Total Trip Tables Sup #2'!C170+'PT Assumptions'!C26*'Total Trip Tables Sup #2'!C173)</f>
        <v>370.74254889918018</v>
      </c>
      <c r="D16" s="4">
        <f ca="1">(D159*'Total Trip Tables Sup #1'!D16)*(1+'Active Mode Assumptions'!D7)-('PT Assumptions'!D14*'Total Trip Tables Sup #2'!D170+'PT Assumptions'!D26*'Total Trip Tables Sup #2'!D173)</f>
        <v>412.47340282296892</v>
      </c>
      <c r="E16" s="4">
        <f ca="1">(E159*'Total Trip Tables Sup #1'!E16)*(1+'Active Mode Assumptions'!E7)-('PT Assumptions'!E14*'Total Trip Tables Sup #2'!E170+'PT Assumptions'!E26*'Total Trip Tables Sup #2'!E173)</f>
        <v>445.56137916925843</v>
      </c>
      <c r="F16" s="4">
        <f ca="1">(F159*'Total Trip Tables Sup #1'!F16)*(1+'Active Mode Assumptions'!F7)-('PT Assumptions'!F14*'Total Trip Tables Sup #2'!F170+'PT Assumptions'!F26*'Total Trip Tables Sup #2'!F173)</f>
        <v>475.20426571255229</v>
      </c>
      <c r="G16" s="4">
        <f ca="1">(G159*'Total Trip Tables Sup #1'!G16)*(1+'Active Mode Assumptions'!G7)-('PT Assumptions'!G14*'Total Trip Tables Sup #2'!G170+'PT Assumptions'!G26*'Total Trip Tables Sup #2'!G173)</f>
        <v>503.43852256202001</v>
      </c>
      <c r="H16" s="4">
        <f ca="1">(H159*'Total Trip Tables Sup #1'!H16)*(1+'Active Mode Assumptions'!H7)-('PT Assumptions'!H14*'Total Trip Tables Sup #2'!H170+'PT Assumptions'!H26*'Total Trip Tables Sup #2'!H173)</f>
        <v>528.81296873823953</v>
      </c>
      <c r="I16" s="1">
        <f ca="1">(I159*'Total Trip Tables Sup #1'!I16)*(1+'Active Mode Assumptions'!I7)-('PT Assumptions'!I14*'Total Trip Tables Sup #2'!I170+'PT Assumptions'!I26*'Total Trip Tables Sup #2'!I173)</f>
        <v>557.89479599798574</v>
      </c>
      <c r="J16" s="1">
        <f ca="1">(J159*'Total Trip Tables Sup #1'!J16)*(1+'Active Mode Assumptions'!J7)-('PT Assumptions'!J14*'Total Trip Tables Sup #2'!J170+'PT Assumptions'!J26*'Total Trip Tables Sup #2'!J173)</f>
        <v>595.13183848701226</v>
      </c>
      <c r="K16" s="1">
        <f ca="1">(K159*'Total Trip Tables Sup #1'!K16)*(1+'Active Mode Assumptions'!K7)-('PT Assumptions'!K14*'Total Trip Tables Sup #2'!K170+'PT Assumptions'!K26*'Total Trip Tables Sup #2'!K173)</f>
        <v>633.97828712772264</v>
      </c>
    </row>
    <row r="17" spans="1:11" x14ac:dyDescent="0.2">
      <c r="A17" t="str">
        <f ca="1">OFFSET(Auckland_Reference,7,2)</f>
        <v>Cyclist</v>
      </c>
      <c r="B17" s="56">
        <f ca="1">(B160*'Total Trip Tables Sup #1'!B17)*(1+'Active Mode Assumptions'!B16)-('PT Assumptions'!B15*'Total Trip Tables Sup #2'!B170+'PT Assumptions'!B27*'Total Trip Tables Sup #2'!B173)</f>
        <v>7.0506319707999996</v>
      </c>
      <c r="C17" s="4">
        <f ca="1">(C160*'Total Trip Tables Sup #1'!C17)*(1+'Active Mode Assumptions'!C16)-('PT Assumptions'!C15*'Total Trip Tables Sup #2'!C170+'PT Assumptions'!C27*'Total Trip Tables Sup #2'!C173)</f>
        <v>7.8724204297762626</v>
      </c>
      <c r="D17" s="4">
        <f ca="1">(D160*'Total Trip Tables Sup #1'!D17)*(1+'Active Mode Assumptions'!D16)-('PT Assumptions'!D15*'Total Trip Tables Sup #2'!D170+'PT Assumptions'!D27*'Total Trip Tables Sup #2'!D173)</f>
        <v>9.6852531775488426</v>
      </c>
      <c r="E17" s="4">
        <f ca="1">(E160*'Total Trip Tables Sup #1'!E17)*(1+'Active Mode Assumptions'!E16)-('PT Assumptions'!E15*'Total Trip Tables Sup #2'!E170+'PT Assumptions'!E27*'Total Trip Tables Sup #2'!E173)</f>
        <v>11.175940932995614</v>
      </c>
      <c r="F17" s="4">
        <f ca="1">(F160*'Total Trip Tables Sup #1'!F17)*(1+'Active Mode Assumptions'!F16)-('PT Assumptions'!F15*'Total Trip Tables Sup #2'!F170+'PT Assumptions'!F27*'Total Trip Tables Sup #2'!F173)</f>
        <v>12.787604070114384</v>
      </c>
      <c r="G17" s="4">
        <f ca="1">(G160*'Total Trip Tables Sup #1'!G17)*(1+'Active Mode Assumptions'!G16)-('PT Assumptions'!G15*'Total Trip Tables Sup #2'!G170+'PT Assumptions'!G27*'Total Trip Tables Sup #2'!G173)</f>
        <v>14.513254675723211</v>
      </c>
      <c r="H17" s="4">
        <f ca="1">(H160*'Total Trip Tables Sup #1'!H17)*(1+'Active Mode Assumptions'!H16)-('PT Assumptions'!H15*'Total Trip Tables Sup #2'!H170+'PT Assumptions'!H27*'Total Trip Tables Sup #2'!H173)</f>
        <v>16.340062306585715</v>
      </c>
      <c r="I17" s="1">
        <f ca="1">(I160*'Total Trip Tables Sup #1'!I17)*(1+'Active Mode Assumptions'!I16)-('PT Assumptions'!I15*'Total Trip Tables Sup #2'!I170+'PT Assumptions'!I27*'Total Trip Tables Sup #2'!I173)</f>
        <v>17.357578283439491</v>
      </c>
      <c r="J17" s="1">
        <f ca="1">(J160*'Total Trip Tables Sup #1'!J17)*(1+'Active Mode Assumptions'!J16)-('PT Assumptions'!J15*'Total Trip Tables Sup #2'!J170+'PT Assumptions'!J27*'Total Trip Tables Sup #2'!J173)</f>
        <v>18.698490935623557</v>
      </c>
      <c r="K17" s="1">
        <f ca="1">(K160*'Total Trip Tables Sup #1'!K17)*(1+'Active Mode Assumptions'!K16)-('PT Assumptions'!K15*'Total Trip Tables Sup #2'!K170+'PT Assumptions'!K27*'Total Trip Tables Sup #2'!K173)</f>
        <v>20.120535942740723</v>
      </c>
    </row>
    <row r="18" spans="1:11" x14ac:dyDescent="0.2">
      <c r="A18" t="str">
        <f ca="1">OFFSET(Auckland_Reference,14,2)</f>
        <v>Light Vehicle Driver</v>
      </c>
      <c r="B18" s="56">
        <f ca="1">(B161*'Total Trip Tables Sup #1'!B18-'PT Assumptions'!B16*'Total Trip Tables Sup #2'!B170-'PT Assumptions'!B28*'Total Trip Tables Sup #2'!B173)-(B159*'Total Trip Tables Sup #1'!B16)*'Active Mode Assumptions'!B7*'Active Mode Assumptions'!B14-(B160*'Total Trip Tables Sup #1'!B17)*'Active Mode Assumptions'!B16*'Active Mode Assumptions'!B23</f>
        <v>981.24355252999999</v>
      </c>
      <c r="C18" s="4">
        <f ca="1">(C161*'Total Trip Tables Sup #1'!C18-'PT Assumptions'!C16*'Total Trip Tables Sup #2'!C170-'PT Assumptions'!C28*'Total Trip Tables Sup #2'!C173)-(C159*'Total Trip Tables Sup #1'!C16)*'Active Mode Assumptions'!C7*'Active Mode Assumptions'!C14-(C160*'Total Trip Tables Sup #1'!C17)*'Active Mode Assumptions'!C16*'Active Mode Assumptions'!C23</f>
        <v>1150.0543805654011</v>
      </c>
      <c r="D18" s="4">
        <f ca="1">(D161*'Total Trip Tables Sup #1'!D18-'PT Assumptions'!D16*'Total Trip Tables Sup #2'!D170-'PT Assumptions'!D28*'Total Trip Tables Sup #2'!D173)-(D159*'Total Trip Tables Sup #1'!D16)*'Active Mode Assumptions'!D7*'Active Mode Assumptions'!D14-(D160*'Total Trip Tables Sup #1'!D17)*'Active Mode Assumptions'!D16*'Active Mode Assumptions'!D23</f>
        <v>1267.8777972080238</v>
      </c>
      <c r="E18" s="4">
        <f ca="1">(E161*'Total Trip Tables Sup #1'!E18-'PT Assumptions'!E16*'Total Trip Tables Sup #2'!E170-'PT Assumptions'!E28*'Total Trip Tables Sup #2'!E173)-(E159*'Total Trip Tables Sup #1'!E16)*'Active Mode Assumptions'!E7*'Active Mode Assumptions'!E14-(E160*'Total Trip Tables Sup #1'!E17)*'Active Mode Assumptions'!E16*'Active Mode Assumptions'!E23</f>
        <v>1379.9399427972928</v>
      </c>
      <c r="F18" s="4">
        <f ca="1">(F161*'Total Trip Tables Sup #1'!F18-'PT Assumptions'!F16*'Total Trip Tables Sup #2'!F170-'PT Assumptions'!F28*'Total Trip Tables Sup #2'!F173)-(F159*'Total Trip Tables Sup #1'!F16)*'Active Mode Assumptions'!F7*'Active Mode Assumptions'!F14-(F160*'Total Trip Tables Sup #1'!F17)*'Active Mode Assumptions'!F16*'Active Mode Assumptions'!F23</f>
        <v>1484.1473729872612</v>
      </c>
      <c r="G18" s="4">
        <f ca="1">(G161*'Total Trip Tables Sup #1'!G18-'PT Assumptions'!G16*'Total Trip Tables Sup #2'!G170-'PT Assumptions'!G28*'Total Trip Tables Sup #2'!G173)-(G159*'Total Trip Tables Sup #1'!G16)*'Active Mode Assumptions'!G7*'Active Mode Assumptions'!G14-(G160*'Total Trip Tables Sup #1'!G17)*'Active Mode Assumptions'!G16*'Active Mode Assumptions'!G23</f>
        <v>1573.6564021265272</v>
      </c>
      <c r="H18" s="4">
        <f ca="1">(H161*'Total Trip Tables Sup #1'!H18-'PT Assumptions'!H16*'Total Trip Tables Sup #2'!H170-'PT Assumptions'!H28*'Total Trip Tables Sup #2'!H173)-(H159*'Total Trip Tables Sup #1'!H16)*'Active Mode Assumptions'!H7*'Active Mode Assumptions'!H14-(H160*'Total Trip Tables Sup #1'!H17)*'Active Mode Assumptions'!H16*'Active Mode Assumptions'!H23</f>
        <v>1651.7576690570434</v>
      </c>
      <c r="I18" s="1">
        <f ca="1">(I161*'Total Trip Tables Sup #1'!I18-'PT Assumptions'!I16*'Total Trip Tables Sup #2'!I170-'PT Assumptions'!I28*'Total Trip Tables Sup #2'!I173)-(I159*'Total Trip Tables Sup #1'!I16)*'Active Mode Assumptions'!I7*'Active Mode Assumptions'!I14-(I160*'Total Trip Tables Sup #1'!I17)*'Active Mode Assumptions'!I16*'Active Mode Assumptions'!I23</f>
        <v>1738.8969135823095</v>
      </c>
      <c r="J18" s="1">
        <f ca="1">(J161*'Total Trip Tables Sup #1'!J18-'PT Assumptions'!J16*'Total Trip Tables Sup #2'!J170-'PT Assumptions'!J28*'Total Trip Tables Sup #2'!J173)-(J159*'Total Trip Tables Sup #1'!J16)*'Active Mode Assumptions'!J7*'Active Mode Assumptions'!J14-(J160*'Total Trip Tables Sup #1'!J17)*'Active Mode Assumptions'!J16*'Active Mode Assumptions'!J23</f>
        <v>1850.5468701657326</v>
      </c>
      <c r="K18" s="1">
        <f ca="1">(K161*'Total Trip Tables Sup #1'!K18-'PT Assumptions'!K16*'Total Trip Tables Sup #2'!K170-'PT Assumptions'!K28*'Total Trip Tables Sup #2'!K173)-(K159*'Total Trip Tables Sup #1'!K16)*'Active Mode Assumptions'!K7*'Active Mode Assumptions'!K14-(K160*'Total Trip Tables Sup #1'!K17)*'Active Mode Assumptions'!K16*'Active Mode Assumptions'!K23</f>
        <v>1966.4682011372024</v>
      </c>
    </row>
    <row r="19" spans="1:11" x14ac:dyDescent="0.2">
      <c r="A19" t="str">
        <f ca="1">OFFSET(Auckland_Reference,21,2)</f>
        <v>Light Vehicle Passenger</v>
      </c>
      <c r="B19" s="56">
        <f ca="1">(B162*'Total Trip Tables Sup #1'!B19-'PT Assumptions'!B17*'Total Trip Tables Sup #2'!B170-'PT Assumptions'!B29*'Total Trip Tables Sup #2'!B173)-(B159*'Total Trip Tables Sup #1'!B16)*'Active Mode Assumptions'!B7*'Active Mode Assumptions'!B15-(B160*'Total Trip Tables Sup #1'!B17)*'Active Mode Assumptions'!B16*'Active Mode Assumptions'!B24</f>
        <v>488.06073575000011</v>
      </c>
      <c r="C19" s="4">
        <f ca="1">(C162*'Total Trip Tables Sup #1'!C19-'PT Assumptions'!C17*'Total Trip Tables Sup #2'!C170-'PT Assumptions'!C29*'Total Trip Tables Sup #2'!C173)-(C159*'Total Trip Tables Sup #1'!C16)*'Active Mode Assumptions'!C7*'Active Mode Assumptions'!C15-(C160*'Total Trip Tables Sup #1'!C17)*'Active Mode Assumptions'!C16*'Active Mode Assumptions'!C24</f>
        <v>541.60602308701641</v>
      </c>
      <c r="D19" s="4">
        <f ca="1">(D162*'Total Trip Tables Sup #1'!D19-'PT Assumptions'!D17*'Total Trip Tables Sup #2'!D170-'PT Assumptions'!D29*'Total Trip Tables Sup #2'!D173)-(D159*'Total Trip Tables Sup #1'!D16)*'Active Mode Assumptions'!D7*'Active Mode Assumptions'!D15-(D160*'Total Trip Tables Sup #1'!D17)*'Active Mode Assumptions'!D16*'Active Mode Assumptions'!D24</f>
        <v>581.71900226596358</v>
      </c>
      <c r="E19" s="4">
        <f ca="1">(E162*'Total Trip Tables Sup #1'!E19-'PT Assumptions'!E17*'Total Trip Tables Sup #2'!E170-'PT Assumptions'!E29*'Total Trip Tables Sup #2'!E173)-(E159*'Total Trip Tables Sup #1'!E16)*'Active Mode Assumptions'!E7*'Active Mode Assumptions'!E15-(E160*'Total Trip Tables Sup #1'!E17)*'Active Mode Assumptions'!E16*'Active Mode Assumptions'!E24</f>
        <v>616.88005584585176</v>
      </c>
      <c r="F19" s="4">
        <f ca="1">(F162*'Total Trip Tables Sup #1'!F19-'PT Assumptions'!F17*'Total Trip Tables Sup #2'!F170-'PT Assumptions'!F29*'Total Trip Tables Sup #2'!F173)-(F159*'Total Trip Tables Sup #1'!F16)*'Active Mode Assumptions'!F7*'Active Mode Assumptions'!F15-(F160*'Total Trip Tables Sup #1'!F17)*'Active Mode Assumptions'!F16*'Active Mode Assumptions'!F24</f>
        <v>650.9644207290213</v>
      </c>
      <c r="G19" s="4">
        <f ca="1">(G162*'Total Trip Tables Sup #1'!G19-'PT Assumptions'!G17*'Total Trip Tables Sup #2'!G170-'PT Assumptions'!G29*'Total Trip Tables Sup #2'!G173)-(G159*'Total Trip Tables Sup #1'!G16)*'Active Mode Assumptions'!G7*'Active Mode Assumptions'!G15-(G160*'Total Trip Tables Sup #1'!G17)*'Active Mode Assumptions'!G16*'Active Mode Assumptions'!G24</f>
        <v>680.76491839323319</v>
      </c>
      <c r="H19" s="4">
        <f ca="1">(H162*'Total Trip Tables Sup #1'!H19-'PT Assumptions'!H17*'Total Trip Tables Sup #2'!H170-'PT Assumptions'!H29*'Total Trip Tables Sup #2'!H173)-(H159*'Total Trip Tables Sup #1'!H16)*'Active Mode Assumptions'!H7*'Active Mode Assumptions'!H15-(H160*'Total Trip Tables Sup #1'!H17)*'Active Mode Assumptions'!H16*'Active Mode Assumptions'!H24</f>
        <v>706.48191021058301</v>
      </c>
      <c r="I19" s="1">
        <f ca="1">(I162*'Total Trip Tables Sup #1'!I19-'PT Assumptions'!I17*'Total Trip Tables Sup #2'!I170-'PT Assumptions'!I29*'Total Trip Tables Sup #2'!I173)-(I159*'Total Trip Tables Sup #1'!I16)*'Active Mode Assumptions'!I7*'Active Mode Assumptions'!I15-(I160*'Total Trip Tables Sup #1'!I17)*'Active Mode Assumptions'!I16*'Active Mode Assumptions'!I24</f>
        <v>742.31989984359507</v>
      </c>
      <c r="J19" s="1">
        <f ca="1">(J162*'Total Trip Tables Sup #1'!J19-'PT Assumptions'!J17*'Total Trip Tables Sup #2'!J170-'PT Assumptions'!J29*'Total Trip Tables Sup #2'!J173)-(J159*'Total Trip Tables Sup #1'!J16)*'Active Mode Assumptions'!J7*'Active Mode Assumptions'!J15-(J160*'Total Trip Tables Sup #1'!J17)*'Active Mode Assumptions'!J16*'Active Mode Assumptions'!J24</f>
        <v>788.61009189851904</v>
      </c>
      <c r="K19" s="1">
        <f ca="1">(K162*'Total Trip Tables Sup #1'!K19-'PT Assumptions'!K17*'Total Trip Tables Sup #2'!K170-'PT Assumptions'!K29*'Total Trip Tables Sup #2'!K173)-(K159*'Total Trip Tables Sup #1'!K16)*'Active Mode Assumptions'!K7*'Active Mode Assumptions'!K15-(K160*'Total Trip Tables Sup #1'!K17)*'Active Mode Assumptions'!K16*'Active Mode Assumptions'!K24</f>
        <v>836.4571659104173</v>
      </c>
    </row>
    <row r="20" spans="1:11" x14ac:dyDescent="0.2">
      <c r="A20" t="str">
        <f ca="1">OFFSET(Auckland_Reference,28,2)</f>
        <v>Taxi/Vehicle Share</v>
      </c>
      <c r="B20" s="56">
        <f ca="1">B163*'Total Trip Tables Sup #1'!B20</f>
        <v>6.0232688673999997</v>
      </c>
      <c r="C20" s="4">
        <f ca="1">C163*'Total Trip Tables Sup #1'!C20</f>
        <v>7.5534536421503109</v>
      </c>
      <c r="D20" s="4">
        <f ca="1">D163*'Total Trip Tables Sup #1'!D20</f>
        <v>8.9107741176253707</v>
      </c>
      <c r="E20" s="4">
        <f ca="1">E163*'Total Trip Tables Sup #1'!E20</f>
        <v>10.06293091833267</v>
      </c>
      <c r="F20" s="4">
        <f ca="1">F163*'Total Trip Tables Sup #1'!F20</f>
        <v>11.113131231436013</v>
      </c>
      <c r="G20" s="4">
        <f ca="1">G163*'Total Trip Tables Sup #1'!G20</f>
        <v>12.027303857149571</v>
      </c>
      <c r="H20" s="4">
        <f ca="1">H163*'Total Trip Tables Sup #1'!H20</f>
        <v>12.862048318527464</v>
      </c>
      <c r="I20" s="1">
        <f ca="1">I163*'Total Trip Tables Sup #1'!I20</f>
        <v>13.577985581468965</v>
      </c>
      <c r="J20" s="1">
        <f ca="1">J163*'Total Trip Tables Sup #1'!J20</f>
        <v>14.49246517980078</v>
      </c>
      <c r="K20" s="1">
        <f ca="1">K163*'Total Trip Tables Sup #1'!K20</f>
        <v>15.44685470390362</v>
      </c>
    </row>
    <row r="21" spans="1:11" x14ac:dyDescent="0.2">
      <c r="A21" t="str">
        <f ca="1">OFFSET(Auckland_Reference,35,2)</f>
        <v>Motorcyclist</v>
      </c>
      <c r="B21" s="56">
        <f ca="1">B164*'Total Trip Tables Sup #1'!B21</f>
        <v>4.1170216905999997</v>
      </c>
      <c r="C21" s="4">
        <f ca="1">C164*'Total Trip Tables Sup #1'!C21</f>
        <v>4.6700791046970433</v>
      </c>
      <c r="D21" s="4">
        <f ca="1">D164*'Total Trip Tables Sup #1'!D21</f>
        <v>5.1100954326988317</v>
      </c>
      <c r="E21" s="4">
        <f ca="1">E164*'Total Trip Tables Sup #1'!E21</f>
        <v>5.4370726204965774</v>
      </c>
      <c r="F21" s="4">
        <f ca="1">F164*'Total Trip Tables Sup #1'!F21</f>
        <v>5.6905966846882139</v>
      </c>
      <c r="G21" s="4">
        <f ca="1">G164*'Total Trip Tables Sup #1'!G21</f>
        <v>5.8061166938371835</v>
      </c>
      <c r="H21" s="4">
        <f ca="1">H164*'Total Trip Tables Sup #1'!H21</f>
        <v>5.8582426343164844</v>
      </c>
      <c r="I21" s="1">
        <f ca="1">I164*'Total Trip Tables Sup #1'!I21</f>
        <v>6.2147191517621874</v>
      </c>
      <c r="J21" s="1">
        <f ca="1">J164*'Total Trip Tables Sup #1'!J21</f>
        <v>6.6729983429063999</v>
      </c>
      <c r="K21" s="1">
        <f ca="1">K164*'Total Trip Tables Sup #1'!K21</f>
        <v>7.1549677895273227</v>
      </c>
    </row>
    <row r="22" spans="1:11" x14ac:dyDescent="0.2">
      <c r="A22" t="str">
        <f ca="1">OFFSET(Auckland_Reference,42,2)</f>
        <v>Local Train</v>
      </c>
      <c r="B22" s="56">
        <f ca="1" xml:space="preserve"> 'Total Trip Tables Sup #1'!B22*(1+'PT Assumptions'!B7)</f>
        <v>10.038805999999999</v>
      </c>
      <c r="C22" s="4">
        <f ca="1" xml:space="preserve"> 'Total Trip Tables Sup #1'!C22*(1+'PT Assumptions'!C7)</f>
        <v>24.297567354030122</v>
      </c>
      <c r="D22" s="4">
        <f ca="1" xml:space="preserve"> 'Total Trip Tables Sup #1'!D22*(1+'PT Assumptions'!D7)</f>
        <v>39.591293528813175</v>
      </c>
      <c r="E22" s="4">
        <f ca="1" xml:space="preserve"> 'Total Trip Tables Sup #1'!E22*(1+'PT Assumptions'!E7)</f>
        <v>55.011028067654195</v>
      </c>
      <c r="F22" s="4">
        <f ca="1" xml:space="preserve"> 'Total Trip Tables Sup #1'!F22*(1+'PT Assumptions'!F7)</f>
        <v>61.180139371093482</v>
      </c>
      <c r="G22" s="4">
        <f ca="1" xml:space="preserve"> 'Total Trip Tables Sup #1'!G22*(1+'PT Assumptions'!G7)</f>
        <v>67.312100577564223</v>
      </c>
      <c r="H22" s="4">
        <f ca="1" xml:space="preserve"> 'Total Trip Tables Sup #1'!H22*(1+'PT Assumptions'!H7)</f>
        <v>73.025836615116674</v>
      </c>
      <c r="I22" s="1">
        <f ca="1" xml:space="preserve"> 'Total Trip Tables Sup #1'!I22*(1+'PT Assumptions'!I7)</f>
        <v>81.338052560075994</v>
      </c>
      <c r="J22" s="1">
        <f ca="1" xml:space="preserve"> 'Total Trip Tables Sup #1'!J22*(1+'PT Assumptions'!J7)</f>
        <v>91.484713472842259</v>
      </c>
      <c r="K22" s="1">
        <f ca="1" xml:space="preserve"> 'Total Trip Tables Sup #1'!K22*(1+'PT Assumptions'!K7)</f>
        <v>102.97450541562043</v>
      </c>
    </row>
    <row r="23" spans="1:11" x14ac:dyDescent="0.2">
      <c r="A23" t="str">
        <f ca="1">OFFSET(Auckland_Reference,49,2)</f>
        <v>Local Bus</v>
      </c>
      <c r="B23" s="56">
        <f ca="1" xml:space="preserve"> 'Total Trip Tables Sup #1'!B23*(1+'PT Assumptions'!B19)</f>
        <v>53.530078000000003</v>
      </c>
      <c r="C23" s="4">
        <f ca="1" xml:space="preserve"> 'Total Trip Tables Sup #1'!C23*(1+'PT Assumptions'!C19)</f>
        <v>67.683478267931406</v>
      </c>
      <c r="D23" s="4">
        <f ca="1" xml:space="preserve"> 'Total Trip Tables Sup #1'!D23*(1+'PT Assumptions'!D19)</f>
        <v>70.294466567839109</v>
      </c>
      <c r="E23" s="4">
        <f ca="1" xml:space="preserve"> 'Total Trip Tables Sup #1'!E23*(1+'PT Assumptions'!E19)</f>
        <v>73.244803381958732</v>
      </c>
      <c r="F23" s="4">
        <f ca="1" xml:space="preserve"> 'Total Trip Tables Sup #1'!F23*(1+'PT Assumptions'!F19)</f>
        <v>75.601516628567552</v>
      </c>
      <c r="G23" s="4">
        <f ca="1" xml:space="preserve"> 'Total Trip Tables Sup #1'!G23*(1+'PT Assumptions'!G19)</f>
        <v>77.897524741730678</v>
      </c>
      <c r="H23" s="4">
        <f ca="1" xml:space="preserve"> 'Total Trip Tables Sup #1'!H23*(1+'PT Assumptions'!H19)</f>
        <v>79.487371863037581</v>
      </c>
      <c r="I23" s="1">
        <f ca="1" xml:space="preserve"> 'Total Trip Tables Sup #1'!I23*(1+'PT Assumptions'!I19)</f>
        <v>86.409572356760336</v>
      </c>
      <c r="J23" s="1">
        <f ca="1" xml:space="preserve"> 'Total Trip Tables Sup #1'!J23*(1+'PT Assumptions'!J19)</f>
        <v>95.009867236065148</v>
      </c>
      <c r="K23" s="1">
        <f ca="1" xml:space="preserve"> 'Total Trip Tables Sup #1'!K23*(1+'PT Assumptions'!K19)</f>
        <v>104.54469188596528</v>
      </c>
    </row>
    <row r="24" spans="1:11" x14ac:dyDescent="0.2">
      <c r="A24" t="str">
        <f ca="1">OFFSET(Auckland_Reference,56,2)</f>
        <v>Local Ferry</v>
      </c>
      <c r="B24" s="56">
        <f ca="1">B167*'Total Trip Tables Sup #1'!B24*(1+'PT Assumptions'!B30)</f>
        <v>4.957052</v>
      </c>
      <c r="C24" s="4">
        <f ca="1">C167*'Total Trip Tables Sup #1'!C24*(1+'PT Assumptions'!C30)</f>
        <v>6.3328595328886852</v>
      </c>
      <c r="D24" s="4">
        <f ca="1">D167*'Total Trip Tables Sup #1'!D24*(1+'PT Assumptions'!D30)</f>
        <v>6.8822432004611338</v>
      </c>
      <c r="E24" s="4">
        <f ca="1">E167*'Total Trip Tables Sup #1'!E24*(1+'PT Assumptions'!E30)</f>
        <v>7.4122951620644546</v>
      </c>
      <c r="F24" s="4">
        <f ca="1">F167*'Total Trip Tables Sup #1'!F24*(1+'PT Assumptions'!F30)</f>
        <v>7.7913750647633631</v>
      </c>
      <c r="G24" s="4">
        <f ca="1">G167*'Total Trip Tables Sup #1'!G24*(1+'PT Assumptions'!G30)</f>
        <v>8.279238958769449</v>
      </c>
      <c r="H24" s="4">
        <f ca="1">H167*'Total Trip Tables Sup #1'!H24*(1+'PT Assumptions'!H30)</f>
        <v>8.6336588515655954</v>
      </c>
      <c r="I24" s="1">
        <f ca="1">I167*'Total Trip Tables Sup #1'!I24*(1+'PT Assumptions'!I30)</f>
        <v>8.9604352867731478</v>
      </c>
      <c r="J24" s="1">
        <f ca="1">J167*'Total Trip Tables Sup #1'!J24*(1+'PT Assumptions'!J30)</f>
        <v>9.3581384536754726</v>
      </c>
      <c r="K24" s="1">
        <f ca="1">K167*'Total Trip Tables Sup #1'!K24*(1+'PT Assumptions'!K30)</f>
        <v>9.7638476480868004</v>
      </c>
    </row>
    <row r="25" spans="1:11" x14ac:dyDescent="0.2">
      <c r="A25" t="str">
        <f ca="1">OFFSET(Auckland_Reference,63,2)</f>
        <v>Other Household Travel</v>
      </c>
      <c r="B25" s="56">
        <f ca="1">B168*'Total Trip Tables Sup #1'!B25</f>
        <v>2.2145179384000002</v>
      </c>
      <c r="C25" s="4">
        <f ca="1">C168*'Total Trip Tables Sup #1'!C25</f>
        <v>2.5677350366341192</v>
      </c>
      <c r="D25" s="4">
        <f ca="1">D168*'Total Trip Tables Sup #1'!D25</f>
        <v>2.8961841739251777</v>
      </c>
      <c r="E25" s="4">
        <f ca="1">E168*'Total Trip Tables Sup #1'!E25</f>
        <v>3.1494541311616699</v>
      </c>
      <c r="F25" s="4">
        <f ca="1">F168*'Total Trip Tables Sup #1'!F25</f>
        <v>3.3594970261928139</v>
      </c>
      <c r="G25" s="4">
        <f ca="1">G168*'Total Trip Tables Sup #1'!G25</f>
        <v>3.5253540370299534</v>
      </c>
      <c r="H25" s="4">
        <f ca="1">H168*'Total Trip Tables Sup #1'!H25</f>
        <v>3.6148637156629366</v>
      </c>
      <c r="I25" s="1">
        <f ca="1">I168*'Total Trip Tables Sup #1'!I25</f>
        <v>3.8149169825234761</v>
      </c>
      <c r="J25" s="1">
        <f ca="1">J168*'Total Trip Tables Sup #1'!J25</f>
        <v>4.0698781760592517</v>
      </c>
      <c r="K25" s="1">
        <f ca="1">K168*'Total Trip Tables Sup #1'!K25</f>
        <v>4.3357068734211293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B159*'Total Trip Tables Sup #1'!B27</f>
        <v>68.689195601999998</v>
      </c>
      <c r="C27" s="4">
        <f ca="1">C159*'Total Trip Tables Sup #1'!C27*(1+'Active Mode Assumptions'!C7)</f>
        <v>78.464705213388797</v>
      </c>
      <c r="D27" s="4">
        <f ca="1">D159*'Total Trip Tables Sup #1'!D27*(1+'Active Mode Assumptions'!D7)</f>
        <v>87.342401754542223</v>
      </c>
      <c r="E27" s="4">
        <f ca="1">E159*'Total Trip Tables Sup #1'!E27*(1+'Active Mode Assumptions'!E7)</f>
        <v>94.384456427597655</v>
      </c>
      <c r="F27" s="4">
        <f ca="1">F159*'Total Trip Tables Sup #1'!F27*(1+'Active Mode Assumptions'!F7)</f>
        <v>100.70894219530624</v>
      </c>
      <c r="G27" s="4">
        <f ca="1">G159*'Total Trip Tables Sup #1'!G27*(1+'Active Mode Assumptions'!G7)</f>
        <v>106.73669175536988</v>
      </c>
      <c r="H27" s="4">
        <f ca="1">H159*'Total Trip Tables Sup #1'!H27*(1+'Active Mode Assumptions'!H7)</f>
        <v>112.1642645054162</v>
      </c>
      <c r="I27" s="1">
        <f ca="1">I159*'Total Trip Tables Sup #1'!I27*(1+'Active Mode Assumptions'!I7)</f>
        <v>118.3653585839031</v>
      </c>
      <c r="J27" s="1">
        <f ca="1">J159*'Total Trip Tables Sup #1'!J27*(1+'Active Mode Assumptions'!J7)</f>
        <v>126.29599682257069</v>
      </c>
      <c r="K27" s="1">
        <f ca="1">K159*'Total Trip Tables Sup #1'!K27*(1+'Active Mode Assumptions'!K7)</f>
        <v>134.57406709100491</v>
      </c>
    </row>
    <row r="28" spans="1:11" x14ac:dyDescent="0.2">
      <c r="A28" t="str">
        <f ca="1">OFFSET(Waikato_Reference,7,2)</f>
        <v>Cyclist</v>
      </c>
      <c r="B28" s="4">
        <f ca="1">B160*'Total Trip Tables Sup #1'!B28</f>
        <v>5.8956498267999997</v>
      </c>
      <c r="C28" s="4">
        <f ca="1">C160*'Total Trip Tables Sup #1'!C28*(1+'Active Mode Assumptions'!C16)</f>
        <v>6.5828190062288776</v>
      </c>
      <c r="D28" s="4">
        <f ca="1">D160*'Total Trip Tables Sup #1'!D28*(1+'Active Mode Assumptions'!D16)</f>
        <v>8.0986869624186362</v>
      </c>
      <c r="E28" s="4">
        <f ca="1">E160*'Total Trip Tables Sup #1'!E28*(1+'Active Mode Assumptions'!E16)</f>
        <v>9.3451813254218816</v>
      </c>
      <c r="F28" s="4">
        <f ca="1">F160*'Total Trip Tables Sup #1'!F28*(1+'Active Mode Assumptions'!F16)</f>
        <v>10.692833781906016</v>
      </c>
      <c r="G28" s="4">
        <f ca="1">G160*'Total Trip Tables Sup #1'!G28*(1+'Active Mode Assumptions'!G16)</f>
        <v>12.135801126707113</v>
      </c>
      <c r="H28" s="4">
        <f ca="1">H160*'Total Trip Tables Sup #1'!H28*(1+'Active Mode Assumptions'!H16)</f>
        <v>13.663354704470922</v>
      </c>
      <c r="I28" s="1">
        <f ca="1">I160*'Total Trip Tables Sup #1'!I28*(1+'Active Mode Assumptions'!I16)</f>
        <v>14.514188774033563</v>
      </c>
      <c r="J28" s="1">
        <f ca="1">J160*'Total Trip Tables Sup #1'!J28*(1+'Active Mode Assumptions'!J16)</f>
        <v>15.635443078377275</v>
      </c>
      <c r="K28" s="1">
        <f ca="1">K160*'Total Trip Tables Sup #1'!K28*(1+'Active Mode Assumptions'!K16)</f>
        <v>16.824539238073843</v>
      </c>
    </row>
    <row r="29" spans="1:11" x14ac:dyDescent="0.2">
      <c r="A29" t="str">
        <f ca="1">OFFSET(Waikato_Reference,14,2)</f>
        <v>Light Vehicle Driver</v>
      </c>
      <c r="B29" s="4">
        <f ca="1">B161*'Total Trip Tables Sup #1'!B29</f>
        <v>305.41478153000003</v>
      </c>
      <c r="C29" s="4">
        <f ca="1">C161*'Total Trip Tables Sup #1'!C29-(C27*'Active Mode Assumptions'!C7*'Active Mode Assumptions'!C14/(1+'Active Mode Assumptions'!C7))-(C28*'Active Mode Assumptions'!C16*'Active Mode Assumptions'!C23/(1+'Active Mode Assumptions'!C16))</f>
        <v>359.60084277711979</v>
      </c>
      <c r="D29" s="4">
        <f ca="1">D161*'Total Trip Tables Sup #1'!D29-(D27*'Active Mode Assumptions'!D7*'Active Mode Assumptions'!D14/(1+'Active Mode Assumptions'!D7))-(D28*'Active Mode Assumptions'!D16*'Active Mode Assumptions'!D23/(1+'Active Mode Assumptions'!D16))</f>
        <v>398.24803037348175</v>
      </c>
      <c r="E29" s="4">
        <f ca="1">E161*'Total Trip Tables Sup #1'!E29-(E27*'Active Mode Assumptions'!E7*'Active Mode Assumptions'!E14/(1+'Active Mode Assumptions'!E7))-(E28*'Active Mode Assumptions'!E16*'Active Mode Assumptions'!E23/(1+'Active Mode Assumptions'!E16))</f>
        <v>435.01758948866075</v>
      </c>
      <c r="F29" s="4">
        <f ca="1">F161*'Total Trip Tables Sup #1'!F29-(F27*'Active Mode Assumptions'!F7*'Active Mode Assumptions'!F14/(1+'Active Mode Assumptions'!F7))-(F28*'Active Mode Assumptions'!F16*'Active Mode Assumptions'!F23/(1+'Active Mode Assumptions'!F16))</f>
        <v>468.81131630689885</v>
      </c>
      <c r="G29" s="4">
        <f ca="1">G161*'Total Trip Tables Sup #1'!G29-(G27*'Active Mode Assumptions'!G7*'Active Mode Assumptions'!G14/(1+'Active Mode Assumptions'!G7))-(G28*'Active Mode Assumptions'!G16*'Active Mode Assumptions'!G23/(1+'Active Mode Assumptions'!G16))</f>
        <v>498.06282800063553</v>
      </c>
      <c r="H29" s="4">
        <f ca="1">H161*'Total Trip Tables Sup #1'!H29-(H27*'Active Mode Assumptions'!H7*'Active Mode Assumptions'!H14/(1+'Active Mode Assumptions'!H7))-(H28*'Active Mode Assumptions'!H16*'Active Mode Assumptions'!H23/(1+'Active Mode Assumptions'!H16))</f>
        <v>523.82098773610096</v>
      </c>
      <c r="I29" s="1">
        <f ca="1">I161*'Total Trip Tables Sup #1'!I29-(I27*'Active Mode Assumptions'!I7*'Active Mode Assumptions'!I14/(1+'Active Mode Assumptions'!I7))-(I28*'Active Mode Assumptions'!I16*'Active Mode Assumptions'!I23/(1+'Active Mode Assumptions'!I16))</f>
        <v>552.1804545667801</v>
      </c>
      <c r="J29" s="1">
        <f ca="1">J161*'Total Trip Tables Sup #1'!J29-(J27*'Active Mode Assumptions'!J7*'Active Mode Assumptions'!J14/(1+'Active Mode Assumptions'!J7))-(J28*'Active Mode Assumptions'!J16*'Active Mode Assumptions'!J23/(1+'Active Mode Assumptions'!J16))</f>
        <v>588.27211603165233</v>
      </c>
      <c r="K29" s="1">
        <f ca="1">K161*'Total Trip Tables Sup #1'!K29-(K27*'Active Mode Assumptions'!K7*'Active Mode Assumptions'!K14/(1+'Active Mode Assumptions'!K7))-(K28*'Active Mode Assumptions'!K16*'Active Mode Assumptions'!K23/(1+'Active Mode Assumptions'!K16))</f>
        <v>625.84722968234894</v>
      </c>
    </row>
    <row r="30" spans="1:11" x14ac:dyDescent="0.2">
      <c r="A30" t="str">
        <f ca="1">OFFSET(Waikato_Reference,21,2)</f>
        <v>Light Vehicle Passenger</v>
      </c>
      <c r="B30" s="4">
        <f ca="1">B162*'Total Trip Tables Sup #1'!B30</f>
        <v>139.07206360000004</v>
      </c>
      <c r="C30" s="4">
        <f ca="1">C162*'Total Trip Tables Sup #1'!C30-(C27*'Active Mode Assumptions'!C7*'Active Mode Assumptions'!C15/(1+'Active Mode Assumptions'!C7))-(C28*'Active Mode Assumptions'!C16*'Active Mode Assumptions'!C24/(1+'Active Mode Assumptions'!C16))</f>
        <v>155.83405130334671</v>
      </c>
      <c r="D30" s="4">
        <f ca="1">D162*'Total Trip Tables Sup #1'!D30-(D27*'Active Mode Assumptions'!D7*'Active Mode Assumptions'!D15/(1+'Active Mode Assumptions'!D7))-(D28*'Active Mode Assumptions'!D16*'Active Mode Assumptions'!D24/(1+'Active Mode Assumptions'!D16))</f>
        <v>169.01990504973756</v>
      </c>
      <c r="E30" s="4">
        <f ca="1">E162*'Total Trip Tables Sup #1'!E30-(E27*'Active Mode Assumptions'!E7*'Active Mode Assumptions'!E15/(1+'Active Mode Assumptions'!E7))-(E28*'Active Mode Assumptions'!E16*'Active Mode Assumptions'!E24/(1+'Active Mode Assumptions'!E16))</f>
        <v>180.71130596254233</v>
      </c>
      <c r="F30" s="4">
        <f ca="1">F162*'Total Trip Tables Sup #1'!F30-(F27*'Active Mode Assumptions'!F7*'Active Mode Assumptions'!F15/(1+'Active Mode Assumptions'!F7))-(F28*'Active Mode Assumptions'!F16*'Active Mode Assumptions'!F24/(1+'Active Mode Assumptions'!F16))</f>
        <v>191.60465143849331</v>
      </c>
      <c r="G30" s="4">
        <f ca="1">G162*'Total Trip Tables Sup #1'!G30-(G27*'Active Mode Assumptions'!G7*'Active Mode Assumptions'!G15/(1+'Active Mode Assumptions'!G7))-(G28*'Active Mode Assumptions'!G16*'Active Mode Assumptions'!G24/(1+'Active Mode Assumptions'!G16))</f>
        <v>201.30249486753459</v>
      </c>
      <c r="H30" s="4">
        <f ca="1">H162*'Total Trip Tables Sup #1'!H30-(H27*'Active Mode Assumptions'!H7*'Active Mode Assumptions'!H15/(1+'Active Mode Assumptions'!H7))-(H28*'Active Mode Assumptions'!H16*'Active Mode Assumptions'!H24/(1+'Active Mode Assumptions'!H16))</f>
        <v>209.8856220416229</v>
      </c>
      <c r="I30" s="1">
        <f ca="1">I162*'Total Trip Tables Sup #1'!I30-(I27*'Active Mode Assumptions'!I7*'Active Mode Assumptions'!I15/(1+'Active Mode Assumptions'!I7))-(I28*'Active Mode Assumptions'!I16*'Active Mode Assumptions'!I24/(1+'Active Mode Assumptions'!I16))</f>
        <v>221.21227511023872</v>
      </c>
      <c r="J30" s="1">
        <f ca="1">J162*'Total Trip Tables Sup #1'!J30-(J27*'Active Mode Assumptions'!J7*'Active Mode Assumptions'!J15/(1+'Active Mode Assumptions'!J7))-(J28*'Active Mode Assumptions'!J16*'Active Mode Assumptions'!J24/(1+'Active Mode Assumptions'!J16))</f>
        <v>235.60648732237848</v>
      </c>
      <c r="K30" s="1">
        <f ca="1">K162*'Total Trip Tables Sup #1'!K30-(K27*'Active Mode Assumptions'!K7*'Active Mode Assumptions'!K15/(1+'Active Mode Assumptions'!K7))-(K28*'Active Mode Assumptions'!K16*'Active Mode Assumptions'!K24/(1+'Active Mode Assumptions'!K16))</f>
        <v>250.58414760060694</v>
      </c>
    </row>
    <row r="31" spans="1:11" x14ac:dyDescent="0.2">
      <c r="A31" t="str">
        <f ca="1">OFFSET(Waikato_Reference,28,2)</f>
        <v>Taxi/Vehicle Share</v>
      </c>
      <c r="B31" s="4">
        <f ca="1">B163*'Total Trip Tables Sup #1'!B31</f>
        <v>0.69122996950000004</v>
      </c>
      <c r="C31" s="4">
        <f ca="1">C163*'Total Trip Tables Sup #1'!C31</f>
        <v>0.86683388134008243</v>
      </c>
      <c r="D31" s="4">
        <f ca="1">D163*'Total Trip Tables Sup #1'!D31</f>
        <v>1.0225998966913687</v>
      </c>
      <c r="E31" s="4">
        <f ca="1">E163*'Total Trip Tables Sup #1'!E31</f>
        <v>1.1548213411835022</v>
      </c>
      <c r="F31" s="4">
        <f ca="1">F163*'Total Trip Tables Sup #1'!F31</f>
        <v>1.2753422653488327</v>
      </c>
      <c r="G31" s="4">
        <f ca="1">G163*'Total Trip Tables Sup #1'!G31</f>
        <v>1.3802526603686855</v>
      </c>
      <c r="H31" s="4">
        <f ca="1">H163*'Total Trip Tables Sup #1'!H31</f>
        <v>1.4760478840721236</v>
      </c>
      <c r="I31" s="1">
        <f ca="1">I163*'Total Trip Tables Sup #1'!I31</f>
        <v>1.5582088008967756</v>
      </c>
      <c r="J31" s="1">
        <f ca="1">J163*'Total Trip Tables Sup #1'!J31</f>
        <v>1.6631544240756611</v>
      </c>
      <c r="K31" s="1">
        <f ca="1">K163*'Total Trip Tables Sup #1'!K31</f>
        <v>1.7726801079127654</v>
      </c>
    </row>
    <row r="32" spans="1:11" x14ac:dyDescent="0.2">
      <c r="A32" t="str">
        <f ca="1">OFFSET(Waikato_Reference,35,2)</f>
        <v>Motorcyclist</v>
      </c>
      <c r="B32" s="4">
        <f ca="1">B164*'Total Trip Tables Sup #1'!B32</f>
        <v>1.8680965575999999</v>
      </c>
      <c r="C32" s="4">
        <f ca="1">C164*'Total Trip Tables Sup #1'!C32</f>
        <v>2.1190460859419975</v>
      </c>
      <c r="D32" s="4">
        <f ca="1">D164*'Total Trip Tables Sup #1'!D32</f>
        <v>2.3187032773298184</v>
      </c>
      <c r="E32" s="4">
        <f ca="1">E164*'Total Trip Tables Sup #1'!E32</f>
        <v>2.4670690147106389</v>
      </c>
      <c r="F32" s="4">
        <f ca="1">F164*'Total Trip Tables Sup #1'!F32</f>
        <v>2.5821054335535361</v>
      </c>
      <c r="G32" s="4">
        <f ca="1">G164*'Total Trip Tables Sup #1'!G32</f>
        <v>2.6345225806183259</v>
      </c>
      <c r="H32" s="4">
        <f ca="1">H164*'Total Trip Tables Sup #1'!H32</f>
        <v>2.6581747003517178</v>
      </c>
      <c r="I32" s="1">
        <f ca="1">I164*'Total Trip Tables Sup #1'!I32</f>
        <v>2.8199257439826066</v>
      </c>
      <c r="J32" s="1">
        <f ca="1">J164*'Total Trip Tables Sup #1'!J32</f>
        <v>3.0278697004963386</v>
      </c>
      <c r="K32" s="1">
        <f ca="1">K164*'Total Trip Tables Sup #1'!K32</f>
        <v>3.2465630987256069</v>
      </c>
    </row>
    <row r="33" spans="1:11" x14ac:dyDescent="0.2">
      <c r="A33" t="str">
        <f ca="1">OFFSET(Waikato_Reference,42,2)</f>
        <v>Local Train</v>
      </c>
      <c r="B33" s="4">
        <f ca="1">B165*'Total Trip Tables Sup #1'!B33</f>
        <v>0</v>
      </c>
      <c r="C33" s="4">
        <f ca="1">C165*'Total Trip Tables Sup #1'!C33</f>
        <v>0</v>
      </c>
      <c r="D33" s="4">
        <f ca="1">D165*'Total Trip Tables Sup #1'!D33</f>
        <v>0</v>
      </c>
      <c r="E33" s="4">
        <f ca="1">E165*'Total Trip Tables Sup #1'!E33</f>
        <v>0</v>
      </c>
      <c r="F33" s="4">
        <f ca="1">F165*'Total Trip Tables Sup #1'!F33</f>
        <v>0</v>
      </c>
      <c r="G33" s="4">
        <f ca="1">G165*'Total Trip Tables Sup #1'!G33</f>
        <v>0</v>
      </c>
      <c r="H33" s="4">
        <f ca="1">H165*'Total Trip Tables Sup #1'!H33</f>
        <v>0</v>
      </c>
      <c r="I33" s="1">
        <f ca="1">I165*'Total Trip Tables Sup #1'!I33</f>
        <v>0</v>
      </c>
      <c r="J33" s="1">
        <f ca="1">J165*'Total Trip Tables Sup #1'!J33</f>
        <v>0</v>
      </c>
      <c r="K33" s="1">
        <f ca="1">K165*'Total Trip Tables Sup #1'!K33</f>
        <v>0</v>
      </c>
    </row>
    <row r="34" spans="1:11" x14ac:dyDescent="0.2">
      <c r="A34" t="str">
        <f ca="1">OFFSET(Waikato_Reference,49,2)</f>
        <v>Local Bus</v>
      </c>
      <c r="B34" s="4">
        <f ca="1">B166*'Total Trip Tables Sup #1'!B34</f>
        <v>5.7199103379</v>
      </c>
      <c r="C34" s="4">
        <f ca="1">C166*'Total Trip Tables Sup #1'!C34</f>
        <v>5.9358961242356063</v>
      </c>
      <c r="D34" s="4">
        <f ca="1">D166*'Total Trip Tables Sup #1'!D34</f>
        <v>6.4803499585722655</v>
      </c>
      <c r="E34" s="4">
        <f ca="1">E166*'Total Trip Tables Sup #1'!E34</f>
        <v>6.8885431163252555</v>
      </c>
      <c r="F34" s="4">
        <f ca="1">F166*'Total Trip Tables Sup #1'!F34</f>
        <v>7.2584816633678493</v>
      </c>
      <c r="G34" s="4">
        <f ca="1">G166*'Total Trip Tables Sup #1'!G34</f>
        <v>7.6789481296361668</v>
      </c>
      <c r="H34" s="4">
        <f ca="1">H166*'Total Trip Tables Sup #1'!H34</f>
        <v>8.0850724485280203</v>
      </c>
      <c r="I34" s="1">
        <f ca="1">I166*'Total Trip Tables Sup #1'!I34</f>
        <v>8.5291217558820325</v>
      </c>
      <c r="J34" s="1">
        <f ca="1">J166*'Total Trip Tables Sup #1'!J34</f>
        <v>9.0935187662400008</v>
      </c>
      <c r="K34" s="1">
        <f ca="1">K166*'Total Trip Tables Sup #1'!K34</f>
        <v>9.681614157115197</v>
      </c>
    </row>
    <row r="35" spans="1:11" x14ac:dyDescent="0.2">
      <c r="A35" t="str">
        <f ca="1">OFFSET(Waikato_Reference,56,2)</f>
        <v>Local Ferry</v>
      </c>
      <c r="B35" s="4">
        <f ca="1">B167*'Total Trip Tables Sup #1'!B35</f>
        <v>0.2446181519</v>
      </c>
      <c r="C35" s="4">
        <f ca="1">C167*'Total Trip Tables Sup #1'!C35</f>
        <v>0.31251082199208874</v>
      </c>
      <c r="D35" s="4">
        <f ca="1">D167*'Total Trip Tables Sup #1'!D35</f>
        <v>0.33962153566739739</v>
      </c>
      <c r="E35" s="4">
        <f ca="1">E167*'Total Trip Tables Sup #1'!E35</f>
        <v>0.36577827787191231</v>
      </c>
      <c r="F35" s="4">
        <f ca="1">F167*'Total Trip Tables Sup #1'!F35</f>
        <v>0.3844849255368224</v>
      </c>
      <c r="G35" s="4">
        <f ca="1">G167*'Total Trip Tables Sup #1'!G35</f>
        <v>0.40855979183447405</v>
      </c>
      <c r="H35" s="4">
        <f ca="1">H167*'Total Trip Tables Sup #1'!H35</f>
        <v>0.42604952951977354</v>
      </c>
      <c r="I35" s="1">
        <f ca="1">I167*'Total Trip Tables Sup #1'!I35</f>
        <v>0.44217513152373511</v>
      </c>
      <c r="J35" s="1">
        <f ca="1">J167*'Total Trip Tables Sup #1'!J35</f>
        <v>0.46180079082535719</v>
      </c>
      <c r="K35" s="1">
        <f ca="1">K167*'Total Trip Tables Sup #1'!K35</f>
        <v>0.48182152761523472</v>
      </c>
    </row>
    <row r="36" spans="1:11" x14ac:dyDescent="0.2">
      <c r="A36" t="str">
        <f ca="1">OFFSET(Waikato_Reference,63,2)</f>
        <v>Other Household Travel</v>
      </c>
      <c r="B36" s="4">
        <f ca="1">B168*'Total Trip Tables Sup #1'!B36</f>
        <v>1.8854250596</v>
      </c>
      <c r="C36" s="4">
        <f ca="1">C168*'Total Trip Tables Sup #1'!C36</f>
        <v>2.186151622678087</v>
      </c>
      <c r="D36" s="4">
        <f ca="1">D168*'Total Trip Tables Sup #1'!D36</f>
        <v>2.4657909173139143</v>
      </c>
      <c r="E36" s="4">
        <f ca="1">E168*'Total Trip Tables Sup #1'!E36</f>
        <v>2.6814231846969077</v>
      </c>
      <c r="F36" s="4">
        <f ca="1">F168*'Total Trip Tables Sup #1'!F36</f>
        <v>2.8602522341327297</v>
      </c>
      <c r="G36" s="4">
        <f ca="1">G168*'Total Trip Tables Sup #1'!G36</f>
        <v>3.0014617312969873</v>
      </c>
      <c r="H36" s="4">
        <f ca="1">H168*'Total Trip Tables Sup #1'!H36</f>
        <v>3.0776696446513951</v>
      </c>
      <c r="I36" s="1">
        <f ca="1">I168*'Total Trip Tables Sup #1'!I36</f>
        <v>3.2479935946421663</v>
      </c>
      <c r="J36" s="1">
        <f ca="1">J168*'Total Trip Tables Sup #1'!J36</f>
        <v>3.4650657687629116</v>
      </c>
      <c r="K36" s="1">
        <f ca="1">K168*'Total Trip Tables Sup #1'!K36</f>
        <v>3.6913904595120983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B159*'Total Trip Tables Sup #1'!B38</f>
        <v>43.402809341999998</v>
      </c>
      <c r="C38" s="4">
        <f ca="1">C159*'Total Trip Tables Sup #1'!C38*(1+'Active Mode Assumptions'!C7)</f>
        <v>49.579684411878418</v>
      </c>
      <c r="D38" s="4">
        <f ca="1">D159*'Total Trip Tables Sup #1'!D38*(1+'Active Mode Assumptions'!D7)</f>
        <v>55.189256150124201</v>
      </c>
      <c r="E38" s="4">
        <f ca="1">E159*'Total Trip Tables Sup #1'!E38*(1+'Active Mode Assumptions'!E7)</f>
        <v>59.638936389816294</v>
      </c>
      <c r="F38" s="4">
        <f ca="1">F159*'Total Trip Tables Sup #1'!F38*(1+'Active Mode Assumptions'!F7)</f>
        <v>63.635204617392617</v>
      </c>
      <c r="G38" s="4">
        <f ca="1">G159*'Total Trip Tables Sup #1'!G38*(1+'Active Mode Assumptions'!G7)</f>
        <v>67.443973414637782</v>
      </c>
      <c r="H38" s="4">
        <f ca="1">H159*'Total Trip Tables Sup #1'!H38*(1+'Active Mode Assumptions'!H7)</f>
        <v>70.873507028993245</v>
      </c>
      <c r="I38" s="1">
        <f ca="1">I159*'Total Trip Tables Sup #1'!I38*(1+'Active Mode Assumptions'!I7)</f>
        <v>74.791807449336716</v>
      </c>
      <c r="J38" s="1">
        <f ca="1">J159*'Total Trip Tables Sup #1'!J38*(1+'Active Mode Assumptions'!J7)</f>
        <v>79.802959151093447</v>
      </c>
      <c r="K38" s="1">
        <f ca="1">K159*'Total Trip Tables Sup #1'!K38*(1+'Active Mode Assumptions'!K7)</f>
        <v>85.033643575793093</v>
      </c>
    </row>
    <row r="39" spans="1:11" x14ac:dyDescent="0.2">
      <c r="A39" t="str">
        <f ca="1">OFFSET(BOP_Reference,7,2)</f>
        <v>Cyclist</v>
      </c>
      <c r="B39" s="4">
        <f ca="1">B160*'Total Trip Tables Sup #1'!B39</f>
        <v>5.1579391552000002</v>
      </c>
      <c r="C39" s="4">
        <f ca="1">C160*'Total Trip Tables Sup #1'!C39*(1+'Active Mode Assumptions'!C16)</f>
        <v>5.7591242528479478</v>
      </c>
      <c r="D39" s="4">
        <f ca="1">D160*'Total Trip Tables Sup #1'!D39*(1+'Active Mode Assumptions'!D16)</f>
        <v>7.085314734820308</v>
      </c>
      <c r="E39" s="4">
        <f ca="1">E160*'Total Trip Tables Sup #1'!E39*(1+'Active Mode Assumptions'!E16)</f>
        <v>8.1758377934396496</v>
      </c>
      <c r="F39" s="4">
        <f ca="1">F160*'Total Trip Tables Sup #1'!F39*(1+'Active Mode Assumptions'!F16)</f>
        <v>9.3548612390491837</v>
      </c>
      <c r="G39" s="4">
        <f ca="1">G160*'Total Trip Tables Sup #1'!G39*(1+'Active Mode Assumptions'!G16)</f>
        <v>10.617273014862585</v>
      </c>
      <c r="H39" s="4">
        <f ca="1">H160*'Total Trip Tables Sup #1'!H39*(1+'Active Mode Assumptions'!H16)</f>
        <v>11.953686920348948</v>
      </c>
      <c r="I39" s="1">
        <f ca="1">I160*'Total Trip Tables Sup #1'!I39*(1+'Active Mode Assumptions'!I16)</f>
        <v>12.698057853308054</v>
      </c>
      <c r="J39" s="1">
        <f ca="1">J160*'Total Trip Tables Sup #1'!J39*(1+'Active Mode Assumptions'!J16)</f>
        <v>13.679011887080787</v>
      </c>
      <c r="K39" s="1">
        <f ca="1">K160*'Total Trip Tables Sup #1'!K39*(1+'Active Mode Assumptions'!K16)</f>
        <v>14.719318862830372</v>
      </c>
    </row>
    <row r="40" spans="1:11" x14ac:dyDescent="0.2">
      <c r="A40" t="str">
        <f ca="1">OFFSET(BOP_Reference,14,2)</f>
        <v>Light Vehicle Driver</v>
      </c>
      <c r="B40" s="4">
        <f ca="1">B161*'Total Trip Tables Sup #1'!B40</f>
        <v>178.59124365</v>
      </c>
      <c r="C40" s="4">
        <f ca="1">C161*'Total Trip Tables Sup #1'!C40-(C38*'Active Mode Assumptions'!C7*'Active Mode Assumptions'!C14/(1+'Active Mode Assumptions'!C7))-(C39*'Active Mode Assumptions'!C16*'Active Mode Assumptions'!C23/(1+'Active Mode Assumptions'!C16))</f>
        <v>210.27653412002797</v>
      </c>
      <c r="D40" s="4">
        <f ca="1">D161*'Total Trip Tables Sup #1'!D40-(D38*'Active Mode Assumptions'!D7*'Active Mode Assumptions'!D14/(1+'Active Mode Assumptions'!D7))-(D39*'Active Mode Assumptions'!D16*'Active Mode Assumptions'!D23/(1+'Active Mode Assumptions'!D16))</f>
        <v>232.80189506276352</v>
      </c>
      <c r="E40" s="4">
        <f ca="1">E161*'Total Trip Tables Sup #1'!E40-(E38*'Active Mode Assumptions'!E7*'Active Mode Assumptions'!E14/(1+'Active Mode Assumptions'!E7))-(E39*'Active Mode Assumptions'!E16*'Active Mode Assumptions'!E23/(1+'Active Mode Assumptions'!E16))</f>
        <v>254.22073014978983</v>
      </c>
      <c r="F40" s="4">
        <f ca="1">F161*'Total Trip Tables Sup #1'!F40-(F38*'Active Mode Assumptions'!F7*'Active Mode Assumptions'!F14/(1+'Active Mode Assumptions'!F7))-(F39*'Active Mode Assumptions'!F16*'Active Mode Assumptions'!F23/(1+'Active Mode Assumptions'!F16))</f>
        <v>273.89121030754495</v>
      </c>
      <c r="G40" s="4">
        <f ca="1">G161*'Total Trip Tables Sup #1'!G40-(G38*'Active Mode Assumptions'!G7*'Active Mode Assumptions'!G14/(1+'Active Mode Assumptions'!G7))-(G39*'Active Mode Assumptions'!G16*'Active Mode Assumptions'!G23/(1+'Active Mode Assumptions'!G16))</f>
        <v>290.89752421821424</v>
      </c>
      <c r="H40" s="4">
        <f ca="1">H161*'Total Trip Tables Sup #1'!H40-(H38*'Active Mode Assumptions'!H7*'Active Mode Assumptions'!H14/(1+'Active Mode Assumptions'!H7))-(H39*'Active Mode Assumptions'!H16*'Active Mode Assumptions'!H23/(1+'Active Mode Assumptions'!H16))</f>
        <v>305.85377585086724</v>
      </c>
      <c r="I40" s="1">
        <f ca="1">I161*'Total Trip Tables Sup #1'!I40-(I38*'Active Mode Assumptions'!I7*'Active Mode Assumptions'!I14/(1+'Active Mode Assumptions'!I7))-(I39*'Active Mode Assumptions'!I16*'Active Mode Assumptions'!I23/(1+'Active Mode Assumptions'!I16))</f>
        <v>322.40975778949559</v>
      </c>
      <c r="J40" s="1">
        <f ca="1">J161*'Total Trip Tables Sup #1'!J40-(J38*'Active Mode Assumptions'!J7*'Active Mode Assumptions'!J14/(1+'Active Mode Assumptions'!J7))-(J39*'Active Mode Assumptions'!J16*'Active Mode Assumptions'!J23/(1+'Active Mode Assumptions'!J16))</f>
        <v>343.47874908230608</v>
      </c>
      <c r="K40" s="1">
        <f ca="1">K161*'Total Trip Tables Sup #1'!K40-(K38*'Active Mode Assumptions'!K7*'Active Mode Assumptions'!K14/(1+'Active Mode Assumptions'!K7))-(K39*'Active Mode Assumptions'!K16*'Active Mode Assumptions'!K23/(1+'Active Mode Assumptions'!K16))</f>
        <v>365.41317650766263</v>
      </c>
    </row>
    <row r="41" spans="1:11" x14ac:dyDescent="0.2">
      <c r="A41" t="str">
        <f ca="1">OFFSET(BOP_Reference,21,2)</f>
        <v>Light Vehicle Passenger</v>
      </c>
      <c r="B41" s="4">
        <f ca="1">B162*'Total Trip Tables Sup #1'!B41</f>
        <v>98.719582360000032</v>
      </c>
      <c r="C41" s="4">
        <f ca="1">C162*'Total Trip Tables Sup #1'!C41-(C38*'Active Mode Assumptions'!C7*'Active Mode Assumptions'!C15/(1+'Active Mode Assumptions'!C7))-(C39*'Active Mode Assumptions'!C16*'Active Mode Assumptions'!C24/(1+'Active Mode Assumptions'!C16))</f>
        <v>110.61799231210372</v>
      </c>
      <c r="D41" s="4">
        <f ca="1">D162*'Total Trip Tables Sup #1'!D41-(D38*'Active Mode Assumptions'!D7*'Active Mode Assumptions'!D15/(1+'Active Mode Assumptions'!D7))-(D39*'Active Mode Assumptions'!D16*'Active Mode Assumptions'!D24/(1+'Active Mode Assumptions'!D16))</f>
        <v>119.98091084855805</v>
      </c>
      <c r="E41" s="4">
        <f ca="1">E162*'Total Trip Tables Sup #1'!E41-(E38*'Active Mode Assumptions'!E7*'Active Mode Assumptions'!E15/(1+'Active Mode Assumptions'!E7))-(E39*'Active Mode Assumptions'!E16*'Active Mode Assumptions'!E24/(1+'Active Mode Assumptions'!E16))</f>
        <v>128.28348692942438</v>
      </c>
      <c r="F41" s="4">
        <f ca="1">F162*'Total Trip Tables Sup #1'!F41-(F38*'Active Mode Assumptions'!F7*'Active Mode Assumptions'!F15/(1+'Active Mode Assumptions'!F7))-(F39*'Active Mode Assumptions'!F16*'Active Mode Assumptions'!F24/(1+'Active Mode Assumptions'!F16))</f>
        <v>136.01888326677579</v>
      </c>
      <c r="G41" s="4">
        <f ca="1">G162*'Total Trip Tables Sup #1'!G41-(G38*'Active Mode Assumptions'!G7*'Active Mode Assumptions'!G15/(1+'Active Mode Assumptions'!G7))-(G39*'Active Mode Assumptions'!G16*'Active Mode Assumptions'!G24/(1+'Active Mode Assumptions'!G16))</f>
        <v>142.90459885703811</v>
      </c>
      <c r="H41" s="4">
        <f ca="1">H162*'Total Trip Tables Sup #1'!H41-(H38*'Active Mode Assumptions'!H7*'Active Mode Assumptions'!H15/(1+'Active Mode Assumptions'!H7))-(H39*'Active Mode Assumptions'!H16*'Active Mode Assumptions'!H24/(1+'Active Mode Assumptions'!H16))</f>
        <v>148.99708329150118</v>
      </c>
      <c r="I41" s="1">
        <f ca="1">I162*'Total Trip Tables Sup #1'!I41-(I38*'Active Mode Assumptions'!I7*'Active Mode Assumptions'!I15/(1+'Active Mode Assumptions'!I7))-(I39*'Active Mode Assumptions'!I16*'Active Mode Assumptions'!I24/(1+'Active Mode Assumptions'!I16))</f>
        <v>157.03653722659541</v>
      </c>
      <c r="J41" s="1">
        <f ca="1">J162*'Total Trip Tables Sup #1'!J41-(J38*'Active Mode Assumptions'!J7*'Active Mode Assumptions'!J15/(1+'Active Mode Assumptions'!J7))-(J39*'Active Mode Assumptions'!J16*'Active Mode Assumptions'!J24/(1+'Active Mode Assumptions'!J16))</f>
        <v>167.25282812700286</v>
      </c>
      <c r="K41" s="1">
        <f ca="1">K162*'Total Trip Tables Sup #1'!K41-(K38*'Active Mode Assumptions'!K7*'Active Mode Assumptions'!K15/(1+'Active Mode Assumptions'!K7))-(K39*'Active Mode Assumptions'!K16*'Active Mode Assumptions'!K24/(1+'Active Mode Assumptions'!K16))</f>
        <v>177.88295931283346</v>
      </c>
    </row>
    <row r="42" spans="1:11" x14ac:dyDescent="0.2">
      <c r="A42" t="str">
        <f ca="1">OFFSET(BOP_Reference,28,2)</f>
        <v>Taxi/Vehicle Share</v>
      </c>
      <c r="B42" s="4">
        <f ca="1">B163*'Total Trip Tables Sup #1'!B42</f>
        <v>0.15552198610000001</v>
      </c>
      <c r="C42" s="4">
        <f ca="1">C163*'Total Trip Tables Sup #1'!C42</f>
        <v>0.19503165775971371</v>
      </c>
      <c r="D42" s="4">
        <f ca="1">D163*'Total Trip Tables Sup #1'!D42</f>
        <v>0.23007793923364667</v>
      </c>
      <c r="E42" s="4">
        <f ca="1">E163*'Total Trip Tables Sup #1'!E42</f>
        <v>0.25982685429776337</v>
      </c>
      <c r="F42" s="4">
        <f ca="1">F163*'Total Trip Tables Sup #1'!F42</f>
        <v>0.28694323281120937</v>
      </c>
      <c r="G42" s="4">
        <f ca="1">G163*'Total Trip Tables Sup #1'!G42</f>
        <v>0.31054734969842301</v>
      </c>
      <c r="H42" s="4">
        <f ca="1">H163*'Total Trip Tables Sup #1'!H42</f>
        <v>0.33210061576995786</v>
      </c>
      <c r="I42" s="1">
        <f ca="1">I163*'Total Trip Tables Sup #1'!I42</f>
        <v>0.35058625662492499</v>
      </c>
      <c r="J42" s="1">
        <f ca="1">J163*'Total Trip Tables Sup #1'!J42</f>
        <v>0.37419829960548096</v>
      </c>
      <c r="K42" s="1">
        <f ca="1">K163*'Total Trip Tables Sup #1'!K42</f>
        <v>0.39884082471420618</v>
      </c>
    </row>
    <row r="43" spans="1:11" x14ac:dyDescent="0.2">
      <c r="A43" t="str">
        <f ca="1">OFFSET(BOP_Reference,35,2)</f>
        <v>Motorcyclist</v>
      </c>
      <c r="B43" s="4">
        <f ca="1">B164*'Total Trip Tables Sup #1'!B43</f>
        <v>0.90641599910000004</v>
      </c>
      <c r="C43" s="4">
        <f ca="1">C164*'Total Trip Tables Sup #1'!C43</f>
        <v>1.0281787990636249</v>
      </c>
      <c r="D43" s="4">
        <f ca="1">D164*'Total Trip Tables Sup #1'!D43</f>
        <v>1.1250541301984316</v>
      </c>
      <c r="E43" s="4">
        <f ca="1">E164*'Total Trip Tables Sup #1'!E43</f>
        <v>1.1970424209177377</v>
      </c>
      <c r="F43" s="4">
        <f ca="1">F164*'Total Trip Tables Sup #1'!F43</f>
        <v>1.2528590488613871</v>
      </c>
      <c r="G43" s="4">
        <f ca="1">G164*'Total Trip Tables Sup #1'!G43</f>
        <v>1.2782922849183835</v>
      </c>
      <c r="H43" s="4">
        <f ca="1">H164*'Total Trip Tables Sup #1'!H43</f>
        <v>1.2897684902846192</v>
      </c>
      <c r="I43" s="1">
        <f ca="1">I164*'Total Trip Tables Sup #1'!I43</f>
        <v>1.3682514430108523</v>
      </c>
      <c r="J43" s="1">
        <f ca="1">J164*'Total Trip Tables Sup #1'!J43</f>
        <v>1.4691475815607524</v>
      </c>
      <c r="K43" s="1">
        <f ca="1">K164*'Total Trip Tables Sup #1'!K43</f>
        <v>1.5752594387054524</v>
      </c>
    </row>
    <row r="44" spans="1:11" x14ac:dyDescent="0.2">
      <c r="A44" t="str">
        <f ca="1">OFFSET(Auckland_Reference,42,2)</f>
        <v>Local Train</v>
      </c>
      <c r="B44" s="4">
        <f ca="1">B165*'Total Trip Tables Sup #1'!B44</f>
        <v>0</v>
      </c>
      <c r="C44" s="4">
        <f ca="1">C165*'Total Trip Tables Sup #1'!C44</f>
        <v>0</v>
      </c>
      <c r="D44" s="4">
        <f ca="1">D165*'Total Trip Tables Sup #1'!D44</f>
        <v>0</v>
      </c>
      <c r="E44" s="4">
        <f ca="1">E165*'Total Trip Tables Sup #1'!E44</f>
        <v>0</v>
      </c>
      <c r="F44" s="4">
        <f ca="1">F165*'Total Trip Tables Sup #1'!F44</f>
        <v>0</v>
      </c>
      <c r="G44" s="4">
        <f ca="1">G165*'Total Trip Tables Sup #1'!G44</f>
        <v>0</v>
      </c>
      <c r="H44" s="4">
        <f ca="1">H165*'Total Trip Tables Sup #1'!H44</f>
        <v>0</v>
      </c>
      <c r="I44" s="1">
        <f ca="1">I165*'Total Trip Tables Sup #1'!I44</f>
        <v>0</v>
      </c>
      <c r="J44" s="1">
        <f ca="1">J165*'Total Trip Tables Sup #1'!J44</f>
        <v>0</v>
      </c>
      <c r="K44" s="1">
        <f ca="1">K165*'Total Trip Tables Sup #1'!K44</f>
        <v>0</v>
      </c>
    </row>
    <row r="45" spans="1:11" x14ac:dyDescent="0.2">
      <c r="A45" t="str">
        <f ca="1">OFFSET(BOP_Reference,42,2)</f>
        <v>Local Bus</v>
      </c>
      <c r="B45" s="4">
        <f ca="1">B166*'Total Trip Tables Sup #1'!B45</f>
        <v>7.4672006229000001</v>
      </c>
      <c r="C45" s="4">
        <f ca="1">C166*'Total Trip Tables Sup #1'!C45</f>
        <v>7.7491646927869597</v>
      </c>
      <c r="D45" s="4">
        <f ca="1">D166*'Total Trip Tables Sup #1'!D45</f>
        <v>8.459935626373241</v>
      </c>
      <c r="E45" s="4">
        <f ca="1">E166*'Total Trip Tables Sup #1'!E45</f>
        <v>8.992821637127685</v>
      </c>
      <c r="F45" s="4">
        <f ca="1">F166*'Total Trip Tables Sup #1'!F45</f>
        <v>9.4757672054537387</v>
      </c>
      <c r="G45" s="4">
        <f ca="1">G166*'Total Trip Tables Sup #1'!G45</f>
        <v>10.024675715089586</v>
      </c>
      <c r="H45" s="4">
        <f ca="1">H166*'Total Trip Tables Sup #1'!H45</f>
        <v>10.554860908187816</v>
      </c>
      <c r="I45" s="1">
        <f ca="1">I166*'Total Trip Tables Sup #1'!I45</f>
        <v>11.134556230071052</v>
      </c>
      <c r="J45" s="1">
        <f ca="1">J166*'Total Trip Tables Sup #1'!J45</f>
        <v>11.87136248372558</v>
      </c>
      <c r="K45" s="1">
        <f ca="1">K166*'Total Trip Tables Sup #1'!K45</f>
        <v>12.639106383480511</v>
      </c>
    </row>
    <row r="46" spans="1:11" x14ac:dyDescent="0.2">
      <c r="A46" t="str">
        <f ca="1">OFFSET(Waikato_Reference,56,2)</f>
        <v>Local Ferry</v>
      </c>
      <c r="B46" s="4">
        <f ca="1">B167*'Total Trip Tables Sup #1'!B46</f>
        <v>0</v>
      </c>
      <c r="C46" s="4">
        <f ca="1">C167*'Total Trip Tables Sup #1'!C46</f>
        <v>0</v>
      </c>
      <c r="D46" s="4">
        <f ca="1">D167*'Total Trip Tables Sup #1'!D46</f>
        <v>0</v>
      </c>
      <c r="E46" s="4">
        <f ca="1">E167*'Total Trip Tables Sup #1'!E46</f>
        <v>0</v>
      </c>
      <c r="F46" s="4">
        <f ca="1">F167*'Total Trip Tables Sup #1'!F46</f>
        <v>0</v>
      </c>
      <c r="G46" s="4">
        <f ca="1">G167*'Total Trip Tables Sup #1'!G46</f>
        <v>0</v>
      </c>
      <c r="H46" s="4">
        <f ca="1">H167*'Total Trip Tables Sup #1'!H46</f>
        <v>0</v>
      </c>
      <c r="I46" s="1">
        <f ca="1">I167*'Total Trip Tables Sup #1'!I46</f>
        <v>0</v>
      </c>
      <c r="J46" s="1">
        <f ca="1">J167*'Total Trip Tables Sup #1'!J46</f>
        <v>0</v>
      </c>
      <c r="K46" s="1">
        <f ca="1">K167*'Total Trip Tables Sup #1'!K46</f>
        <v>0</v>
      </c>
    </row>
    <row r="47" spans="1:11" x14ac:dyDescent="0.2">
      <c r="A47" t="str">
        <f ca="1">OFFSET(BOP_Reference,49,2)</f>
        <v>Other Household Travel</v>
      </c>
      <c r="B47" s="4">
        <f ca="1">B168*'Total Trip Tables Sup #1'!B47</f>
        <v>0.59853678389999998</v>
      </c>
      <c r="C47" s="4">
        <f ca="1">C168*'Total Trip Tables Sup #1'!C47</f>
        <v>0.69400380285234453</v>
      </c>
      <c r="D47" s="4">
        <f ca="1">D168*'Total Trip Tables Sup #1'!D47</f>
        <v>0.78277657226642128</v>
      </c>
      <c r="E47" s="4">
        <f ca="1">E168*'Total Trip Tables Sup #1'!E47</f>
        <v>0.85123001896658501</v>
      </c>
      <c r="F47" s="4">
        <f ca="1">F168*'Total Trip Tables Sup #1'!F47</f>
        <v>0.90800011628348365</v>
      </c>
      <c r="G47" s="4">
        <f ca="1">G168*'Total Trip Tables Sup #1'!G47</f>
        <v>0.95282771516283749</v>
      </c>
      <c r="H47" s="4">
        <f ca="1">H168*'Total Trip Tables Sup #1'!H47</f>
        <v>0.97702026481344761</v>
      </c>
      <c r="I47" s="1">
        <f ca="1">I168*'Total Trip Tables Sup #1'!I47</f>
        <v>1.0310903795228852</v>
      </c>
      <c r="J47" s="1">
        <f ca="1">J168*'Total Trip Tables Sup #1'!J47</f>
        <v>1.1000009311838332</v>
      </c>
      <c r="K47" s="1">
        <f ca="1">K168*'Total Trip Tables Sup #1'!K47</f>
        <v>1.1718487364458037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B159*'Total Trip Tables Sup #1'!B49</f>
        <v>12.564280467</v>
      </c>
      <c r="C49" s="4">
        <f ca="1">C159*'Total Trip Tables Sup #1'!C49*(1+'Active Mode Assumptions'!C7)</f>
        <v>12.620071097805297</v>
      </c>
      <c r="D49" s="4">
        <f ca="1">D159*'Total Trip Tables Sup #1'!D49*(1+'Active Mode Assumptions'!D7)</f>
        <v>12.7313358718869</v>
      </c>
      <c r="E49" s="4">
        <f ca="1">E159*'Total Trip Tables Sup #1'!E49*(1+'Active Mode Assumptions'!E7)</f>
        <v>12.638553758966154</v>
      </c>
      <c r="F49" s="4">
        <f ca="1">F159*'Total Trip Tables Sup #1'!F49*(1+'Active Mode Assumptions'!F7)</f>
        <v>12.432995264629163</v>
      </c>
      <c r="G49" s="4">
        <f ca="1">G159*'Total Trip Tables Sup #1'!G49*(1+'Active Mode Assumptions'!G7)</f>
        <v>12.161489765954361</v>
      </c>
      <c r="H49" s="4">
        <f ca="1">H159*'Total Trip Tables Sup #1'!H49*(1+'Active Mode Assumptions'!H7)</f>
        <v>11.823950086110946</v>
      </c>
      <c r="I49" s="1">
        <f ca="1">I159*'Total Trip Tables Sup #1'!I49*(1+'Active Mode Assumptions'!I7)</f>
        <v>11.734964524266831</v>
      </c>
      <c r="J49" s="1">
        <f ca="1">J159*'Total Trip Tables Sup #1'!J49*(1+'Active Mode Assumptions'!J7)</f>
        <v>11.617815220246333</v>
      </c>
      <c r="K49" s="1">
        <f ca="1">K159*'Total Trip Tables Sup #1'!K49*(1+'Active Mode Assumptions'!K7)</f>
        <v>11.477506677197248</v>
      </c>
    </row>
    <row r="50" spans="1:11" x14ac:dyDescent="0.2">
      <c r="A50" t="str">
        <f ca="1">OFFSET(Gisborne_Reference,7,2)</f>
        <v>Cyclist</v>
      </c>
      <c r="B50" s="4">
        <f ca="1">B160*'Total Trip Tables Sup #1'!B50</f>
        <v>1.1119455742</v>
      </c>
      <c r="C50" s="4">
        <f ca="1">C160*'Total Trip Tables Sup #1'!C50*(1+'Active Mode Assumptions'!C16)</f>
        <v>1.0916967731216398</v>
      </c>
      <c r="D50" s="4">
        <f ca="1">D160*'Total Trip Tables Sup #1'!D50*(1+'Active Mode Assumptions'!D16)</f>
        <v>1.2172116944909646</v>
      </c>
      <c r="E50" s="4">
        <f ca="1">E160*'Total Trip Tables Sup #1'!E50*(1+'Active Mode Assumptions'!E16)</f>
        <v>1.2902898817429316</v>
      </c>
      <c r="F50" s="4">
        <f ca="1">F160*'Total Trip Tables Sup #1'!F50*(1+'Active Mode Assumptions'!F16)</f>
        <v>1.361141288099506</v>
      </c>
      <c r="G50" s="4">
        <f ca="1">G160*'Total Trip Tables Sup #1'!G50*(1+'Active Mode Assumptions'!G16)</f>
        <v>1.4257525260771078</v>
      </c>
      <c r="H50" s="4">
        <f ca="1">H160*'Total Trip Tables Sup #1'!H50*(1+'Active Mode Assumptions'!H16)</f>
        <v>1.4851423270327044</v>
      </c>
      <c r="I50" s="1">
        <f ca="1">I160*'Total Trip Tables Sup #1'!I50*(1+'Active Mode Assumptions'!I16)</f>
        <v>1.4837221777130827</v>
      </c>
      <c r="J50" s="1">
        <f ca="1">J160*'Total Trip Tables Sup #1'!J50*(1+'Active Mode Assumptions'!J16)</f>
        <v>1.483022467920573</v>
      </c>
      <c r="K50" s="1">
        <f ca="1">K160*'Total Trip Tables Sup #1'!K50*(1+'Active Mode Assumptions'!K16)</f>
        <v>1.4795580651453399</v>
      </c>
    </row>
    <row r="51" spans="1:11" x14ac:dyDescent="0.2">
      <c r="A51" t="str">
        <f ca="1">OFFSET(Gisborne_Reference,14,2)</f>
        <v>Light Vehicle Driver</v>
      </c>
      <c r="B51" s="4">
        <f ca="1">B161*'Total Trip Tables Sup #1'!B51</f>
        <v>28.776347379000001</v>
      </c>
      <c r="C51" s="4">
        <f ca="1">C161*'Total Trip Tables Sup #1'!C51-(C49*'Active Mode Assumptions'!C7*'Active Mode Assumptions'!C14/(1+'Active Mode Assumptions'!C7))-(C50*'Active Mode Assumptions'!C16*'Active Mode Assumptions'!C23/(1+'Active Mode Assumptions'!C16))</f>
        <v>29.792337441443628</v>
      </c>
      <c r="D51" s="4">
        <f ca="1">D161*'Total Trip Tables Sup #1'!D51-(D49*'Active Mode Assumptions'!D7*'Active Mode Assumptions'!D14/(1+'Active Mode Assumptions'!D7))-(D50*'Active Mode Assumptions'!D16*'Active Mode Assumptions'!D23/(1+'Active Mode Assumptions'!D16))</f>
        <v>29.857802858234468</v>
      </c>
      <c r="E51" s="4">
        <f ca="1">E161*'Total Trip Tables Sup #1'!E51-(E49*'Active Mode Assumptions'!E7*'Active Mode Assumptions'!E14/(1+'Active Mode Assumptions'!E7))-(E50*'Active Mode Assumptions'!E16*'Active Mode Assumptions'!E23/(1+'Active Mode Assumptions'!E16))</f>
        <v>29.919618960766673</v>
      </c>
      <c r="F51" s="4">
        <f ca="1">F161*'Total Trip Tables Sup #1'!F51-(F49*'Active Mode Assumptions'!F7*'Active Mode Assumptions'!F14/(1+'Active Mode Assumptions'!F7))-(F50*'Active Mode Assumptions'!F16*'Active Mode Assumptions'!F23/(1+'Active Mode Assumptions'!F16))</f>
        <v>29.688154780657165</v>
      </c>
      <c r="G51" s="4">
        <f ca="1">G161*'Total Trip Tables Sup #1'!G51-(G49*'Active Mode Assumptions'!G7*'Active Mode Assumptions'!G14/(1+'Active Mode Assumptions'!G7))-(G50*'Active Mode Assumptions'!G16*'Active Mode Assumptions'!G23/(1+'Active Mode Assumptions'!G16))</f>
        <v>29.071499578548661</v>
      </c>
      <c r="H51" s="4">
        <f ca="1">H161*'Total Trip Tables Sup #1'!H51-(H49*'Active Mode Assumptions'!H7*'Active Mode Assumptions'!H14/(1+'Active Mode Assumptions'!H7))-(H50*'Active Mode Assumptions'!H16*'Active Mode Assumptions'!H23/(1+'Active Mode Assumptions'!H16))</f>
        <v>28.25154712854312</v>
      </c>
      <c r="I51" s="1">
        <f ca="1">I161*'Total Trip Tables Sup #1'!I51-(I49*'Active Mode Assumptions'!I7*'Active Mode Assumptions'!I14/(1+'Active Mode Assumptions'!I7))-(I50*'Active Mode Assumptions'!I16*'Active Mode Assumptions'!I23/(1+'Active Mode Assumptions'!I16))</f>
        <v>28.007860604249196</v>
      </c>
      <c r="J51" s="1">
        <f ca="1">J161*'Total Trip Tables Sup #1'!J51-(J49*'Active Mode Assumptions'!J7*'Active Mode Assumptions'!J14/(1+'Active Mode Assumptions'!J7))-(J50*'Active Mode Assumptions'!J16*'Active Mode Assumptions'!J23/(1+'Active Mode Assumptions'!J16))</f>
        <v>27.684781020067234</v>
      </c>
      <c r="K51" s="1">
        <f ca="1">K161*'Total Trip Tables Sup #1'!K51-(K49*'Active Mode Assumptions'!K7*'Active Mode Assumptions'!K14/(1+'Active Mode Assumptions'!K7))-(K50*'Active Mode Assumptions'!K16*'Active Mode Assumptions'!K23/(1+'Active Mode Assumptions'!K16))</f>
        <v>27.306635879608361</v>
      </c>
    </row>
    <row r="52" spans="1:11" x14ac:dyDescent="0.2">
      <c r="A52" t="str">
        <f ca="1">OFFSET(Gisborne_Reference,21,2)</f>
        <v>Light Vehicle Passenger</v>
      </c>
      <c r="B52" s="4">
        <f ca="1">B162*'Total Trip Tables Sup #1'!B52</f>
        <v>18.791024854000003</v>
      </c>
      <c r="C52" s="4">
        <f ca="1">C162*'Total Trip Tables Sup #1'!C52-(C49*'Active Mode Assumptions'!C7*'Active Mode Assumptions'!C15/(1+'Active Mode Assumptions'!C7))-(C50*'Active Mode Assumptions'!C16*'Active Mode Assumptions'!C24/(1+'Active Mode Assumptions'!C16))</f>
        <v>18.514466051213397</v>
      </c>
      <c r="D52" s="4">
        <f ca="1">D162*'Total Trip Tables Sup #1'!D52-(D49*'Active Mode Assumptions'!D7*'Active Mode Assumptions'!D15/(1+'Active Mode Assumptions'!D7))-(D50*'Active Mode Assumptions'!D16*'Active Mode Assumptions'!D24/(1+'Active Mode Assumptions'!D16))</f>
        <v>18.174869658113643</v>
      </c>
      <c r="E52" s="4">
        <f ca="1">E162*'Total Trip Tables Sup #1'!E52-(E49*'Active Mode Assumptions'!E7*'Active Mode Assumptions'!E15/(1+'Active Mode Assumptions'!E7))-(E50*'Active Mode Assumptions'!E16*'Active Mode Assumptions'!E24/(1+'Active Mode Assumptions'!E16))</f>
        <v>17.827896809747976</v>
      </c>
      <c r="F52" s="4">
        <f ca="1">F162*'Total Trip Tables Sup #1'!F52-(F49*'Active Mode Assumptions'!F7*'Active Mode Assumptions'!F15/(1+'Active Mode Assumptions'!F7))-(F50*'Active Mode Assumptions'!F16*'Active Mode Assumptions'!F24/(1+'Active Mode Assumptions'!F16))</f>
        <v>17.405064305382595</v>
      </c>
      <c r="G52" s="4">
        <f ca="1">G162*'Total Trip Tables Sup #1'!G52-(G49*'Active Mode Assumptions'!G7*'Active Mode Assumptions'!G15/(1+'Active Mode Assumptions'!G7))-(G50*'Active Mode Assumptions'!G16*'Active Mode Assumptions'!G24/(1+'Active Mode Assumptions'!G16))</f>
        <v>16.855005373279983</v>
      </c>
      <c r="H52" s="4">
        <f ca="1">H162*'Total Trip Tables Sup #1'!H52-(H49*'Active Mode Assumptions'!H7*'Active Mode Assumptions'!H15/(1+'Active Mode Assumptions'!H7))-(H50*'Active Mode Assumptions'!H16*'Active Mode Assumptions'!H24/(1+'Active Mode Assumptions'!H16))</f>
        <v>16.238446718135187</v>
      </c>
      <c r="I52" s="1">
        <f ca="1">I162*'Total Trip Tables Sup #1'!I52-(I49*'Active Mode Assumptions'!I7*'Active Mode Assumptions'!I15/(1+'Active Mode Assumptions'!I7))-(I50*'Active Mode Assumptions'!I16*'Active Mode Assumptions'!I24/(1+'Active Mode Assumptions'!I16))</f>
        <v>16.095718094097254</v>
      </c>
      <c r="J52" s="1">
        <f ca="1">J162*'Total Trip Tables Sup #1'!J52-(J49*'Active Mode Assumptions'!J7*'Active Mode Assumptions'!J15/(1+'Active Mode Assumptions'!J7))-(J50*'Active Mode Assumptions'!J16*'Active Mode Assumptions'!J24/(1+'Active Mode Assumptions'!J16))</f>
        <v>15.905666172580124</v>
      </c>
      <c r="K52" s="1">
        <f ca="1">K162*'Total Trip Tables Sup #1'!K52-(K49*'Active Mode Assumptions'!K7*'Active Mode Assumptions'!K15/(1+'Active Mode Assumptions'!K7))-(K50*'Active Mode Assumptions'!K16*'Active Mode Assumptions'!K24/(1+'Active Mode Assumptions'!K16))</f>
        <v>15.683925890846055</v>
      </c>
    </row>
    <row r="53" spans="1:11" x14ac:dyDescent="0.2">
      <c r="A53" t="str">
        <f ca="1">OFFSET(Gisborne_Reference,28,2)</f>
        <v>Taxi/Vehicle Share</v>
      </c>
      <c r="B53" s="4">
        <f ca="1">B163*'Total Trip Tables Sup #1'!B53</f>
        <v>2.27015811E-2</v>
      </c>
      <c r="C53" s="4">
        <f ca="1">C163*'Total Trip Tables Sup #1'!C53</f>
        <v>2.5032699518920707E-2</v>
      </c>
      <c r="D53" s="4">
        <f ca="1">D163*'Total Trip Tables Sup #1'!D53</f>
        <v>2.6763255757164248E-2</v>
      </c>
      <c r="E53" s="4">
        <f ca="1">E163*'Total Trip Tables Sup #1'!E53</f>
        <v>2.7764896341069045E-2</v>
      </c>
      <c r="F53" s="4">
        <f ca="1">F163*'Total Trip Tables Sup #1'!F53</f>
        <v>2.8269546445198281E-2</v>
      </c>
      <c r="G53" s="4">
        <f ca="1">G163*'Total Trip Tables Sup #1'!G53</f>
        <v>2.8236833165637024E-2</v>
      </c>
      <c r="H53" s="4">
        <f ca="1">H163*'Total Trip Tables Sup #1'!H53</f>
        <v>2.7937843203117728E-2</v>
      </c>
      <c r="I53" s="1">
        <f ca="1">I163*'Total Trip Tables Sup #1'!I53</f>
        <v>2.7737490730329509E-2</v>
      </c>
      <c r="J53" s="1">
        <f ca="1">J163*'Total Trip Tables Sup #1'!J53</f>
        <v>2.7469566725281867E-2</v>
      </c>
      <c r="K53" s="1">
        <f ca="1">K163*'Total Trip Tables Sup #1'!K53</f>
        <v>2.7145691037549075E-2</v>
      </c>
    </row>
    <row r="54" spans="1:11" x14ac:dyDescent="0.2">
      <c r="A54" t="str">
        <f ca="1">OFFSET(Gisborne_Reference,35,2)</f>
        <v>Motorcyclist</v>
      </c>
      <c r="B54" s="4">
        <f ca="1">B164*'Total Trip Tables Sup #1'!B54</f>
        <v>0.20072163900000001</v>
      </c>
      <c r="C54" s="4">
        <f ca="1">C164*'Total Trip Tables Sup #1'!C54</f>
        <v>0.20020436345764836</v>
      </c>
      <c r="D54" s="4">
        <f ca="1">D164*'Total Trip Tables Sup #1'!D54</f>
        <v>0.19853619944999143</v>
      </c>
      <c r="E54" s="4">
        <f ca="1">E164*'Total Trip Tables Sup #1'!E54</f>
        <v>0.19405457335890117</v>
      </c>
      <c r="F54" s="4">
        <f ca="1">F164*'Total Trip Tables Sup #1'!F54</f>
        <v>0.18725239796278825</v>
      </c>
      <c r="G54" s="4">
        <f ca="1">G164*'Total Trip Tables Sup #1'!G54</f>
        <v>0.17632774298625561</v>
      </c>
      <c r="H54" s="4">
        <f ca="1">H164*'Total Trip Tables Sup #1'!H54</f>
        <v>0.16460282236078511</v>
      </c>
      <c r="I54" s="1">
        <f ca="1">I164*'Total Trip Tables Sup #1'!I54</f>
        <v>0.16422547164215739</v>
      </c>
      <c r="J54" s="1">
        <f ca="1">J164*'Total Trip Tables Sup #1'!J54</f>
        <v>0.16361297605712413</v>
      </c>
      <c r="K54" s="1">
        <f ca="1">K164*'Total Trip Tables Sup #1'!K54</f>
        <v>0.16265061391185487</v>
      </c>
    </row>
    <row r="55" spans="1:11" x14ac:dyDescent="0.2">
      <c r="A55" t="str">
        <f ca="1">OFFSET(Gisborne_Reference,42,2)</f>
        <v>Local Train</v>
      </c>
      <c r="B55" s="4">
        <f ca="1">B165*'Total Trip Tables Sup #1'!B55</f>
        <v>0</v>
      </c>
      <c r="C55" s="4">
        <f ca="1">C165*'Total Trip Tables Sup #1'!C55</f>
        <v>0</v>
      </c>
      <c r="D55" s="4">
        <f ca="1">D165*'Total Trip Tables Sup #1'!D55</f>
        <v>0</v>
      </c>
      <c r="E55" s="4">
        <f ca="1">E165*'Total Trip Tables Sup #1'!E55</f>
        <v>0</v>
      </c>
      <c r="F55" s="4">
        <f ca="1">F165*'Total Trip Tables Sup #1'!F55</f>
        <v>0</v>
      </c>
      <c r="G55" s="4">
        <f ca="1">G165*'Total Trip Tables Sup #1'!G55</f>
        <v>0</v>
      </c>
      <c r="H55" s="4">
        <f ca="1">H165*'Total Trip Tables Sup #1'!H55</f>
        <v>0</v>
      </c>
      <c r="I55" s="1">
        <f ca="1">I165*'Total Trip Tables Sup #1'!I55</f>
        <v>0</v>
      </c>
      <c r="J55" s="1">
        <f ca="1">J165*'Total Trip Tables Sup #1'!J55</f>
        <v>0</v>
      </c>
      <c r="K55" s="1">
        <f ca="1">K165*'Total Trip Tables Sup #1'!K55</f>
        <v>0</v>
      </c>
    </row>
    <row r="56" spans="1:11" x14ac:dyDescent="0.2">
      <c r="A56" t="str">
        <f ca="1">OFFSET(Gisborne_Reference,49,2)</f>
        <v>Local Bus</v>
      </c>
      <c r="B56" s="4">
        <f ca="1">B166*'Total Trip Tables Sup #1'!B56</f>
        <v>0.39415976190000002</v>
      </c>
      <c r="C56" s="4">
        <f ca="1">C166*'Total Trip Tables Sup #1'!C56</f>
        <v>0.35967282036674991</v>
      </c>
      <c r="D56" s="4">
        <f ca="1">D166*'Total Trip Tables Sup #1'!D56</f>
        <v>0.35586164277155036</v>
      </c>
      <c r="E56" s="4">
        <f ca="1">E166*'Total Trip Tables Sup #1'!E56</f>
        <v>0.34750267823251157</v>
      </c>
      <c r="F56" s="4">
        <f ca="1">F166*'Total Trip Tables Sup #1'!F56</f>
        <v>0.3375883040949838</v>
      </c>
      <c r="G56" s="4">
        <f ca="1">G166*'Total Trip Tables Sup #1'!G56</f>
        <v>0.32961627618083861</v>
      </c>
      <c r="H56" s="4">
        <f ca="1">H166*'Total Trip Tables Sup #1'!H56</f>
        <v>0.32108932313803723</v>
      </c>
      <c r="I56" s="1">
        <f ca="1">I166*'Total Trip Tables Sup #1'!I56</f>
        <v>0.3185630135123434</v>
      </c>
      <c r="J56" s="1">
        <f ca="1">J166*'Total Trip Tables Sup #1'!J56</f>
        <v>0.31513796127442256</v>
      </c>
      <c r="K56" s="1">
        <f ca="1">K166*'Total Trip Tables Sup #1'!K56</f>
        <v>0.31107694187161639</v>
      </c>
    </row>
    <row r="57" spans="1:11" x14ac:dyDescent="0.2">
      <c r="A57" t="str">
        <f ca="1">OFFSET(Gisborne_Reference,56,2)</f>
        <v>Local Ferry</v>
      </c>
      <c r="B57" s="4">
        <f ca="1">B167*'Total Trip Tables Sup #1'!B57</f>
        <v>1.5651153399999999E-2</v>
      </c>
      <c r="C57" s="4">
        <f ca="1">C167*'Total Trip Tables Sup #1'!C57</f>
        <v>1.7581705078631393E-2</v>
      </c>
      <c r="D57" s="4">
        <f ca="1">D167*'Total Trip Tables Sup #1'!D57</f>
        <v>1.7316197975246018E-2</v>
      </c>
      <c r="E57" s="4">
        <f ca="1">E167*'Total Trip Tables Sup #1'!E57</f>
        <v>1.7132600473238935E-2</v>
      </c>
      <c r="F57" s="4">
        <f ca="1">F167*'Total Trip Tables Sup #1'!F57</f>
        <v>1.6603342487984403E-2</v>
      </c>
      <c r="G57" s="4">
        <f ca="1">G167*'Total Trip Tables Sup #1'!G57</f>
        <v>1.6283101863528434E-2</v>
      </c>
      <c r="H57" s="4">
        <f ca="1">H167*'Total Trip Tables Sup #1'!H57</f>
        <v>1.5710016469412346E-2</v>
      </c>
      <c r="I57" s="1">
        <f ca="1">I167*'Total Trip Tables Sup #1'!I57</f>
        <v>1.5334158642701951E-2</v>
      </c>
      <c r="J57" s="1">
        <f ca="1">J167*'Total Trip Tables Sup #1'!J57</f>
        <v>1.4859288934662785E-2</v>
      </c>
      <c r="K57" s="1">
        <f ca="1">K167*'Total Trip Tables Sup #1'!K57</f>
        <v>1.4374106289431483E-2</v>
      </c>
    </row>
    <row r="58" spans="1:11" x14ac:dyDescent="0.2">
      <c r="A58" t="str">
        <f ca="1">OFFSET(Gisborne_Reference,63,2)</f>
        <v>Other Household Travel</v>
      </c>
      <c r="B58" s="4">
        <f ca="1">B168*'Total Trip Tables Sup #1'!B58</f>
        <v>3.13358953E-2</v>
      </c>
      <c r="C58" s="4">
        <f ca="1">C168*'Total Trip Tables Sup #1'!C58</f>
        <v>3.1948566325686469E-2</v>
      </c>
      <c r="D58" s="4">
        <f ca="1">D168*'Total Trip Tables Sup #1'!D58</f>
        <v>3.2657936076200655E-2</v>
      </c>
      <c r="E58" s="4">
        <f ca="1">E168*'Total Trip Tables Sup #1'!E58</f>
        <v>3.2624653042496517E-2</v>
      </c>
      <c r="F58" s="4">
        <f ca="1">F168*'Total Trip Tables Sup #1'!F58</f>
        <v>3.2084531929269293E-2</v>
      </c>
      <c r="G58" s="4">
        <f ca="1">G168*'Total Trip Tables Sup #1'!G58</f>
        <v>3.1073451232234536E-2</v>
      </c>
      <c r="H58" s="4">
        <f ca="1">H168*'Total Trip Tables Sup #1'!H58</f>
        <v>2.9479065793303463E-2</v>
      </c>
      <c r="I58" s="1">
        <f ca="1">I168*'Total Trip Tables Sup #1'!I58</f>
        <v>2.9258763431285671E-2</v>
      </c>
      <c r="J58" s="1">
        <f ca="1">J168*'Total Trip Tables Sup #1'!J58</f>
        <v>2.8962096912125371E-2</v>
      </c>
      <c r="K58" s="1">
        <f ca="1">K168*'Total Trip Tables Sup #1'!K58</f>
        <v>2.8606175728747293E-2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B159*'Total Trip Tables Sup #1'!B60</f>
        <v>26.538300281000001</v>
      </c>
      <c r="C60" s="4">
        <f ca="1">C159*'Total Trip Tables Sup #1'!C60*(1+'Active Mode Assumptions'!C7)</f>
        <v>26.829025389136003</v>
      </c>
      <c r="D60" s="4">
        <f ca="1">D159*'Total Trip Tables Sup #1'!D60*(1+'Active Mode Assumptions'!D7)</f>
        <v>27.106830041259304</v>
      </c>
      <c r="E60" s="4">
        <f ca="1">E159*'Total Trip Tables Sup #1'!E60*(1+'Active Mode Assumptions'!E7)</f>
        <v>26.983420854904022</v>
      </c>
      <c r="F60" s="4">
        <f ca="1">F159*'Total Trip Tables Sup #1'!F60*(1+'Active Mode Assumptions'!F7)</f>
        <v>26.588130145797304</v>
      </c>
      <c r="G60" s="4">
        <f ca="1">G159*'Total Trip Tables Sup #1'!G60*(1+'Active Mode Assumptions'!G7)</f>
        <v>26.089762852681947</v>
      </c>
      <c r="H60" s="4">
        <f ca="1">H159*'Total Trip Tables Sup #1'!H60*(1+'Active Mode Assumptions'!H7)</f>
        <v>25.42881726112654</v>
      </c>
      <c r="I60" s="1">
        <f ca="1">I159*'Total Trip Tables Sup #1'!I60*(1+'Active Mode Assumptions'!I7)</f>
        <v>25.300294382280285</v>
      </c>
      <c r="J60" s="1">
        <f ca="1">J159*'Total Trip Tables Sup #1'!J60*(1+'Active Mode Assumptions'!J7)</f>
        <v>25.110102094881562</v>
      </c>
      <c r="K60" s="1">
        <f ca="1">K159*'Total Trip Tables Sup #1'!K60*(1+'Active Mode Assumptions'!K7)</f>
        <v>24.868625832512357</v>
      </c>
    </row>
    <row r="61" spans="1:11" x14ac:dyDescent="0.2">
      <c r="A61" t="str">
        <f ca="1">OFFSET(Hawkes_Bay_Reference,7,2)</f>
        <v>Cyclist</v>
      </c>
      <c r="B61" s="4">
        <f ca="1">B160*'Total Trip Tables Sup #1'!B61</f>
        <v>3.1819840940000002</v>
      </c>
      <c r="C61" s="4">
        <f ca="1">C160*'Total Trip Tables Sup #1'!C61*(1+'Active Mode Assumptions'!C16)</f>
        <v>3.1443010000095239</v>
      </c>
      <c r="D61" s="4">
        <f ca="1">D160*'Total Trip Tables Sup #1'!D61*(1+'Active Mode Assumptions'!D16)</f>
        <v>3.5111538997927805</v>
      </c>
      <c r="E61" s="4">
        <f ca="1">E160*'Total Trip Tables Sup #1'!E61*(1+'Active Mode Assumptions'!E16)</f>
        <v>3.7322086141827659</v>
      </c>
      <c r="F61" s="4">
        <f ca="1">F160*'Total Trip Tables Sup #1'!F61*(1+'Active Mode Assumptions'!F16)</f>
        <v>3.9436124397823833</v>
      </c>
      <c r="G61" s="4">
        <f ca="1">G160*'Total Trip Tables Sup #1'!G61*(1+'Active Mode Assumptions'!G16)</f>
        <v>4.1438735543679153</v>
      </c>
      <c r="H61" s="4">
        <f ca="1">H160*'Total Trip Tables Sup #1'!H61*(1+'Active Mode Assumptions'!H16)</f>
        <v>4.3272365956356884</v>
      </c>
      <c r="I61" s="1">
        <f ca="1">I160*'Total Trip Tables Sup #1'!I61*(1+'Active Mode Assumptions'!I16)</f>
        <v>4.3338649517451149</v>
      </c>
      <c r="J61" s="1">
        <f ca="1">J160*'Total Trip Tables Sup #1'!J61*(1+'Active Mode Assumptions'!J16)</f>
        <v>4.3426090865405538</v>
      </c>
      <c r="K61" s="1">
        <f ca="1">K160*'Total Trip Tables Sup #1'!K61*(1+'Active Mode Assumptions'!K16)</f>
        <v>4.3432541175280575</v>
      </c>
    </row>
    <row r="62" spans="1:11" x14ac:dyDescent="0.2">
      <c r="A62" t="str">
        <f ca="1">OFFSET(Hawkes_Bay_Reference,14,2)</f>
        <v>Light Vehicle Driver</v>
      </c>
      <c r="B62" s="4">
        <f ca="1">B161*'Total Trip Tables Sup #1'!B62</f>
        <v>111.16933473</v>
      </c>
      <c r="C62" s="4">
        <f ca="1">C161*'Total Trip Tables Sup #1'!C62-(C60*'Active Mode Assumptions'!C7*'Active Mode Assumptions'!C14/(1+'Active Mode Assumptions'!C7))-(C61*'Active Mode Assumptions'!C16*'Active Mode Assumptions'!C23/(1+'Active Mode Assumptions'!C16))</f>
        <v>115.84079543268651</v>
      </c>
      <c r="D62" s="4">
        <f ca="1">D161*'Total Trip Tables Sup #1'!D62-(D60*'Active Mode Assumptions'!D7*'Active Mode Assumptions'!D14/(1+'Active Mode Assumptions'!D7))-(D61*'Active Mode Assumptions'!D16*'Active Mode Assumptions'!D23/(1+'Active Mode Assumptions'!D16))</f>
        <v>116.41043764559049</v>
      </c>
      <c r="E62" s="4">
        <f ca="1">E161*'Total Trip Tables Sup #1'!E62-(E60*'Active Mode Assumptions'!E7*'Active Mode Assumptions'!E14/(1+'Active Mode Assumptions'!E7))-(E61*'Active Mode Assumptions'!E16*'Active Mode Assumptions'!E23/(1+'Active Mode Assumptions'!E16))</f>
        <v>117.10359772053761</v>
      </c>
      <c r="F62" s="4">
        <f ca="1">F161*'Total Trip Tables Sup #1'!F62-(F60*'Active Mode Assumptions'!F7*'Active Mode Assumptions'!F14/(1+'Active Mode Assumptions'!F7))-(F61*'Active Mode Assumptions'!F16*'Active Mode Assumptions'!F23/(1+'Active Mode Assumptions'!F16))</f>
        <v>116.51209235397396</v>
      </c>
      <c r="G62" s="4">
        <f ca="1">G161*'Total Trip Tables Sup #1'!G62-(G60*'Active Mode Assumptions'!G7*'Active Mode Assumptions'!G14/(1+'Active Mode Assumptions'!G7))-(G61*'Active Mode Assumptions'!G16*'Active Mode Assumptions'!G23/(1+'Active Mode Assumptions'!G16))</f>
        <v>114.57233918001127</v>
      </c>
      <c r="H62" s="4">
        <f ca="1">H161*'Total Trip Tables Sup #1'!H62-(H60*'Active Mode Assumptions'!H7*'Active Mode Assumptions'!H14/(1+'Active Mode Assumptions'!H7))-(H61*'Active Mode Assumptions'!H16*'Active Mode Assumptions'!H23/(1+'Active Mode Assumptions'!H16))</f>
        <v>111.7323343026581</v>
      </c>
      <c r="I62" s="1">
        <f ca="1">I161*'Total Trip Tables Sup #1'!I62-(I60*'Active Mode Assumptions'!I7*'Active Mode Assumptions'!I14/(1+'Active Mode Assumptions'!I7))-(I61*'Active Mode Assumptions'!I16*'Active Mode Assumptions'!I23/(1+'Active Mode Assumptions'!I16))</f>
        <v>111.04593204339513</v>
      </c>
      <c r="J62" s="1">
        <f ca="1">J161*'Total Trip Tables Sup #1'!J62-(J60*'Active Mode Assumptions'!J7*'Active Mode Assumptions'!J14/(1+'Active Mode Assumptions'!J7))-(J61*'Active Mode Assumptions'!J16*'Active Mode Assumptions'!J23/(1+'Active Mode Assumptions'!J16))</f>
        <v>110.04048388527951</v>
      </c>
      <c r="K62" s="1">
        <f ca="1">K161*'Total Trip Tables Sup #1'!K62-(K60*'Active Mode Assumptions'!K7*'Active Mode Assumptions'!K14/(1+'Active Mode Assumptions'!K7))-(K61*'Active Mode Assumptions'!K16*'Active Mode Assumptions'!K23/(1+'Active Mode Assumptions'!K16))</f>
        <v>108.80993514681182</v>
      </c>
    </row>
    <row r="63" spans="1:11" x14ac:dyDescent="0.2">
      <c r="A63" t="str">
        <f ca="1">OFFSET(Hawkes_Bay_Reference,21,2)</f>
        <v>Light Vehicle Passenger</v>
      </c>
      <c r="B63" s="4">
        <f ca="1">B162*'Total Trip Tables Sup #1'!B63</f>
        <v>58.497679762000011</v>
      </c>
      <c r="C63" s="4">
        <f ca="1">C162*'Total Trip Tables Sup #1'!C63-(C60*'Active Mode Assumptions'!C7*'Active Mode Assumptions'!C15/(1+'Active Mode Assumptions'!C7))-(C61*'Active Mode Assumptions'!C16*'Active Mode Assumptions'!C24/(1+'Active Mode Assumptions'!C16))</f>
        <v>58.010549438297559</v>
      </c>
      <c r="D63" s="4">
        <f ca="1">D162*'Total Trip Tables Sup #1'!D63-(D60*'Active Mode Assumptions'!D7*'Active Mode Assumptions'!D15/(1+'Active Mode Assumptions'!D7))-(D61*'Active Mode Assumptions'!D16*'Active Mode Assumptions'!D24/(1+'Active Mode Assumptions'!D16))</f>
        <v>57.103307869257371</v>
      </c>
      <c r="E63" s="4">
        <f ca="1">E162*'Total Trip Tables Sup #1'!E63-(E60*'Active Mode Assumptions'!E7*'Active Mode Assumptions'!E15/(1+'Active Mode Assumptions'!E7))-(E61*'Active Mode Assumptions'!E16*'Active Mode Assumptions'!E24/(1+'Active Mode Assumptions'!E16))</f>
        <v>56.235258624051667</v>
      </c>
      <c r="F63" s="4">
        <f ca="1">F162*'Total Trip Tables Sup #1'!F63-(F60*'Active Mode Assumptions'!F7*'Active Mode Assumptions'!F15/(1+'Active Mode Assumptions'!F7))-(F61*'Active Mode Assumptions'!F16*'Active Mode Assumptions'!F24/(1+'Active Mode Assumptions'!F16))</f>
        <v>55.056322153374566</v>
      </c>
      <c r="G63" s="4">
        <f ca="1">G162*'Total Trip Tables Sup #1'!G63-(G60*'Active Mode Assumptions'!G7*'Active Mode Assumptions'!G15/(1+'Active Mode Assumptions'!G7))-(G61*'Active Mode Assumptions'!G16*'Active Mode Assumptions'!G24/(1+'Active Mode Assumptions'!G16))</f>
        <v>53.547301436180092</v>
      </c>
      <c r="H63" s="4">
        <f ca="1">H162*'Total Trip Tables Sup #1'!H63-(H60*'Active Mode Assumptions'!H7*'Active Mode Assumptions'!H15/(1+'Active Mode Assumptions'!H7))-(H61*'Active Mode Assumptions'!H16*'Active Mode Assumptions'!H24/(1+'Active Mode Assumptions'!H16))</f>
        <v>51.776313109806281</v>
      </c>
      <c r="I63" s="1">
        <f ca="1">I162*'Total Trip Tables Sup #1'!I63-(I60*'Active Mode Assumptions'!I7*'Active Mode Assumptions'!I15/(1+'Active Mode Assumptions'!I7))-(I61*'Active Mode Assumptions'!I16*'Active Mode Assumptions'!I24/(1+'Active Mode Assumptions'!I16))</f>
        <v>51.449628504871789</v>
      </c>
      <c r="J63" s="1">
        <f ca="1">J162*'Total Trip Tables Sup #1'!J63-(J60*'Active Mode Assumptions'!J7*'Active Mode Assumptions'!J15/(1+'Active Mode Assumptions'!J7))-(J61*'Active Mode Assumptions'!J16*'Active Mode Assumptions'!J24/(1+'Active Mode Assumptions'!J16))</f>
        <v>50.969607485579168</v>
      </c>
      <c r="K63" s="1">
        <f ca="1">K162*'Total Trip Tables Sup #1'!K63-(K60*'Active Mode Assumptions'!K7*'Active Mode Assumptions'!K15/(1+'Active Mode Assumptions'!K7))-(K61*'Active Mode Assumptions'!K16*'Active Mode Assumptions'!K24/(1+'Active Mode Assumptions'!K16))</f>
        <v>50.385082217102855</v>
      </c>
    </row>
    <row r="64" spans="1:11" x14ac:dyDescent="0.2">
      <c r="A64" t="str">
        <f ca="1">OFFSET(Hawkes_Bay_Reference,28,2)</f>
        <v>Taxi/Vehicle Share</v>
      </c>
      <c r="B64" s="4">
        <f ca="1">B163*'Total Trip Tables Sup #1'!B64</f>
        <v>0.32519619989999998</v>
      </c>
      <c r="C64" s="4">
        <f ca="1">C163*'Total Trip Tables Sup #1'!C64</f>
        <v>0.36091477059930333</v>
      </c>
      <c r="D64" s="4">
        <f ca="1">D163*'Total Trip Tables Sup #1'!D64</f>
        <v>0.38645379497848215</v>
      </c>
      <c r="E64" s="4">
        <f ca="1">E163*'Total Trip Tables Sup #1'!E64</f>
        <v>0.40202175791354711</v>
      </c>
      <c r="F64" s="4">
        <f ca="1">F163*'Total Trip Tables Sup #1'!F64</f>
        <v>0.41000083706566498</v>
      </c>
      <c r="G64" s="4">
        <f ca="1">G163*'Total Trip Tables Sup #1'!G64</f>
        <v>0.41082154889077993</v>
      </c>
      <c r="H64" s="4">
        <f ca="1">H163*'Total Trip Tables Sup #1'!H64</f>
        <v>0.40748377762962756</v>
      </c>
      <c r="I64" s="1">
        <f ca="1">I163*'Total Trip Tables Sup #1'!I64</f>
        <v>0.40556908080481618</v>
      </c>
      <c r="J64" s="1">
        <f ca="1">J163*'Total Trip Tables Sup #1'!J64</f>
        <v>0.40265184928283809</v>
      </c>
      <c r="K64" s="1">
        <f ca="1">K163*'Total Trip Tables Sup #1'!K64</f>
        <v>0.39889538403581887</v>
      </c>
    </row>
    <row r="65" spans="1:11" x14ac:dyDescent="0.2">
      <c r="A65" t="str">
        <f ca="1">OFFSET(Hawkes_Bay_Reference,35,2)</f>
        <v>Motorcyclist</v>
      </c>
      <c r="B65" s="4">
        <f ca="1">B164*'Total Trip Tables Sup #1'!B65</f>
        <v>0.65061969099999994</v>
      </c>
      <c r="C65" s="4">
        <f ca="1">C164*'Total Trip Tables Sup #1'!C65</f>
        <v>0.6531518490052548</v>
      </c>
      <c r="D65" s="4">
        <f ca="1">D164*'Total Trip Tables Sup #1'!D65</f>
        <v>0.64869714746134965</v>
      </c>
      <c r="E65" s="4">
        <f ca="1">E164*'Total Trip Tables Sup #1'!E65</f>
        <v>0.63580075074993825</v>
      </c>
      <c r="F65" s="4">
        <f ca="1">F164*'Total Trip Tables Sup #1'!F65</f>
        <v>0.6145213030349439</v>
      </c>
      <c r="G65" s="4">
        <f ca="1">G164*'Total Trip Tables Sup #1'!G65</f>
        <v>0.5804990701954349</v>
      </c>
      <c r="H65" s="4">
        <f ca="1">H164*'Total Trip Tables Sup #1'!H65</f>
        <v>0.5432483022841148</v>
      </c>
      <c r="I65" s="1">
        <f ca="1">I164*'Total Trip Tables Sup #1'!I65</f>
        <v>0.54335271103218863</v>
      </c>
      <c r="J65" s="1">
        <f ca="1">J164*'Total Trip Tables Sup #1'!J65</f>
        <v>0.54267433801133691</v>
      </c>
      <c r="K65" s="1">
        <f ca="1">K164*'Total Trip Tables Sup #1'!K65</f>
        <v>0.54082588284907107</v>
      </c>
    </row>
    <row r="66" spans="1:11" x14ac:dyDescent="0.2">
      <c r="A66" t="str">
        <f ca="1">OFFSET(Auckland_Reference,42,2)</f>
        <v>Local Train</v>
      </c>
      <c r="B66" s="4">
        <f ca="1">B165*'Total Trip Tables Sup #1'!B66</f>
        <v>0</v>
      </c>
      <c r="C66" s="4">
        <f ca="1">C165*'Total Trip Tables Sup #1'!C66</f>
        <v>0</v>
      </c>
      <c r="D66" s="4">
        <f ca="1">D165*'Total Trip Tables Sup #1'!D66</f>
        <v>0</v>
      </c>
      <c r="E66" s="4">
        <f ca="1">E165*'Total Trip Tables Sup #1'!E66</f>
        <v>0</v>
      </c>
      <c r="F66" s="4">
        <f ca="1">F165*'Total Trip Tables Sup #1'!F66</f>
        <v>0</v>
      </c>
      <c r="G66" s="4">
        <f ca="1">G165*'Total Trip Tables Sup #1'!G66</f>
        <v>0</v>
      </c>
      <c r="H66" s="4">
        <f ca="1">H165*'Total Trip Tables Sup #1'!H66</f>
        <v>0</v>
      </c>
      <c r="I66" s="1">
        <f ca="1">I165*'Total Trip Tables Sup #1'!I66</f>
        <v>0</v>
      </c>
      <c r="J66" s="1">
        <f ca="1">J165*'Total Trip Tables Sup #1'!J66</f>
        <v>0</v>
      </c>
      <c r="K66" s="1">
        <f ca="1">K165*'Total Trip Tables Sup #1'!K66</f>
        <v>0</v>
      </c>
    </row>
    <row r="67" spans="1:11" x14ac:dyDescent="0.2">
      <c r="A67" t="str">
        <f ca="1">OFFSET(Hawkes_Bay_Reference,42,2)</f>
        <v>Local Bus</v>
      </c>
      <c r="B67" s="4">
        <f ca="1">B166*'Total Trip Tables Sup #1'!B67</f>
        <v>4.5218645043999999</v>
      </c>
      <c r="C67" s="4">
        <f ca="1">C166*'Total Trip Tables Sup #1'!C67</f>
        <v>4.1529862356539846</v>
      </c>
      <c r="D67" s="4">
        <f ca="1">D166*'Total Trip Tables Sup #1'!D67</f>
        <v>4.1152451601649433</v>
      </c>
      <c r="E67" s="4">
        <f ca="1">E166*'Total Trip Tables Sup #1'!E67</f>
        <v>4.0296521602816169</v>
      </c>
      <c r="F67" s="4">
        <f ca="1">F166*'Total Trip Tables Sup #1'!F67</f>
        <v>3.9211115360956077</v>
      </c>
      <c r="G67" s="4">
        <f ca="1">G166*'Total Trip Tables Sup #1'!G67</f>
        <v>3.8406238800964716</v>
      </c>
      <c r="H67" s="4">
        <f ca="1">H166*'Total Trip Tables Sup #1'!H67</f>
        <v>3.7505867429340261</v>
      </c>
      <c r="I67" s="1">
        <f ca="1">I166*'Total Trip Tables Sup #1'!I67</f>
        <v>3.7303443262910059</v>
      </c>
      <c r="J67" s="1">
        <f ca="1">J166*'Total Trip Tables Sup #1'!J67</f>
        <v>3.6994274202158395</v>
      </c>
      <c r="K67" s="1">
        <f ca="1">K166*'Total Trip Tables Sup #1'!K67</f>
        <v>3.6608491304735891</v>
      </c>
    </row>
    <row r="68" spans="1:11" x14ac:dyDescent="0.2">
      <c r="A68" t="str">
        <f ca="1">OFFSET(Waikato_Reference,56,2)</f>
        <v>Local Ferry</v>
      </c>
      <c r="B68" s="4">
        <f ca="1">B167*'Total Trip Tables Sup #1'!B68</f>
        <v>0</v>
      </c>
      <c r="C68" s="4">
        <f ca="1">C167*'Total Trip Tables Sup #1'!C68</f>
        <v>0</v>
      </c>
      <c r="D68" s="4">
        <f ca="1">D167*'Total Trip Tables Sup #1'!D68</f>
        <v>0</v>
      </c>
      <c r="E68" s="4">
        <f ca="1">E167*'Total Trip Tables Sup #1'!E68</f>
        <v>0</v>
      </c>
      <c r="F68" s="4">
        <f ca="1">F167*'Total Trip Tables Sup #1'!F68</f>
        <v>0</v>
      </c>
      <c r="G68" s="4">
        <f ca="1">G167*'Total Trip Tables Sup #1'!G68</f>
        <v>0</v>
      </c>
      <c r="H68" s="4">
        <f ca="1">H167*'Total Trip Tables Sup #1'!H68</f>
        <v>0</v>
      </c>
      <c r="I68" s="1">
        <f ca="1">I167*'Total Trip Tables Sup #1'!I68</f>
        <v>0</v>
      </c>
      <c r="J68" s="1">
        <f ca="1">J167*'Total Trip Tables Sup #1'!J68</f>
        <v>0</v>
      </c>
      <c r="K68" s="1">
        <f ca="1">K167*'Total Trip Tables Sup #1'!K68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Trip Tables Sup #1'!B69</f>
        <v>0.49138149730000003</v>
      </c>
      <c r="C69" s="4">
        <f ca="1">C168*'Total Trip Tables Sup #1'!C69</f>
        <v>0.50423812534263512</v>
      </c>
      <c r="D69" s="4">
        <f ca="1">D168*'Total Trip Tables Sup #1'!D69</f>
        <v>0.51621985227799594</v>
      </c>
      <c r="E69" s="4">
        <f ca="1">E168*'Total Trip Tables Sup #1'!E69</f>
        <v>0.51711452792034207</v>
      </c>
      <c r="F69" s="4">
        <f ca="1">F168*'Total Trip Tables Sup #1'!F69</f>
        <v>0.50938827709319168</v>
      </c>
      <c r="G69" s="4">
        <f ca="1">G168*'Total Trip Tables Sup #1'!G69</f>
        <v>0.49489612686263784</v>
      </c>
      <c r="H69" s="4">
        <f ca="1">H168*'Total Trip Tables Sup #1'!H69</f>
        <v>0.47067214827042442</v>
      </c>
      <c r="I69" s="1">
        <f ca="1">I168*'Total Trip Tables Sup #1'!I69</f>
        <v>0.46831813044893794</v>
      </c>
      <c r="J69" s="1">
        <f ca="1">J168*'Total Trip Tables Sup #1'!J69</f>
        <v>0.46472413376496086</v>
      </c>
      <c r="K69" s="1">
        <f ca="1">K168*'Total Trip Tables Sup #1'!K69</f>
        <v>0.46015616681893973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B159*'Total Trip Tables Sup #1'!B71</f>
        <v>23.308571313000002</v>
      </c>
      <c r="C71" s="4">
        <f ca="1">C159*'Total Trip Tables Sup #1'!C71*(1+'Active Mode Assumptions'!C7)</f>
        <v>23.786436437049691</v>
      </c>
      <c r="D71" s="4">
        <f ca="1">D159*'Total Trip Tables Sup #1'!D71*(1+'Active Mode Assumptions'!D7)</f>
        <v>24.231520922849253</v>
      </c>
      <c r="E71" s="4">
        <f ca="1">E159*'Total Trip Tables Sup #1'!E71*(1+'Active Mode Assumptions'!E7)</f>
        <v>24.348300900451925</v>
      </c>
      <c r="F71" s="4">
        <f ca="1">F159*'Total Trip Tables Sup #1'!F71*(1+'Active Mode Assumptions'!F7)</f>
        <v>24.245781980427498</v>
      </c>
      <c r="G71" s="4">
        <f ca="1">G159*'Total Trip Tables Sup #1'!G71*(1+'Active Mode Assumptions'!G7)</f>
        <v>24.079662112972958</v>
      </c>
      <c r="H71" s="4">
        <f ca="1">H159*'Total Trip Tables Sup #1'!H71*(1+'Active Mode Assumptions'!H7)</f>
        <v>23.788515695629531</v>
      </c>
      <c r="I71" s="1">
        <f ca="1">I159*'Total Trip Tables Sup #1'!I71*(1+'Active Mode Assumptions'!I7)</f>
        <v>23.989858431377382</v>
      </c>
      <c r="J71" s="1">
        <f ca="1">J159*'Total Trip Tables Sup #1'!J71*(1+'Active Mode Assumptions'!J7)</f>
        <v>24.133011285546281</v>
      </c>
      <c r="K71" s="1">
        <f ca="1">K159*'Total Trip Tables Sup #1'!K71*(1+'Active Mode Assumptions'!K7)</f>
        <v>24.225667510434537</v>
      </c>
    </row>
    <row r="72" spans="1:11" x14ac:dyDescent="0.2">
      <c r="A72" t="str">
        <f ca="1">OFFSET(Taranaki_Reference,7,2)</f>
        <v>Cyclist</v>
      </c>
      <c r="B72" s="4">
        <f ca="1">B160*'Total Trip Tables Sup #1'!B72</f>
        <v>2.1611397319000001</v>
      </c>
      <c r="C72" s="4">
        <f ca="1">C160*'Total Trip Tables Sup #1'!C72*(1+'Active Mode Assumptions'!C16)</f>
        <v>2.1557127642432437</v>
      </c>
      <c r="D72" s="4">
        <f ca="1">D160*'Total Trip Tables Sup #1'!D72*(1+'Active Mode Assumptions'!D16)</f>
        <v>2.4271359322862458</v>
      </c>
      <c r="E72" s="4">
        <f ca="1">E160*'Total Trip Tables Sup #1'!E72*(1+'Active Mode Assumptions'!E16)</f>
        <v>2.6042331140199653</v>
      </c>
      <c r="F72" s="4">
        <f ca="1">F160*'Total Trip Tables Sup #1'!F72*(1+'Active Mode Assumptions'!F16)</f>
        <v>2.7808971073888089</v>
      </c>
      <c r="G72" s="4">
        <f ca="1">G160*'Total Trip Tables Sup #1'!G72*(1+'Active Mode Assumptions'!G16)</f>
        <v>2.9575292244678137</v>
      </c>
      <c r="H72" s="4">
        <f ca="1">H160*'Total Trip Tables Sup #1'!H72*(1+'Active Mode Assumptions'!H16)</f>
        <v>3.1303587922604796</v>
      </c>
      <c r="I72" s="1">
        <f ca="1">I160*'Total Trip Tables Sup #1'!I72*(1+'Active Mode Assumptions'!I16)</f>
        <v>3.1777503666562654</v>
      </c>
      <c r="J72" s="1">
        <f ca="1">J160*'Total Trip Tables Sup #1'!J72*(1+'Active Mode Assumptions'!J16)</f>
        <v>3.2274243178944539</v>
      </c>
      <c r="K72" s="1">
        <f ca="1">K160*'Total Trip Tables Sup #1'!K72*(1+'Active Mode Assumptions'!K16)</f>
        <v>3.2717604414370247</v>
      </c>
    </row>
    <row r="73" spans="1:11" x14ac:dyDescent="0.2">
      <c r="A73" t="str">
        <f ca="1">OFFSET(Taranaki_Reference,14,2)</f>
        <v>Light Vehicle Driver</v>
      </c>
      <c r="B73" s="4">
        <f ca="1">B161*'Total Trip Tables Sup #1'!B73</f>
        <v>90.801950900999998</v>
      </c>
      <c r="C73" s="4">
        <f ca="1">C161*'Total Trip Tables Sup #1'!C73-(C71*'Active Mode Assumptions'!C7*'Active Mode Assumptions'!C14/(1+'Active Mode Assumptions'!C7))-(C72*'Active Mode Assumptions'!C16*'Active Mode Assumptions'!C23/(1+'Active Mode Assumptions'!C16))</f>
        <v>95.511054467058472</v>
      </c>
      <c r="D73" s="4">
        <f ca="1">D161*'Total Trip Tables Sup #1'!D73-(D71*'Active Mode Assumptions'!D7*'Active Mode Assumptions'!D14/(1+'Active Mode Assumptions'!D7))-(D72*'Active Mode Assumptions'!D16*'Active Mode Assumptions'!D23/(1+'Active Mode Assumptions'!D16))</f>
        <v>96.777480244927077</v>
      </c>
      <c r="E73" s="4">
        <f ca="1">E161*'Total Trip Tables Sup #1'!E73-(E71*'Active Mode Assumptions'!E7*'Active Mode Assumptions'!E14/(1+'Active Mode Assumptions'!E7))-(E72*'Active Mode Assumptions'!E16*'Active Mode Assumptions'!E23/(1+'Active Mode Assumptions'!E16))</f>
        <v>98.273000160008934</v>
      </c>
      <c r="F73" s="4">
        <f ca="1">F161*'Total Trip Tables Sup #1'!F73-(F71*'Active Mode Assumptions'!F7*'Active Mode Assumptions'!F14/(1+'Active Mode Assumptions'!F7))-(F72*'Active Mode Assumptions'!F16*'Active Mode Assumptions'!F23/(1+'Active Mode Assumptions'!F16))</f>
        <v>98.815320958491029</v>
      </c>
      <c r="G73" s="4">
        <f ca="1">G161*'Total Trip Tables Sup #1'!G73-(G71*'Active Mode Assumptions'!G7*'Active Mode Assumptions'!G14/(1+'Active Mode Assumptions'!G7))-(G72*'Active Mode Assumptions'!G16*'Active Mode Assumptions'!G23/(1+'Active Mode Assumptions'!G16))</f>
        <v>98.350996862317331</v>
      </c>
      <c r="H73" s="4">
        <f ca="1">H161*'Total Trip Tables Sup #1'!H73-(H71*'Active Mode Assumptions'!H7*'Active Mode Assumptions'!H14/(1+'Active Mode Assumptions'!H7))-(H72*'Active Mode Assumptions'!H16*'Active Mode Assumptions'!H23/(1+'Active Mode Assumptions'!H16))</f>
        <v>97.219783400422344</v>
      </c>
      <c r="I73" s="1">
        <f ca="1">I161*'Total Trip Tables Sup #1'!I73-(I71*'Active Mode Assumptions'!I7*'Active Mode Assumptions'!I14/(1+'Active Mode Assumptions'!I7))-(I72*'Active Mode Assumptions'!I16*'Active Mode Assumptions'!I23/(1+'Active Mode Assumptions'!I16))</f>
        <v>97.935691803114182</v>
      </c>
      <c r="J73" s="1">
        <f ca="1">J161*'Total Trip Tables Sup #1'!J73-(J71*'Active Mode Assumptions'!J7*'Active Mode Assumptions'!J14/(1+'Active Mode Assumptions'!J7))-(J72*'Active Mode Assumptions'!J16*'Active Mode Assumptions'!J23/(1+'Active Mode Assumptions'!J16))</f>
        <v>98.368071211604303</v>
      </c>
      <c r="K73" s="1">
        <f ca="1">K161*'Total Trip Tables Sup #1'!K73-(K71*'Active Mode Assumptions'!K7*'Active Mode Assumptions'!K14/(1+'Active Mode Assumptions'!K7))-(K72*'Active Mode Assumptions'!K16*'Active Mode Assumptions'!K23/(1+'Active Mode Assumptions'!K16))</f>
        <v>98.590173536439778</v>
      </c>
    </row>
    <row r="74" spans="1:11" x14ac:dyDescent="0.2">
      <c r="A74" t="str">
        <f ca="1">OFFSET(Taranaki_Reference,21,2)</f>
        <v>Light Vehicle Passenger</v>
      </c>
      <c r="B74" s="4">
        <f ca="1">B162*'Total Trip Tables Sup #1'!B74</f>
        <v>45.484067730000007</v>
      </c>
      <c r="C74" s="4">
        <f ca="1">C162*'Total Trip Tables Sup #1'!C74-(C71*'Active Mode Assumptions'!C7*'Active Mode Assumptions'!C15/(1+'Active Mode Assumptions'!C7))-(C72*'Active Mode Assumptions'!C16*'Active Mode Assumptions'!C24/(1+'Active Mode Assumptions'!C16))</f>
        <v>45.531249821384442</v>
      </c>
      <c r="D74" s="4">
        <f ca="1">D162*'Total Trip Tables Sup #1'!D74-(D71*'Active Mode Assumptions'!D7*'Active Mode Assumptions'!D15/(1+'Active Mode Assumptions'!D7))-(D72*'Active Mode Assumptions'!D16*'Active Mode Assumptions'!D24/(1+'Active Mode Assumptions'!D16))</f>
        <v>45.184254225552152</v>
      </c>
      <c r="E74" s="4">
        <f ca="1">E162*'Total Trip Tables Sup #1'!E74-(E71*'Active Mode Assumptions'!E7*'Active Mode Assumptions'!E15/(1+'Active Mode Assumptions'!E7))-(E72*'Active Mode Assumptions'!E16*'Active Mode Assumptions'!E24/(1+'Active Mode Assumptions'!E16))</f>
        <v>44.910789827566802</v>
      </c>
      <c r="F74" s="4">
        <f ca="1">F162*'Total Trip Tables Sup #1'!F74-(F71*'Active Mode Assumptions'!F7*'Active Mode Assumptions'!F15/(1+'Active Mode Assumptions'!F7))-(F72*'Active Mode Assumptions'!F16*'Active Mode Assumptions'!F24/(1+'Active Mode Assumptions'!F16))</f>
        <v>44.429975953945409</v>
      </c>
      <c r="G74" s="4">
        <f ca="1">G162*'Total Trip Tables Sup #1'!G74-(G71*'Active Mode Assumptions'!G7*'Active Mode Assumptions'!G15/(1+'Active Mode Assumptions'!G7))-(G72*'Active Mode Assumptions'!G16*'Active Mode Assumptions'!G24/(1+'Active Mode Assumptions'!G16))</f>
        <v>43.731237277857048</v>
      </c>
      <c r="H74" s="4">
        <f ca="1">H162*'Total Trip Tables Sup #1'!H74-(H71*'Active Mode Assumptions'!H7*'Active Mode Assumptions'!H15/(1+'Active Mode Assumptions'!H7))-(H72*'Active Mode Assumptions'!H16*'Active Mode Assumptions'!H24/(1+'Active Mode Assumptions'!H16))</f>
        <v>42.855320360002665</v>
      </c>
      <c r="I74" s="1">
        <f ca="1">I162*'Total Trip Tables Sup #1'!I74-(I71*'Active Mode Assumptions'!I7*'Active Mode Assumptions'!I15/(1+'Active Mode Assumptions'!I7))-(I72*'Active Mode Assumptions'!I16*'Active Mode Assumptions'!I24/(1+'Active Mode Assumptions'!I16))</f>
        <v>43.16373534245929</v>
      </c>
      <c r="J74" s="1">
        <f ca="1">J162*'Total Trip Tables Sup #1'!J74-(J71*'Active Mode Assumptions'!J7*'Active Mode Assumptions'!J15/(1+'Active Mode Assumptions'!J7))-(J72*'Active Mode Assumptions'!J16*'Active Mode Assumptions'!J24/(1+'Active Mode Assumptions'!J16))</f>
        <v>43.342330744268949</v>
      </c>
      <c r="K74" s="1">
        <f ca="1">K162*'Total Trip Tables Sup #1'!K74-(K71*'Active Mode Assumptions'!K7*'Active Mode Assumptions'!K15/(1+'Active Mode Assumptions'!K7))-(K72*'Active Mode Assumptions'!K16*'Active Mode Assumptions'!K24/(1+'Active Mode Assumptions'!K16))</f>
        <v>43.427744742227738</v>
      </c>
    </row>
    <row r="75" spans="1:11" x14ac:dyDescent="0.2">
      <c r="A75" t="str">
        <f ca="1">OFFSET(Taranaki_Reference,28,2)</f>
        <v>Taxi/Vehicle Share</v>
      </c>
      <c r="B75" s="4">
        <f ca="1">B163*'Total Trip Tables Sup #1'!B75</f>
        <v>0.56194422089999996</v>
      </c>
      <c r="C75" s="4">
        <f ca="1">C163*'Total Trip Tables Sup #1'!C75</f>
        <v>0.62955595948241205</v>
      </c>
      <c r="D75" s="4">
        <f ca="1">D163*'Total Trip Tables Sup #1'!D75</f>
        <v>0.67968034991432291</v>
      </c>
      <c r="E75" s="4">
        <f ca="1">E163*'Total Trip Tables Sup #1'!E75</f>
        <v>0.71371760269519269</v>
      </c>
      <c r="F75" s="4">
        <f ca="1">F163*'Total Trip Tables Sup #1'!F75</f>
        <v>0.73559427358573015</v>
      </c>
      <c r="G75" s="4">
        <f ca="1">G163*'Total Trip Tables Sup #1'!G75</f>
        <v>0.74599972832716266</v>
      </c>
      <c r="H75" s="4">
        <f ca="1">H163*'Total Trip Tables Sup #1'!H75</f>
        <v>0.74999212653246028</v>
      </c>
      <c r="I75" s="1">
        <f ca="1">I163*'Total Trip Tables Sup #1'!I75</f>
        <v>0.75661011977091153</v>
      </c>
      <c r="J75" s="1">
        <f ca="1">J163*'Total Trip Tables Sup #1'!J75</f>
        <v>0.76137380720619019</v>
      </c>
      <c r="K75" s="1">
        <f ca="1">K163*'Total Trip Tables Sup #1'!K75</f>
        <v>0.7645188038339541</v>
      </c>
    </row>
    <row r="76" spans="1:11" x14ac:dyDescent="0.2">
      <c r="A76" t="str">
        <f ca="1">OFFSET(Taranaki_Reference,35,2)</f>
        <v>Motorcyclist</v>
      </c>
      <c r="B76" s="4">
        <f ca="1">B164*'Total Trip Tables Sup #1'!B76</f>
        <v>1.091812341</v>
      </c>
      <c r="C76" s="4">
        <f ca="1">C164*'Total Trip Tables Sup #1'!C76</f>
        <v>1.1064120383989606</v>
      </c>
      <c r="D76" s="4">
        <f ca="1">D164*'Total Trip Tables Sup #1'!D76</f>
        <v>1.1079551351099921</v>
      </c>
      <c r="E76" s="4">
        <f ca="1">E164*'Total Trip Tables Sup #1'!E76</f>
        <v>1.0961523891654952</v>
      </c>
      <c r="F76" s="4">
        <f ca="1">F164*'Total Trip Tables Sup #1'!F76</f>
        <v>1.0706896085097548</v>
      </c>
      <c r="G76" s="4">
        <f ca="1">G164*'Total Trip Tables Sup #1'!G76</f>
        <v>1.0236701292205796</v>
      </c>
      <c r="H76" s="4">
        <f ca="1">H164*'Total Trip Tables Sup #1'!H76</f>
        <v>0.97099681831543128</v>
      </c>
      <c r="I76" s="1">
        <f ca="1">I164*'Total Trip Tables Sup #1'!I76</f>
        <v>0.98437866897604775</v>
      </c>
      <c r="J76" s="1">
        <f ca="1">J164*'Total Trip Tables Sup #1'!J76</f>
        <v>0.99650749118353465</v>
      </c>
      <c r="K76" s="1">
        <f ca="1">K164*'Total Trip Tables Sup #1'!K76</f>
        <v>1.0066063770044915</v>
      </c>
    </row>
    <row r="77" spans="1:11" x14ac:dyDescent="0.2">
      <c r="A77" t="str">
        <f ca="1">OFFSET(Taranaki_Reference,42,2)</f>
        <v>Local Train</v>
      </c>
      <c r="B77" s="4">
        <f ca="1">B165*'Total Trip Tables Sup #1'!B77</f>
        <v>0</v>
      </c>
      <c r="C77" s="4">
        <f ca="1">C165*'Total Trip Tables Sup #1'!C77</f>
        <v>0</v>
      </c>
      <c r="D77" s="4">
        <f ca="1">D165*'Total Trip Tables Sup #1'!D77</f>
        <v>0</v>
      </c>
      <c r="E77" s="4">
        <f ca="1">E165*'Total Trip Tables Sup #1'!E77</f>
        <v>0</v>
      </c>
      <c r="F77" s="4">
        <f ca="1">F165*'Total Trip Tables Sup #1'!F77</f>
        <v>0</v>
      </c>
      <c r="G77" s="4">
        <f ca="1">G165*'Total Trip Tables Sup #1'!G77</f>
        <v>0</v>
      </c>
      <c r="H77" s="4">
        <f ca="1">H165*'Total Trip Tables Sup #1'!H77</f>
        <v>0</v>
      </c>
      <c r="I77" s="1">
        <f ca="1">I165*'Total Trip Tables Sup #1'!I77</f>
        <v>0</v>
      </c>
      <c r="J77" s="1">
        <f ca="1">J165*'Total Trip Tables Sup #1'!J77</f>
        <v>0</v>
      </c>
      <c r="K77" s="1">
        <f ca="1">K165*'Total Trip Tables Sup #1'!K77</f>
        <v>0</v>
      </c>
    </row>
    <row r="78" spans="1:11" x14ac:dyDescent="0.2">
      <c r="A78" t="str">
        <f ca="1">OFFSET(Taranaki_Reference,49,2)</f>
        <v>Local Bus</v>
      </c>
      <c r="B78" s="4">
        <f ca="1">B166*'Total Trip Tables Sup #1'!B78</f>
        <v>1.2787514622</v>
      </c>
      <c r="C78" s="4">
        <f ca="1">C166*'Total Trip Tables Sup #1'!C78</f>
        <v>1.1855258451205593</v>
      </c>
      <c r="D78" s="4">
        <f ca="1">D166*'Total Trip Tables Sup #1'!D78</f>
        <v>1.1844690086556691</v>
      </c>
      <c r="E78" s="4">
        <f ca="1">E166*'Total Trip Tables Sup #1'!E78</f>
        <v>1.1707529493355679</v>
      </c>
      <c r="F78" s="4">
        <f ca="1">F166*'Total Trip Tables Sup #1'!F78</f>
        <v>1.151287113564166</v>
      </c>
      <c r="G78" s="4">
        <f ca="1">G166*'Total Trip Tables Sup #1'!G78</f>
        <v>1.1413217217679006</v>
      </c>
      <c r="H78" s="4">
        <f ca="1">H166*'Total Trip Tables Sup #1'!H78</f>
        <v>1.1297086288670393</v>
      </c>
      <c r="I78" s="1">
        <f ca="1">I166*'Total Trip Tables Sup #1'!I78</f>
        <v>1.1388776742001987</v>
      </c>
      <c r="J78" s="1">
        <f ca="1">J166*'Total Trip Tables Sup #1'!J78</f>
        <v>1.1447841204712133</v>
      </c>
      <c r="K78" s="1">
        <f ca="1">K166*'Total Trip Tables Sup #1'!K78</f>
        <v>1.1482378097952781</v>
      </c>
    </row>
    <row r="79" spans="1:11" x14ac:dyDescent="0.2">
      <c r="A79" t="str">
        <f ca="1">OFFSET(Waikato_Reference,56,2)</f>
        <v>Local Ferry</v>
      </c>
      <c r="B79" s="4">
        <f ca="1">B167*'Total Trip Tables Sup #1'!B79</f>
        <v>0</v>
      </c>
      <c r="C79" s="4">
        <f ca="1">C167*'Total Trip Tables Sup #1'!C79</f>
        <v>0</v>
      </c>
      <c r="D79" s="4">
        <f ca="1">D167*'Total Trip Tables Sup #1'!D79</f>
        <v>0</v>
      </c>
      <c r="E79" s="4">
        <f ca="1">E167*'Total Trip Tables Sup #1'!E79</f>
        <v>0</v>
      </c>
      <c r="F79" s="4">
        <f ca="1">F167*'Total Trip Tables Sup #1'!F79</f>
        <v>0</v>
      </c>
      <c r="G79" s="4">
        <f ca="1">G167*'Total Trip Tables Sup #1'!G79</f>
        <v>0</v>
      </c>
      <c r="H79" s="4">
        <f ca="1">H167*'Total Trip Tables Sup #1'!H79</f>
        <v>0</v>
      </c>
      <c r="I79" s="1">
        <f ca="1">I167*'Total Trip Tables Sup #1'!I79</f>
        <v>0</v>
      </c>
      <c r="J79" s="1">
        <f ca="1">J167*'Total Trip Tables Sup #1'!J79</f>
        <v>0</v>
      </c>
      <c r="K79" s="1">
        <f ca="1">K167*'Total Trip Tables Sup #1'!K79</f>
        <v>0</v>
      </c>
    </row>
    <row r="80" spans="1:11" x14ac:dyDescent="0.2">
      <c r="A80" t="str">
        <f ca="1">OFFSET(Taranaki_Reference,56,2)</f>
        <v>Other Household Travel</v>
      </c>
      <c r="B80" s="4">
        <f ca="1">B168*'Total Trip Tables Sup #1'!B80</f>
        <v>0.17475937220000001</v>
      </c>
      <c r="C80" s="4">
        <f ca="1">C168*'Total Trip Tables Sup #1'!C80</f>
        <v>0.18102530674998546</v>
      </c>
      <c r="D80" s="4">
        <f ca="1">D168*'Total Trip Tables Sup #1'!D80</f>
        <v>0.18685975254625148</v>
      </c>
      <c r="E80" s="4">
        <f ca="1">E168*'Total Trip Tables Sup #1'!E80</f>
        <v>0.18894591989806853</v>
      </c>
      <c r="F80" s="4">
        <f ca="1">F168*'Total Trip Tables Sup #1'!F80</f>
        <v>0.18809466239188399</v>
      </c>
      <c r="G80" s="4">
        <f ca="1">G168*'Total Trip Tables Sup #1'!G80</f>
        <v>0.18495813513791967</v>
      </c>
      <c r="H80" s="4">
        <f ca="1">H168*'Total Trip Tables Sup #1'!H80</f>
        <v>0.17829485446090457</v>
      </c>
      <c r="I80" s="1">
        <f ca="1">I168*'Total Trip Tables Sup #1'!I80</f>
        <v>0.17981346416853694</v>
      </c>
      <c r="J80" s="1">
        <f ca="1">J168*'Total Trip Tables Sup #1'!J80</f>
        <v>0.18085786092269215</v>
      </c>
      <c r="K80" s="1">
        <f ca="1">K168*'Total Trip Tables Sup #1'!K80</f>
        <v>0.18151325163726989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B159*'Total Trip Tables Sup #1'!B82</f>
        <v>39.544031846000003</v>
      </c>
      <c r="C82" s="4">
        <f ca="1">C159*'Total Trip Tables Sup #1'!C82*(1+'Active Mode Assumptions'!C7)</f>
        <v>40.039486279960073</v>
      </c>
      <c r="D82" s="4">
        <f ca="1">D159*'Total Trip Tables Sup #1'!D82*(1+'Active Mode Assumptions'!D7)</f>
        <v>40.332656941890754</v>
      </c>
      <c r="E82" s="4">
        <f ca="1">E159*'Total Trip Tables Sup #1'!E82*(1+'Active Mode Assumptions'!E7)</f>
        <v>40.027266432593926</v>
      </c>
      <c r="F82" s="4">
        <f ca="1">F159*'Total Trip Tables Sup #1'!F82*(1+'Active Mode Assumptions'!F7)</f>
        <v>39.362804458073782</v>
      </c>
      <c r="G82" s="4">
        <f ca="1">G159*'Total Trip Tables Sup #1'!G82*(1+'Active Mode Assumptions'!G7)</f>
        <v>38.564418799616682</v>
      </c>
      <c r="H82" s="4">
        <f ca="1">H159*'Total Trip Tables Sup #1'!H82*(1+'Active Mode Assumptions'!H7)</f>
        <v>37.537559658004255</v>
      </c>
      <c r="I82" s="1">
        <f ca="1">I159*'Total Trip Tables Sup #1'!I82*(1+'Active Mode Assumptions'!I7)</f>
        <v>37.298267950203993</v>
      </c>
      <c r="J82" s="1">
        <f ca="1">J159*'Total Trip Tables Sup #1'!J82*(1+'Active Mode Assumptions'!J7)</f>
        <v>36.968751524357458</v>
      </c>
      <c r="K82" s="1">
        <f ca="1">K159*'Total Trip Tables Sup #1'!K82*(1+'Active Mode Assumptions'!K7)</f>
        <v>36.564640627997697</v>
      </c>
    </row>
    <row r="83" spans="1:11" x14ac:dyDescent="0.2">
      <c r="A83" t="str">
        <f ca="1">OFFSET(Manawatu_Reference,7,2)</f>
        <v>Cyclist</v>
      </c>
      <c r="B83" s="4">
        <f ca="1">B160*'Total Trip Tables Sup #1'!B83</f>
        <v>4.6745036201000003</v>
      </c>
      <c r="C83" s="4">
        <f ca="1">C160*'Total Trip Tables Sup #1'!C83*(1+'Active Mode Assumptions'!C16)</f>
        <v>4.6263380813340129</v>
      </c>
      <c r="D83" s="4">
        <f ca="1">D160*'Total Trip Tables Sup #1'!D83*(1+'Active Mode Assumptions'!D16)</f>
        <v>5.1505975634544114</v>
      </c>
      <c r="E83" s="4">
        <f ca="1">E160*'Total Trip Tables Sup #1'!E83*(1+'Active Mode Assumptions'!E16)</f>
        <v>5.4582633869676496</v>
      </c>
      <c r="F83" s="4">
        <f ca="1">F160*'Total Trip Tables Sup #1'!F83*(1+'Active Mode Assumptions'!F16)</f>
        <v>5.7560176561587104</v>
      </c>
      <c r="G83" s="4">
        <f ca="1">G160*'Total Trip Tables Sup #1'!G83*(1+'Active Mode Assumptions'!G16)</f>
        <v>6.0388300382297189</v>
      </c>
      <c r="H83" s="4">
        <f ca="1">H160*'Total Trip Tables Sup #1'!H83*(1+'Active Mode Assumptions'!H16)</f>
        <v>6.2976738985476137</v>
      </c>
      <c r="I83" s="1">
        <f ca="1">I160*'Total Trip Tables Sup #1'!I83*(1+'Active Mode Assumptions'!I16)</f>
        <v>6.2989493604307327</v>
      </c>
      <c r="J83" s="1">
        <f ca="1">J160*'Total Trip Tables Sup #1'!J83*(1+'Active Mode Assumptions'!J16)</f>
        <v>6.3032813884770622</v>
      </c>
      <c r="K83" s="1">
        <f ca="1">K160*'Total Trip Tables Sup #1'!K83*(1+'Active Mode Assumptions'!K16)</f>
        <v>6.2958506044839986</v>
      </c>
    </row>
    <row r="84" spans="1:11" x14ac:dyDescent="0.2">
      <c r="A84" t="str">
        <f ca="1">OFFSET(Manawatu_Reference,14,2)</f>
        <v>Light Vehicle Driver</v>
      </c>
      <c r="B84" s="4">
        <f ca="1">B161*'Total Trip Tables Sup #1'!B84</f>
        <v>178.69640117</v>
      </c>
      <c r="C84" s="4">
        <f ca="1">C161*'Total Trip Tables Sup #1'!C84-(C82*'Active Mode Assumptions'!C7*'Active Mode Assumptions'!C14/(1+'Active Mode Assumptions'!C7))-(C83*'Active Mode Assumptions'!C16*'Active Mode Assumptions'!C23/(1+'Active Mode Assumptions'!C16))</f>
        <v>186.49538416410687</v>
      </c>
      <c r="D84" s="4">
        <f ca="1">D161*'Total Trip Tables Sup #1'!D84-(D82*'Active Mode Assumptions'!D7*'Active Mode Assumptions'!D14/(1+'Active Mode Assumptions'!D7))-(D83*'Active Mode Assumptions'!D16*'Active Mode Assumptions'!D23/(1+'Active Mode Assumptions'!D16))</f>
        <v>186.87654303510325</v>
      </c>
      <c r="E84" s="4">
        <f ca="1">E161*'Total Trip Tables Sup #1'!E84-(E82*'Active Mode Assumptions'!E7*'Active Mode Assumptions'!E14/(1+'Active Mode Assumptions'!E7))-(E83*'Active Mode Assumptions'!E16*'Active Mode Assumptions'!E23/(1+'Active Mode Assumptions'!E16))</f>
        <v>187.44419570753752</v>
      </c>
      <c r="F84" s="4">
        <f ca="1">F161*'Total Trip Tables Sup #1'!F84-(F82*'Active Mode Assumptions'!F7*'Active Mode Assumptions'!F14/(1+'Active Mode Assumptions'!F7))-(F83*'Active Mode Assumptions'!F16*'Active Mode Assumptions'!F23/(1+'Active Mode Assumptions'!F16))</f>
        <v>186.15193252798173</v>
      </c>
      <c r="G84" s="4">
        <f ca="1">G161*'Total Trip Tables Sup #1'!G84-(G82*'Active Mode Assumptions'!G7*'Active Mode Assumptions'!G14/(1+'Active Mode Assumptions'!G7))-(G83*'Active Mode Assumptions'!G16*'Active Mode Assumptions'!G23/(1+'Active Mode Assumptions'!G16))</f>
        <v>182.78881575049482</v>
      </c>
      <c r="H84" s="4">
        <f ca="1">H161*'Total Trip Tables Sup #1'!H84-(H82*'Active Mode Assumptions'!H7*'Active Mode Assumptions'!H14/(1+'Active Mode Assumptions'!H7))-(H83*'Active Mode Assumptions'!H16*'Active Mode Assumptions'!H23/(1+'Active Mode Assumptions'!H16))</f>
        <v>178.04355760874867</v>
      </c>
      <c r="I84" s="1">
        <f ca="1">I161*'Total Trip Tables Sup #1'!I84-(I82*'Active Mode Assumptions'!I7*'Active Mode Assumptions'!I14/(1+'Active Mode Assumptions'!I7))-(I83*'Active Mode Assumptions'!I16*'Active Mode Assumptions'!I23/(1+'Active Mode Assumptions'!I16))</f>
        <v>176.71538916647353</v>
      </c>
      <c r="J84" s="1">
        <f ca="1">J161*'Total Trip Tables Sup #1'!J84-(J82*'Active Mode Assumptions'!J7*'Active Mode Assumptions'!J14/(1+'Active Mode Assumptions'!J7))-(J83*'Active Mode Assumptions'!J16*'Active Mode Assumptions'!J23/(1+'Active Mode Assumptions'!J16))</f>
        <v>174.88358077683017</v>
      </c>
      <c r="K84" s="1">
        <f ca="1">K161*'Total Trip Tables Sup #1'!K84-(K82*'Active Mode Assumptions'!K7*'Active Mode Assumptions'!K14/(1+'Active Mode Assumptions'!K7))-(K83*'Active Mode Assumptions'!K16*'Active Mode Assumptions'!K23/(1+'Active Mode Assumptions'!K16))</f>
        <v>172.6990627871169</v>
      </c>
    </row>
    <row r="85" spans="1:11" x14ac:dyDescent="0.2">
      <c r="A85" t="str">
        <f ca="1">OFFSET(Manawatu_Reference,21,2)</f>
        <v>Light Vehicle Passenger</v>
      </c>
      <c r="B85" s="4">
        <f ca="1">B162*'Total Trip Tables Sup #1'!B85</f>
        <v>84.046137803000008</v>
      </c>
      <c r="C85" s="4">
        <f ca="1">C162*'Total Trip Tables Sup #1'!C85-(C82*'Active Mode Assumptions'!C7*'Active Mode Assumptions'!C15/(1+'Active Mode Assumptions'!C7))-(C83*'Active Mode Assumptions'!C16*'Active Mode Assumptions'!C24/(1+'Active Mode Assumptions'!C16))</f>
        <v>83.476043366790364</v>
      </c>
      <c r="D85" s="4">
        <f ca="1">D162*'Total Trip Tables Sup #1'!D85-(D82*'Active Mode Assumptions'!D7*'Active Mode Assumptions'!D15/(1+'Active Mode Assumptions'!D7))-(D83*'Active Mode Assumptions'!D16*'Active Mode Assumptions'!D24/(1+'Active Mode Assumptions'!D16))</f>
        <v>81.914253882742386</v>
      </c>
      <c r="E85" s="4">
        <f ca="1">E162*'Total Trip Tables Sup #1'!E85-(E82*'Active Mode Assumptions'!E7*'Active Mode Assumptions'!E15/(1+'Active Mode Assumptions'!E7))-(E83*'Active Mode Assumptions'!E16*'Active Mode Assumptions'!E24/(1+'Active Mode Assumptions'!E16))</f>
        <v>80.415080682284454</v>
      </c>
      <c r="F85" s="4">
        <f ca="1">F162*'Total Trip Tables Sup #1'!F85-(F82*'Active Mode Assumptions'!F7*'Active Mode Assumptions'!F15/(1+'Active Mode Assumptions'!F7))-(F83*'Active Mode Assumptions'!F16*'Active Mode Assumptions'!F24/(1+'Active Mode Assumptions'!F16))</f>
        <v>78.564465075850691</v>
      </c>
      <c r="G85" s="4">
        <f ca="1">G162*'Total Trip Tables Sup #1'!G85-(G82*'Active Mode Assumptions'!G7*'Active Mode Assumptions'!G15/(1+'Active Mode Assumptions'!G7))-(G83*'Active Mode Assumptions'!G16*'Active Mode Assumptions'!G24/(1+'Active Mode Assumptions'!G16))</f>
        <v>76.282697096978879</v>
      </c>
      <c r="H85" s="4">
        <f ca="1">H162*'Total Trip Tables Sup #1'!H85-(H82*'Active Mode Assumptions'!H7*'Active Mode Assumptions'!H15/(1+'Active Mode Assumptions'!H7))-(H83*'Active Mode Assumptions'!H16*'Active Mode Assumptions'!H24/(1+'Active Mode Assumptions'!H16))</f>
        <v>73.653644697933629</v>
      </c>
      <c r="I85" s="1">
        <f ca="1">I162*'Total Trip Tables Sup #1'!I85-(I82*'Active Mode Assumptions'!I7*'Active Mode Assumptions'!I15/(1+'Active Mode Assumptions'!I7))-(I83*'Active Mode Assumptions'!I16*'Active Mode Assumptions'!I24/(1+'Active Mode Assumptions'!I16))</f>
        <v>73.091658231111353</v>
      </c>
      <c r="J85" s="1">
        <f ca="1">J162*'Total Trip Tables Sup #1'!J85-(J82*'Active Mode Assumptions'!J7*'Active Mode Assumptions'!J15/(1+'Active Mode Assumptions'!J7))-(J83*'Active Mode Assumptions'!J16*'Active Mode Assumptions'!J24/(1+'Active Mode Assumptions'!J16))</f>
        <v>72.313429841824529</v>
      </c>
      <c r="K85" s="1">
        <f ca="1">K162*'Total Trip Tables Sup #1'!K85-(K82*'Active Mode Assumptions'!K7*'Active Mode Assumptions'!K15/(1+'Active Mode Assumptions'!K7))-(K83*'Active Mode Assumptions'!K16*'Active Mode Assumptions'!K24/(1+'Active Mode Assumptions'!K16))</f>
        <v>71.389066839435742</v>
      </c>
    </row>
    <row r="86" spans="1:11" x14ac:dyDescent="0.2">
      <c r="A86" t="str">
        <f ca="1">OFFSET(Manawatu_Reference,28,2)</f>
        <v>Taxi/Vehicle Share</v>
      </c>
      <c r="B86" s="4">
        <f ca="1">B163*'Total Trip Tables Sup #1'!B86</f>
        <v>0.99874441920000001</v>
      </c>
      <c r="C86" s="4">
        <f ca="1">C163*'Total Trip Tables Sup #1'!C86</f>
        <v>1.1101695636819526</v>
      </c>
      <c r="D86" s="4">
        <f ca="1">D163*'Total Trip Tables Sup #1'!D86</f>
        <v>1.1851593204065018</v>
      </c>
      <c r="E86" s="4">
        <f ca="1">E163*'Total Trip Tables Sup #1'!E86</f>
        <v>1.2291631832085583</v>
      </c>
      <c r="F86" s="4">
        <f ca="1">F163*'Total Trip Tables Sup #1'!F86</f>
        <v>1.2510770012278993</v>
      </c>
      <c r="G86" s="4">
        <f ca="1">G163*'Total Trip Tables Sup #1'!G86</f>
        <v>1.2516155059560579</v>
      </c>
      <c r="H86" s="4">
        <f ca="1">H163*'Total Trip Tables Sup #1'!H86</f>
        <v>1.2397989336567412</v>
      </c>
      <c r="I86" s="1">
        <f ca="1">I163*'Total Trip Tables Sup #1'!I86</f>
        <v>1.2323355834329075</v>
      </c>
      <c r="J86" s="1">
        <f ca="1">J163*'Total Trip Tables Sup #1'!J86</f>
        <v>1.2218476671211655</v>
      </c>
      <c r="K86" s="1">
        <f ca="1">K163*'Total Trip Tables Sup #1'!K86</f>
        <v>1.2088421433718362</v>
      </c>
    </row>
    <row r="87" spans="1:11" x14ac:dyDescent="0.2">
      <c r="A87" t="str">
        <f ca="1">OFFSET(Manawatu_Reference,35,2)</f>
        <v>Motorcyclist</v>
      </c>
      <c r="B87" s="4">
        <f ca="1">B164*'Total Trip Tables Sup #1'!B87</f>
        <v>0.79000583589999995</v>
      </c>
      <c r="C87" s="4">
        <f ca="1">C164*'Total Trip Tables Sup #1'!C87</f>
        <v>0.79431545725365438</v>
      </c>
      <c r="D87" s="4">
        <f ca="1">D164*'Total Trip Tables Sup #1'!D87</f>
        <v>0.78653008811818126</v>
      </c>
      <c r="E87" s="4">
        <f ca="1">E164*'Total Trip Tables Sup #1'!E87</f>
        <v>0.76855546388711571</v>
      </c>
      <c r="F87" s="4">
        <f ca="1">F164*'Total Trip Tables Sup #1'!F87</f>
        <v>0.7413621895704916</v>
      </c>
      <c r="G87" s="4">
        <f ca="1">G164*'Total Trip Tables Sup #1'!G87</f>
        <v>0.69921935353248943</v>
      </c>
      <c r="H87" s="4">
        <f ca="1">H164*'Total Trip Tables Sup #1'!H87</f>
        <v>0.65348181321845178</v>
      </c>
      <c r="I87" s="1">
        <f ca="1">I164*'Total Trip Tables Sup #1'!I87</f>
        <v>0.65273993140406916</v>
      </c>
      <c r="J87" s="1">
        <f ca="1">J164*'Total Trip Tables Sup #1'!J87</f>
        <v>0.65105974522211729</v>
      </c>
      <c r="K87" s="1">
        <f ca="1">K164*'Total Trip Tables Sup #1'!K87</f>
        <v>0.6479809559726093</v>
      </c>
    </row>
    <row r="88" spans="1:11" x14ac:dyDescent="0.2">
      <c r="A88" t="str">
        <f ca="1">OFFSET(Taranaki_Reference,42,2)</f>
        <v>Local Train</v>
      </c>
      <c r="B88" s="4">
        <f ca="1">B165*'Total Trip Tables Sup #1'!B88</f>
        <v>0</v>
      </c>
      <c r="C88" s="4">
        <f ca="1">C165*'Total Trip Tables Sup #1'!C88</f>
        <v>0</v>
      </c>
      <c r="D88" s="4">
        <f ca="1">D165*'Total Trip Tables Sup #1'!D88</f>
        <v>0</v>
      </c>
      <c r="E88" s="4">
        <f ca="1">E165*'Total Trip Tables Sup #1'!E88</f>
        <v>0</v>
      </c>
      <c r="F88" s="4">
        <f ca="1">F165*'Total Trip Tables Sup #1'!F88</f>
        <v>0</v>
      </c>
      <c r="G88" s="4">
        <f ca="1">G165*'Total Trip Tables Sup #1'!G88</f>
        <v>0</v>
      </c>
      <c r="H88" s="4">
        <f ca="1">H165*'Total Trip Tables Sup #1'!H88</f>
        <v>0</v>
      </c>
      <c r="I88" s="1">
        <f ca="1">I165*'Total Trip Tables Sup #1'!I88</f>
        <v>0</v>
      </c>
      <c r="J88" s="1">
        <f ca="1">J165*'Total Trip Tables Sup #1'!J88</f>
        <v>0</v>
      </c>
      <c r="K88" s="1">
        <f ca="1">K165*'Total Trip Tables Sup #1'!K88</f>
        <v>0</v>
      </c>
    </row>
    <row r="89" spans="1:11" x14ac:dyDescent="0.2">
      <c r="A89" t="str">
        <f ca="1">OFFSET(Manawatu_Reference,42,2)</f>
        <v>Local Bus</v>
      </c>
      <c r="B89" s="4">
        <f ca="1">B166*'Total Trip Tables Sup #1'!B89</f>
        <v>5.2110099151</v>
      </c>
      <c r="C89" s="4">
        <f ca="1">C166*'Total Trip Tables Sup #1'!C89</f>
        <v>4.7933661355229953</v>
      </c>
      <c r="D89" s="4">
        <f ca="1">D166*'Total Trip Tables Sup #1'!D89</f>
        <v>4.7355488809425355</v>
      </c>
      <c r="E89" s="4">
        <f ca="1">E166*'Total Trip Tables Sup #1'!E89</f>
        <v>4.6229904446829675</v>
      </c>
      <c r="F89" s="4">
        <f ca="1">F166*'Total Trip Tables Sup #1'!F89</f>
        <v>4.4895616975500214</v>
      </c>
      <c r="G89" s="4">
        <f ca="1">G166*'Total Trip Tables Sup #1'!G89</f>
        <v>4.3905097740459622</v>
      </c>
      <c r="H89" s="4">
        <f ca="1">H166*'Total Trip Tables Sup #1'!H89</f>
        <v>4.281890925705345</v>
      </c>
      <c r="I89" s="1">
        <f ca="1">I166*'Total Trip Tables Sup #1'!I89</f>
        <v>4.2531286770118513</v>
      </c>
      <c r="J89" s="1">
        <f ca="1">J166*'Total Trip Tables Sup #1'!J89</f>
        <v>4.2122809337292217</v>
      </c>
      <c r="K89" s="1">
        <f ca="1">K166*'Total Trip Tables Sup #1'!K89</f>
        <v>4.1628222186764994</v>
      </c>
    </row>
    <row r="90" spans="1:11" x14ac:dyDescent="0.2">
      <c r="A90" t="str">
        <f ca="1">OFFSET(Manawatu_Reference,49,2)</f>
        <v>Local Ferry</v>
      </c>
      <c r="B90" s="4">
        <f ca="1">B167*'Total Trip Tables Sup #1'!B90</f>
        <v>0.1068619116</v>
      </c>
      <c r="C90" s="4">
        <f ca="1">C167*'Total Trip Tables Sup #1'!C90</f>
        <v>0.12100991386347534</v>
      </c>
      <c r="D90" s="4">
        <f ca="1">D167*'Total Trip Tables Sup #1'!D90</f>
        <v>0.11900594713801006</v>
      </c>
      <c r="E90" s="4">
        <f ca="1">E167*'Total Trip Tables Sup #1'!E90</f>
        <v>0.1177104731075619</v>
      </c>
      <c r="F90" s="4">
        <f ca="1">F167*'Total Trip Tables Sup #1'!F90</f>
        <v>0.11403523370333257</v>
      </c>
      <c r="G90" s="4">
        <f ca="1">G167*'Total Trip Tables Sup #1'!G90</f>
        <v>0.11201351289969888</v>
      </c>
      <c r="H90" s="4">
        <f ca="1">H167*'Total Trip Tables Sup #1'!H90</f>
        <v>0.10819653531878171</v>
      </c>
      <c r="I90" s="1">
        <f ca="1">I167*'Total Trip Tables Sup #1'!I90</f>
        <v>0.10573045508908585</v>
      </c>
      <c r="J90" s="1">
        <f ca="1">J167*'Total Trip Tables Sup #1'!J90</f>
        <v>0.10257502060043139</v>
      </c>
      <c r="K90" s="1">
        <f ca="1">K167*'Total Trip Tables Sup #1'!K90</f>
        <v>9.9340850331026534E-2</v>
      </c>
    </row>
    <row r="91" spans="1:11" x14ac:dyDescent="0.2">
      <c r="A91" t="str">
        <f ca="1">OFFSET(Manawatu_Reference,56,2)</f>
        <v>Other Household Travel</v>
      </c>
      <c r="B91" s="4">
        <f ca="1">B168*'Total Trip Tables Sup #1'!B91</f>
        <v>0.24513607779999999</v>
      </c>
      <c r="C91" s="4">
        <f ca="1">C168*'Total Trip Tables Sup #1'!C91</f>
        <v>0.25194159245896319</v>
      </c>
      <c r="D91" s="4">
        <f ca="1">D168*'Total Trip Tables Sup #1'!D91</f>
        <v>0.25715406399297752</v>
      </c>
      <c r="E91" s="4">
        <f ca="1">E168*'Total Trip Tables Sup #1'!E91</f>
        <v>0.25681847006569569</v>
      </c>
      <c r="F91" s="4">
        <f ca="1">F168*'Total Trip Tables Sup #1'!F91</f>
        <v>0.2524804602597836</v>
      </c>
      <c r="G91" s="4">
        <f ca="1">G168*'Total Trip Tables Sup #1'!G91</f>
        <v>0.24491269898208887</v>
      </c>
      <c r="H91" s="4">
        <f ca="1">H168*'Total Trip Tables Sup #1'!H91</f>
        <v>0.23261566869317804</v>
      </c>
      <c r="I91" s="1">
        <f ca="1">I168*'Total Trip Tables Sup #1'!I91</f>
        <v>0.23114507898567099</v>
      </c>
      <c r="J91" s="1">
        <f ca="1">J168*'Total Trip Tables Sup #1'!J91</f>
        <v>0.22906678615067994</v>
      </c>
      <c r="K91" s="1">
        <f ca="1">K168*'Total Trip Tables Sup #1'!K91</f>
        <v>0.22651416112770276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B159*'Total Trip Tables Sup #1'!B93*(1+'Active Mode Assumptions'!B7)-('PT Assumptions'!B44*'Total Trip Tables Sup #2'!B171+'PT Assumptions'!B56*'Total Trip Tables Sup #2'!B174)</f>
        <v>182.29561206</v>
      </c>
      <c r="C93" s="4">
        <f ca="1">C159*'Total Trip Tables Sup #1'!C93*(1+'Active Mode Assumptions'!C7)-('PT Assumptions'!C44*'Total Trip Tables Sup #2'!C171+'PT Assumptions'!C56*'Total Trip Tables Sup #2'!C174)</f>
        <v>187.8120279641804</v>
      </c>
      <c r="D93" s="4">
        <f ca="1">D159*'Total Trip Tables Sup #1'!D93*(1+'Active Mode Assumptions'!D7)-('PT Assumptions'!D44*'Total Trip Tables Sup #2'!D171+'PT Assumptions'!D56*'Total Trip Tables Sup #2'!D174)</f>
        <v>192.13056441742742</v>
      </c>
      <c r="E93" s="4">
        <f ca="1">E159*'Total Trip Tables Sup #1'!E93*(1+'Active Mode Assumptions'!E7)-('PT Assumptions'!E44*'Total Trip Tables Sup #2'!E171+'PT Assumptions'!E56*'Total Trip Tables Sup #2'!E174)</f>
        <v>193.19827243365123</v>
      </c>
      <c r="F93" s="4">
        <f ca="1">F159*'Total Trip Tables Sup #1'!F93*(1+'Active Mode Assumptions'!F7)-('PT Assumptions'!F44*'Total Trip Tables Sup #2'!F171+'PT Assumptions'!F56*'Total Trip Tables Sup #2'!F174)</f>
        <v>192.74867158653765</v>
      </c>
      <c r="G93" s="4">
        <f ca="1">G159*'Total Trip Tables Sup #1'!G93*(1+'Active Mode Assumptions'!G7)-('PT Assumptions'!G44*'Total Trip Tables Sup #2'!G171+'PT Assumptions'!G56*'Total Trip Tables Sup #2'!G174)</f>
        <v>191.63742806569243</v>
      </c>
      <c r="H93" s="4">
        <f ca="1">H159*'Total Trip Tables Sup #1'!H93*(1+'Active Mode Assumptions'!H7)-('PT Assumptions'!H44*'Total Trip Tables Sup #2'!H171+'PT Assumptions'!H56*'Total Trip Tables Sup #2'!H174)</f>
        <v>189.26231822632985</v>
      </c>
      <c r="I93" s="1">
        <f ca="1">I159*'Total Trip Tables Sup #1'!I93*(1+'Active Mode Assumptions'!I7)-('PT Assumptions'!I44*'Total Trip Tables Sup #2'!I171+'PT Assumptions'!I56*'Total Trip Tables Sup #2'!I174)</f>
        <v>190.83554441435766</v>
      </c>
      <c r="J93" s="1">
        <f ca="1">J159*'Total Trip Tables Sup #1'!J93*(1+'Active Mode Assumptions'!J7)-('PT Assumptions'!J44*'Total Trip Tables Sup #2'!J171+'PT Assumptions'!J56*'Total Trip Tables Sup #2'!J174)</f>
        <v>191.93977615471874</v>
      </c>
      <c r="K93" s="1">
        <f ca="1">K159*'Total Trip Tables Sup #1'!K93*(1+'Active Mode Assumptions'!K7)-('PT Assumptions'!K44*'Total Trip Tables Sup #2'!K171+'PT Assumptions'!K56*'Total Trip Tables Sup #2'!K174)</f>
        <v>192.63735074965999</v>
      </c>
    </row>
    <row r="94" spans="1:11" x14ac:dyDescent="0.2">
      <c r="A94" t="str">
        <f ca="1">OFFSET(Wellington_Reference,7,2)</f>
        <v>Cyclist</v>
      </c>
      <c r="B94" s="4">
        <f ca="1">B160*'Total Trip Tables Sup #1'!B94*(1+'Active Mode Assumptions'!B16)-('PT Assumptions'!B45*'Total Trip Tables Sup #2'!B171+'PT Assumptions'!B57*'Total Trip Tables Sup #2'!B174)</f>
        <v>8.1327913301999999</v>
      </c>
      <c r="C94" s="4">
        <f ca="1">C160*'Total Trip Tables Sup #1'!C94*(1+'Active Mode Assumptions'!C16)-('PT Assumptions'!C45*'Total Trip Tables Sup #2'!C171+'PT Assumptions'!C57*'Total Trip Tables Sup #2'!C174)</f>
        <v>8.1908458531369295</v>
      </c>
      <c r="D94" s="4">
        <f ca="1">D160*'Total Trip Tables Sup #1'!D94*(1+'Active Mode Assumptions'!D16)-('PT Assumptions'!D45*'Total Trip Tables Sup #2'!D171+'PT Assumptions'!D57*'Total Trip Tables Sup #2'!D174)</f>
        <v>9.2672609018261323</v>
      </c>
      <c r="E94" s="4">
        <f ca="1">E160*'Total Trip Tables Sup #1'!E94*(1+'Active Mode Assumptions'!E16)-('PT Assumptions'!E45*'Total Trip Tables Sup #2'!E171+'PT Assumptions'!E57*'Total Trip Tables Sup #2'!E174)</f>
        <v>9.9554660018641048</v>
      </c>
      <c r="F94" s="4">
        <f ca="1">F160*'Total Trip Tables Sup #1'!F94*(1+'Active Mode Assumptions'!F16)-('PT Assumptions'!F45*'Total Trip Tables Sup #2'!F171+'PT Assumptions'!F57*'Total Trip Tables Sup #2'!F174)</f>
        <v>10.653561018330949</v>
      </c>
      <c r="G94" s="4">
        <f ca="1">G160*'Total Trip Tables Sup #1'!G94*(1+'Active Mode Assumptions'!G16)-('PT Assumptions'!G45*'Total Trip Tables Sup #2'!G171+'PT Assumptions'!G57*'Total Trip Tables Sup #2'!G174)</f>
        <v>11.345991238307375</v>
      </c>
      <c r="H94" s="4">
        <f ca="1">H160*'Total Trip Tables Sup #1'!H94*(1+'Active Mode Assumptions'!H16)-('PT Assumptions'!H45*'Total Trip Tables Sup #2'!H171+'PT Assumptions'!H57*'Total Trip Tables Sup #2'!H174)</f>
        <v>12.009484465584084</v>
      </c>
      <c r="I94" s="1">
        <f ca="1">I160*'Total Trip Tables Sup #1'!I94*(1+'Active Mode Assumptions'!I16)-('PT Assumptions'!I45*'Total Trip Tables Sup #2'!I171+'PT Assumptions'!I57*'Total Trip Tables Sup #2'!I174)</f>
        <v>12.191773115550113</v>
      </c>
      <c r="J94" s="1">
        <f ca="1">J160*'Total Trip Tables Sup #1'!J94*(1+'Active Mode Assumptions'!J16)-('PT Assumptions'!J45*'Total Trip Tables Sup #2'!J171+'PT Assumptions'!J57*'Total Trip Tables Sup #2'!J174)</f>
        <v>12.382832809090601</v>
      </c>
      <c r="K94" s="1">
        <f ca="1">K160*'Total Trip Tables Sup #1'!K94*(1+'Active Mode Assumptions'!K16)-('PT Assumptions'!K45*'Total Trip Tables Sup #2'!K171+'PT Assumptions'!K57*'Total Trip Tables Sup #2'!K174)</f>
        <v>12.553426582550152</v>
      </c>
    </row>
    <row r="95" spans="1:11" x14ac:dyDescent="0.2">
      <c r="A95" t="str">
        <f ca="1">OFFSET(Wellington_Reference,14,2)</f>
        <v>Light Vehicle Driver</v>
      </c>
      <c r="B95" s="4">
        <f ca="1">(B161*'Total Trip Tables Sup #1'!B95-'PT Assumptions'!B46*'Total Trip Tables Sup #2'!B171-'PT Assumptions'!B58*'Total Trip Tables Sup #2'!B174)-(B159*'Total Trip Tables Sup #1'!B93)*'Active Mode Assumptions'!B7*'Active Mode Assumptions'!B14-(B160*'Total Trip Tables Sup #1'!B94)*'Active Mode Assumptions'!B16*'Active Mode Assumptions'!B23</f>
        <v>377.93589692</v>
      </c>
      <c r="C95" s="4">
        <f ca="1">(C161*'Total Trip Tables Sup #1'!C95-'PT Assumptions'!C46*'Total Trip Tables Sup #2'!C171-'PT Assumptions'!C58*'Total Trip Tables Sup #2'!C174)-(C159*'Total Trip Tables Sup #1'!C93)*'Active Mode Assumptions'!C7*'Active Mode Assumptions'!C14-(C160*'Total Trip Tables Sup #1'!C94)*'Active Mode Assumptions'!C16*'Active Mode Assumptions'!C23</f>
        <v>401.14491382585481</v>
      </c>
      <c r="D95" s="4">
        <f ca="1">(D161*'Total Trip Tables Sup #1'!D95-'PT Assumptions'!D46*'Total Trip Tables Sup #2'!D171-'PT Assumptions'!D58*'Total Trip Tables Sup #2'!D174)-(D159*'Total Trip Tables Sup #1'!D93)*'Active Mode Assumptions'!D7*'Active Mode Assumptions'!D14-(D160*'Total Trip Tables Sup #1'!D94)*'Active Mode Assumptions'!D16*'Active Mode Assumptions'!D23</f>
        <v>406.73430830411587</v>
      </c>
      <c r="E95" s="4">
        <f ca="1">(E161*'Total Trip Tables Sup #1'!E95-'PT Assumptions'!E46*'Total Trip Tables Sup #2'!E171-'PT Assumptions'!E58*'Total Trip Tables Sup #2'!E174)-(E159*'Total Trip Tables Sup #1'!E93)*'Active Mode Assumptions'!E7*'Active Mode Assumptions'!E14-(E160*'Total Trip Tables Sup #1'!E94)*'Active Mode Assumptions'!E16*'Active Mode Assumptions'!E23</f>
        <v>412.16819337742294</v>
      </c>
      <c r="F95" s="4">
        <f ca="1">(F161*'Total Trip Tables Sup #1'!F95-'PT Assumptions'!F46*'Total Trip Tables Sup #2'!F171-'PT Assumptions'!F58*'Total Trip Tables Sup #2'!F174)-(F159*'Total Trip Tables Sup #1'!F93)*'Active Mode Assumptions'!F7*'Active Mode Assumptions'!F14-(F160*'Total Trip Tables Sup #1'!F94)*'Active Mode Assumptions'!F16*'Active Mode Assumptions'!F23</f>
        <v>414.39376544054898</v>
      </c>
      <c r="G95" s="4">
        <f ca="1">(G161*'Total Trip Tables Sup #1'!G95-'PT Assumptions'!G46*'Total Trip Tables Sup #2'!G171-'PT Assumptions'!G58*'Total Trip Tables Sup #2'!G174)-(G159*'Total Trip Tables Sup #1'!G93)*'Active Mode Assumptions'!G7*'Active Mode Assumptions'!G14-(G160*'Total Trip Tables Sup #1'!G94)*'Active Mode Assumptions'!G16*'Active Mode Assumptions'!G23</f>
        <v>412.01960543861043</v>
      </c>
      <c r="H95" s="4">
        <f ca="1">(H161*'Total Trip Tables Sup #1'!H95-'PT Assumptions'!H46*'Total Trip Tables Sup #2'!H171-'PT Assumptions'!H58*'Total Trip Tables Sup #2'!H174)-(H159*'Total Trip Tables Sup #1'!H93)*'Active Mode Assumptions'!H7*'Active Mode Assumptions'!H14-(H160*'Total Trip Tables Sup #1'!H94)*'Active Mode Assumptions'!H16*'Active Mode Assumptions'!H23</f>
        <v>406.22000102068392</v>
      </c>
      <c r="I95" s="1">
        <f ca="1">(I161*'Total Trip Tables Sup #1'!I95-'PT Assumptions'!I46*'Total Trip Tables Sup #2'!I171-'PT Assumptions'!I58*'Total Trip Tables Sup #2'!I174)-(I159*'Total Trip Tables Sup #1'!I93)*'Active Mode Assumptions'!I7*'Active Mode Assumptions'!I14-(I160*'Total Trip Tables Sup #1'!I94)*'Active Mode Assumptions'!I16*'Active Mode Assumptions'!I23</f>
        <v>408.67836487123395</v>
      </c>
      <c r="J95" s="1">
        <f ca="1">(J161*'Total Trip Tables Sup #1'!J95-'PT Assumptions'!J46*'Total Trip Tables Sup #2'!J171-'PT Assumptions'!J58*'Total Trip Tables Sup #2'!J174)-(J159*'Total Trip Tables Sup #1'!J93)*'Active Mode Assumptions'!J7*'Active Mode Assumptions'!J14-(J160*'Total Trip Tables Sup #1'!J94)*'Active Mode Assumptions'!J16*'Active Mode Assumptions'!J23</f>
        <v>409.87086762041133</v>
      </c>
      <c r="K95" s="1">
        <f ca="1">(K161*'Total Trip Tables Sup #1'!K95-'PT Assumptions'!K46*'Total Trip Tables Sup #2'!K171-'PT Assumptions'!K58*'Total Trip Tables Sup #2'!K174)-(K159*'Total Trip Tables Sup #1'!K93)*'Active Mode Assumptions'!K7*'Active Mode Assumptions'!K14-(K160*'Total Trip Tables Sup #1'!K94)*'Active Mode Assumptions'!K16*'Active Mode Assumptions'!K23</f>
        <v>410.11679581941848</v>
      </c>
    </row>
    <row r="96" spans="1:11" x14ac:dyDescent="0.2">
      <c r="A96" t="str">
        <f ca="1">OFFSET(Wellington_Reference,21,2)</f>
        <v>Light Vehicle Passenger</v>
      </c>
      <c r="B96" s="4">
        <f ca="1">(B162*'Total Trip Tables Sup #1'!B96-'PT Assumptions'!B47*'Total Trip Tables Sup #2'!B171-'PT Assumptions'!B59*'Total Trip Tables Sup #2'!B174)-(B159*'Total Trip Tables Sup #1'!B93)*'Active Mode Assumptions'!B7*'Active Mode Assumptions'!B15-(B160*'Total Trip Tables Sup #1'!B94)*'Active Mode Assumptions'!B16*'Active Mode Assumptions'!B24</f>
        <v>183.55442563000003</v>
      </c>
      <c r="C96" s="4">
        <f ca="1">(C162*'Total Trip Tables Sup #1'!C96-'PT Assumptions'!C47*'Total Trip Tables Sup #2'!C171-'PT Assumptions'!C59*'Total Trip Tables Sup #2'!C174)-(C159*'Total Trip Tables Sup #1'!C93)*'Active Mode Assumptions'!C7*'Active Mode Assumptions'!C15-(C160*'Total Trip Tables Sup #1'!C94)*'Active Mode Assumptions'!C16*'Active Mode Assumptions'!C24</f>
        <v>185.28544791526676</v>
      </c>
      <c r="D96" s="4">
        <f ca="1">(D162*'Total Trip Tables Sup #1'!D96-'PT Assumptions'!D47*'Total Trip Tables Sup #2'!D171-'PT Assumptions'!D59*'Total Trip Tables Sup #2'!D174)-(D159*'Total Trip Tables Sup #1'!D93)*'Active Mode Assumptions'!D7*'Active Mode Assumptions'!D15-(D160*'Total Trip Tables Sup #1'!D94)*'Active Mode Assumptions'!D16*'Active Mode Assumptions'!D24</f>
        <v>183.02755371601995</v>
      </c>
      <c r="E96" s="4">
        <f ca="1">(E162*'Total Trip Tables Sup #1'!E96-'PT Assumptions'!E47*'Total Trip Tables Sup #2'!E171-'PT Assumptions'!E59*'Total Trip Tables Sup #2'!E174)-(E159*'Total Trip Tables Sup #1'!E93)*'Active Mode Assumptions'!E7*'Active Mode Assumptions'!E15-(E160*'Total Trip Tables Sup #1'!E94)*'Active Mode Assumptions'!E16*'Active Mode Assumptions'!E24</f>
        <v>180.72512049876283</v>
      </c>
      <c r="F96" s="4">
        <f ca="1">(F162*'Total Trip Tables Sup #1'!F96-'PT Assumptions'!F47*'Total Trip Tables Sup #2'!F171-'PT Assumptions'!F59*'Total Trip Tables Sup #2'!F174)-(F159*'Total Trip Tables Sup #1'!F93)*'Active Mode Assumptions'!F7*'Active Mode Assumptions'!F15-(F160*'Total Trip Tables Sup #1'!F94)*'Active Mode Assumptions'!F16*'Active Mode Assumptions'!F24</f>
        <v>178.16158140488199</v>
      </c>
      <c r="G96" s="4">
        <f ca="1">(G162*'Total Trip Tables Sup #1'!G96-'PT Assumptions'!G47*'Total Trip Tables Sup #2'!G171-'PT Assumptions'!G59*'Total Trip Tables Sup #2'!G174)-(G159*'Total Trip Tables Sup #1'!G93)*'Active Mode Assumptions'!G7*'Active Mode Assumptions'!G15-(G160*'Total Trip Tables Sup #1'!G94)*'Active Mode Assumptions'!G16*'Active Mode Assumptions'!G24</f>
        <v>174.53463881412463</v>
      </c>
      <c r="H96" s="4">
        <f ca="1">(H162*'Total Trip Tables Sup #1'!H96-'PT Assumptions'!H47*'Total Trip Tables Sup #2'!H171-'PT Assumptions'!H59*'Total Trip Tables Sup #2'!H174)-(H159*'Total Trip Tables Sup #1'!H93)*'Active Mode Assumptions'!H7*'Active Mode Assumptions'!H15-(H160*'Total Trip Tables Sup #1'!H94)*'Active Mode Assumptions'!H16*'Active Mode Assumptions'!H24</f>
        <v>169.90354155965116</v>
      </c>
      <c r="I96" s="1">
        <f ca="1">(I162*'Total Trip Tables Sup #1'!I96-'PT Assumptions'!I47*'Total Trip Tables Sup #2'!I171-'PT Assumptions'!I59*'Total Trip Tables Sup #2'!I174)-(I159*'Total Trip Tables Sup #1'!I93)*'Active Mode Assumptions'!I7*'Active Mode Assumptions'!I15-(I160*'Total Trip Tables Sup #1'!I94)*'Active Mode Assumptions'!I16*'Active Mode Assumptions'!I24</f>
        <v>170.58266785701508</v>
      </c>
      <c r="J96" s="1">
        <f ca="1">(J162*'Total Trip Tables Sup #1'!J96-'PT Assumptions'!J47*'Total Trip Tables Sup #2'!J171-'PT Assumptions'!J59*'Total Trip Tables Sup #2'!J174)-(J159*'Total Trip Tables Sup #1'!J93)*'Active Mode Assumptions'!J7*'Active Mode Assumptions'!J15-(J160*'Total Trip Tables Sup #1'!J94)*'Active Mode Assumptions'!J16*'Active Mode Assumptions'!J24</f>
        <v>170.66497590037349</v>
      </c>
      <c r="K96" s="1">
        <f ca="1">(K162*'Total Trip Tables Sup #1'!K96-'PT Assumptions'!K47*'Total Trip Tables Sup #2'!K171-'PT Assumptions'!K59*'Total Trip Tables Sup #2'!K174)-(K159*'Total Trip Tables Sup #1'!K93)*'Active Mode Assumptions'!K7*'Active Mode Assumptions'!K15-(K160*'Total Trip Tables Sup #1'!K94)*'Active Mode Assumptions'!K16*'Active Mode Assumptions'!K24</f>
        <v>170.30978086462216</v>
      </c>
    </row>
    <row r="97" spans="1:11" x14ac:dyDescent="0.2">
      <c r="A97" t="str">
        <f ca="1">OFFSET(Wellington_Reference,28,2)</f>
        <v>Taxi/Vehicle Share</v>
      </c>
      <c r="B97" s="4">
        <f ca="1">B163*'Total Trip Tables Sup #1'!B97</f>
        <v>2.3579512121000001</v>
      </c>
      <c r="C97" s="4">
        <f ca="1">C163*'Total Trip Tables Sup #1'!C97</f>
        <v>2.6672088475174727</v>
      </c>
      <c r="D97" s="4">
        <f ca="1">D163*'Total Trip Tables Sup #1'!D97</f>
        <v>2.8936555200756127</v>
      </c>
      <c r="E97" s="4">
        <f ca="1">E163*'Total Trip Tables Sup #1'!E97</f>
        <v>3.0422364741221481</v>
      </c>
      <c r="F97" s="4">
        <f ca="1">F163*'Total Trip Tables Sup #1'!F97</f>
        <v>3.1421943335600706</v>
      </c>
      <c r="G97" s="4">
        <f ca="1">G163*'Total Trip Tables Sup #1'!G97</f>
        <v>3.191074125406836</v>
      </c>
      <c r="H97" s="4">
        <f ca="1">H163*'Total Trip Tables Sup #1'!H97</f>
        <v>3.2082763884737018</v>
      </c>
      <c r="I97" s="1">
        <f ca="1">I163*'Total Trip Tables Sup #1'!I97</f>
        <v>3.2367120477911739</v>
      </c>
      <c r="J97" s="1">
        <f ca="1">J163*'Total Trip Tables Sup #1'!J97</f>
        <v>3.2572170424479729</v>
      </c>
      <c r="K97" s="1">
        <f ca="1">K163*'Total Trip Tables Sup #1'!K97</f>
        <v>3.2707984679190725</v>
      </c>
    </row>
    <row r="98" spans="1:11" x14ac:dyDescent="0.2">
      <c r="A98" t="str">
        <f ca="1">OFFSET(Wellington_Reference,35,2)</f>
        <v>Motorcyclist</v>
      </c>
      <c r="B98" s="4">
        <f ca="1">B164*'Total Trip Tables Sup #1'!B98</f>
        <v>2.4968267649999998</v>
      </c>
      <c r="C98" s="4">
        <f ca="1">C164*'Total Trip Tables Sup #1'!C98</f>
        <v>2.5546910277337096</v>
      </c>
      <c r="D98" s="4">
        <f ca="1">D164*'Total Trip Tables Sup #1'!D98</f>
        <v>2.5707692437576362</v>
      </c>
      <c r="E98" s="4">
        <f ca="1">E164*'Total Trip Tables Sup #1'!E98</f>
        <v>2.5464567369293918</v>
      </c>
      <c r="F98" s="4">
        <f ca="1">F164*'Total Trip Tables Sup #1'!F98</f>
        <v>2.4926258557178058</v>
      </c>
      <c r="G98" s="4">
        <f ca="1">G164*'Total Trip Tables Sup #1'!G98</f>
        <v>2.3864759410920304</v>
      </c>
      <c r="H98" s="4">
        <f ca="1">H164*'Total Trip Tables Sup #1'!H98</f>
        <v>2.263766789205969</v>
      </c>
      <c r="I98" s="1">
        <f ca="1">I164*'Total Trip Tables Sup #1'!I98</f>
        <v>2.2950540573649794</v>
      </c>
      <c r="J98" s="1">
        <f ca="1">J164*'Total Trip Tables Sup #1'!J98</f>
        <v>2.3234222320433733</v>
      </c>
      <c r="K98" s="1">
        <f ca="1">K164*'Total Trip Tables Sup #1'!K98</f>
        <v>2.3470594915625353</v>
      </c>
    </row>
    <row r="99" spans="1:11" x14ac:dyDescent="0.2">
      <c r="A99" t="str">
        <f ca="1">OFFSET(Wellington_Reference,42,2)</f>
        <v>Local Train</v>
      </c>
      <c r="B99" s="4">
        <f ca="1">'Total Trip Tables Sup #1'!B99*(1+'PT Assumptions'!B37)</f>
        <v>12.37</v>
      </c>
      <c r="C99" s="4">
        <f ca="1">'Total Trip Tables Sup #1'!C99*(1+'PT Assumptions'!C37)</f>
        <v>12.592905548117583</v>
      </c>
      <c r="D99" s="4">
        <f ca="1">'Total Trip Tables Sup #1'!D99*(1+'PT Assumptions'!D37)</f>
        <v>14.420490120867937</v>
      </c>
      <c r="E99" s="4">
        <f ca="1">'Total Trip Tables Sup #1'!E99*(1+'PT Assumptions'!E37)</f>
        <v>14.996190706808681</v>
      </c>
      <c r="F99" s="4">
        <f ca="1">'Total Trip Tables Sup #1'!F99*(1+'PT Assumptions'!F37)</f>
        <v>15.203680525767009</v>
      </c>
      <c r="G99" s="4">
        <f ca="1">'Total Trip Tables Sup #1'!G99*(1+'PT Assumptions'!G37)</f>
        <v>15.338604401489459</v>
      </c>
      <c r="H99" s="4">
        <f ca="1">'Total Trip Tables Sup #1'!H99*(1+'PT Assumptions'!H37)</f>
        <v>15.404008356372653</v>
      </c>
      <c r="I99" s="1">
        <f ca="1">'Total Trip Tables Sup #1'!I99*(1+'PT Assumptions'!I37)</f>
        <v>16.290825676752757</v>
      </c>
      <c r="J99" s="1">
        <f ca="1">'Total Trip Tables Sup #1'!J99*(1+'PT Assumptions'!J37)</f>
        <v>17.222187486236134</v>
      </c>
      <c r="K99" s="1">
        <f ca="1">'Total Trip Tables Sup #1'!K99*(1+'PT Assumptions'!K37)</f>
        <v>18.206796125399972</v>
      </c>
    </row>
    <row r="100" spans="1:11" x14ac:dyDescent="0.2">
      <c r="A100" t="str">
        <f ca="1">OFFSET(Wellington_Reference,49,2)</f>
        <v>Local Bus</v>
      </c>
      <c r="B100" s="4">
        <f ca="1">'Total Trip Tables Sup #1'!B100*(1+'PT Assumptions'!B49)</f>
        <v>23.4</v>
      </c>
      <c r="C100" s="4">
        <f ca="1">'Total Trip Tables Sup #1'!C100*(1+'PT Assumptions'!C49)</f>
        <v>22.865706585342785</v>
      </c>
      <c r="D100" s="4">
        <f ca="1">'Total Trip Tables Sup #1'!D100*(1+'PT Assumptions'!D49)</f>
        <v>25.70672181308932</v>
      </c>
      <c r="E100" s="4">
        <f ca="1">'Total Trip Tables Sup #1'!E100*(1+'PT Assumptions'!E49)</f>
        <v>25.94574793536211</v>
      </c>
      <c r="F100" s="4">
        <f ca="1">'Total Trip Tables Sup #1'!F100*(1+'PT Assumptions'!F49)</f>
        <v>25.140226345267081</v>
      </c>
      <c r="G100" s="4">
        <f ca="1">'Total Trip Tables Sup #1'!G100*(1+'PT Assumptions'!G49)</f>
        <v>24.451949280921987</v>
      </c>
      <c r="H100" s="4">
        <f ca="1">'Total Trip Tables Sup #1'!H100*(1+'PT Assumptions'!H49)</f>
        <v>23.821334062377371</v>
      </c>
      <c r="I100" s="1">
        <f ca="1">'Total Trip Tables Sup #1'!I100*(1+'PT Assumptions'!I49)</f>
        <v>24.515142005036758</v>
      </c>
      <c r="J100" s="1">
        <f ca="1">'Total Trip Tables Sup #1'!J100*(1+'PT Assumptions'!J49)</f>
        <v>25.226655534761591</v>
      </c>
      <c r="K100" s="1">
        <f ca="1">'Total Trip Tables Sup #1'!K100*(1+'PT Assumptions'!K49)</f>
        <v>25.958819628243194</v>
      </c>
    </row>
    <row r="101" spans="1:11" x14ac:dyDescent="0.2">
      <c r="A101" t="str">
        <f ca="1">OFFSET(Wellington_Reference,56,2)</f>
        <v>Local Ferry</v>
      </c>
      <c r="B101" s="4">
        <f ca="1">B167*'Total Trip Tables Sup #1'!B101</f>
        <v>0.22615005399999999</v>
      </c>
      <c r="C101" s="4">
        <f ca="1">C167*'Total Trip Tables Sup #1'!C101</f>
        <v>0.26060453318062249</v>
      </c>
      <c r="D101" s="4">
        <f ca="1">D167*'Total Trip Tables Sup #1'!D101</f>
        <v>0.26045461975144479</v>
      </c>
      <c r="E101" s="4">
        <f ca="1">E167*'Total Trip Tables Sup #1'!E101</f>
        <v>0.26115108724673114</v>
      </c>
      <c r="F101" s="4">
        <f ca="1">F167*'Total Trip Tables Sup #1'!F101</f>
        <v>0.25673280462847847</v>
      </c>
      <c r="G101" s="4">
        <f ca="1">G167*'Total Trip Tables Sup #1'!G101</f>
        <v>0.25599393891626854</v>
      </c>
      <c r="H101" s="4">
        <f ca="1">H167*'Total Trip Tables Sup #1'!H101</f>
        <v>0.25097310178909188</v>
      </c>
      <c r="I101" s="1">
        <f ca="1">I167*'Total Trip Tables Sup #1'!I101</f>
        <v>0.24892498215373535</v>
      </c>
      <c r="J101" s="1">
        <f ca="1">J167*'Total Trip Tables Sup #1'!J101</f>
        <v>0.24511198946227361</v>
      </c>
      <c r="K101" s="1">
        <f ca="1">K167*'Total Trip Tables Sup #1'!K101</f>
        <v>0.24093804058818913</v>
      </c>
    </row>
    <row r="102" spans="1:11" x14ac:dyDescent="0.2">
      <c r="A102" t="str">
        <f ca="1">OFFSET(Wellington_Reference,63,2)</f>
        <v>Other Household Travel</v>
      </c>
      <c r="B102" s="4">
        <f ca="1">B168*'Total Trip Tables Sup #1'!B102</f>
        <v>0.33422365529999998</v>
      </c>
      <c r="C102" s="4">
        <f ca="1">C168*'Total Trip Tables Sup #1'!C102</f>
        <v>0.34955625578147015</v>
      </c>
      <c r="D102" s="4">
        <f ca="1">D168*'Total Trip Tables Sup #1'!D102</f>
        <v>0.36258763251163389</v>
      </c>
      <c r="E102" s="4">
        <f ca="1">E168*'Total Trip Tables Sup #1'!E102</f>
        <v>0.36707869752003564</v>
      </c>
      <c r="F102" s="4">
        <f ca="1">F168*'Total Trip Tables Sup #1'!F102</f>
        <v>0.36620669184588056</v>
      </c>
      <c r="G102" s="4">
        <f ca="1">G168*'Total Trip Tables Sup #1'!G102</f>
        <v>0.36060086502302102</v>
      </c>
      <c r="H102" s="4">
        <f ca="1">H168*'Total Trip Tables Sup #1'!H102</f>
        <v>0.34762338458030784</v>
      </c>
      <c r="I102" s="1">
        <f ca="1">I168*'Total Trip Tables Sup #1'!I102</f>
        <v>0.35059783473933753</v>
      </c>
      <c r="J102" s="1">
        <f ca="1">J168*'Total Trip Tables Sup #1'!J102</f>
        <v>0.35264786535232273</v>
      </c>
      <c r="K102" s="1">
        <f ca="1">K168*'Total Trip Tables Sup #1'!K102</f>
        <v>0.35393951698648174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B159*'Total Trip Tables Sup #1'!B104</f>
        <v>34.609993433</v>
      </c>
      <c r="C104" s="4">
        <f ca="1">C159*'Total Trip Tables Sup #1'!C104*(1+'Active Mode Assumptions'!C7)</f>
        <v>35.323185537230195</v>
      </c>
      <c r="D104" s="4">
        <f ca="1">D159*'Total Trip Tables Sup #1'!D104*(1+'Active Mode Assumptions'!D7)</f>
        <v>36.041295930552884</v>
      </c>
      <c r="E104" s="4">
        <f ca="1">E159*'Total Trip Tables Sup #1'!E104*(1+'Active Mode Assumptions'!E7)</f>
        <v>36.131765603584448</v>
      </c>
      <c r="F104" s="4">
        <f ca="1">F159*'Total Trip Tables Sup #1'!F104*(1+'Active Mode Assumptions'!F7)</f>
        <v>35.872220154759532</v>
      </c>
      <c r="G104" s="4">
        <f ca="1">G159*'Total Trip Tables Sup #1'!G104*(1+'Active Mode Assumptions'!G7)</f>
        <v>35.445498968886298</v>
      </c>
      <c r="H104" s="4">
        <f ca="1">H159*'Total Trip Tables Sup #1'!H104*(1+'Active Mode Assumptions'!H7)</f>
        <v>34.733622042176101</v>
      </c>
      <c r="I104" s="1">
        <f ca="1">I159*'Total Trip Tables Sup #1'!I104*(1+'Active Mode Assumptions'!I7)</f>
        <v>34.745848191188834</v>
      </c>
      <c r="J104" s="1">
        <f ca="1">J159*'Total Trip Tables Sup #1'!J104*(1+'Active Mode Assumptions'!J7)</f>
        <v>34.673665515341831</v>
      </c>
      <c r="K104" s="1">
        <f ca="1">K159*'Total Trip Tables Sup #1'!K104*(1+'Active Mode Assumptions'!K7)</f>
        <v>34.530075202283655</v>
      </c>
    </row>
    <row r="105" spans="1:11" x14ac:dyDescent="0.2">
      <c r="A105" t="str">
        <f ca="1">OFFSET(Nelson_Reference,7,2)</f>
        <v>Cyclist</v>
      </c>
      <c r="B105" s="4">
        <f ca="1">B160*'Total Trip Tables Sup #1'!B105</f>
        <v>2.9519642961999999</v>
      </c>
      <c r="C105" s="4">
        <f ca="1">C160*'Total Trip Tables Sup #1'!C105*(1+'Active Mode Assumptions'!C16)</f>
        <v>2.9448539635786983</v>
      </c>
      <c r="D105" s="4">
        <f ca="1">D160*'Total Trip Tables Sup #1'!D105*(1+'Active Mode Assumptions'!D16)</f>
        <v>3.3209031825559614</v>
      </c>
      <c r="E105" s="4">
        <f ca="1">E160*'Total Trip Tables Sup #1'!E105*(1+'Active Mode Assumptions'!E16)</f>
        <v>3.5550259159746993</v>
      </c>
      <c r="F105" s="4">
        <f ca="1">F160*'Total Trip Tables Sup #1'!F105*(1+'Active Mode Assumptions'!F16)</f>
        <v>3.7848560905079998</v>
      </c>
      <c r="G105" s="4">
        <f ca="1">G160*'Total Trip Tables Sup #1'!G105*(1+'Active Mode Assumptions'!G16)</f>
        <v>4.0048120657336863</v>
      </c>
      <c r="H105" s="4">
        <f ca="1">H160*'Total Trip Tables Sup #1'!H105*(1+'Active Mode Assumptions'!H16)</f>
        <v>4.2045472520123921</v>
      </c>
      <c r="I105" s="1">
        <f ca="1">I160*'Total Trip Tables Sup #1'!I105*(1+'Active Mode Assumptions'!I16)</f>
        <v>4.2338688443967882</v>
      </c>
      <c r="J105" s="1">
        <f ca="1">J160*'Total Trip Tables Sup #1'!J105*(1+'Active Mode Assumptions'!J16)</f>
        <v>4.2656645193449148</v>
      </c>
      <c r="K105" s="1">
        <f ca="1">K160*'Total Trip Tables Sup #1'!K105*(1+'Active Mode Assumptions'!K16)</f>
        <v>4.2898850891487301</v>
      </c>
    </row>
    <row r="106" spans="1:11" x14ac:dyDescent="0.2">
      <c r="A106" t="str">
        <f ca="1">OFFSET(Nelson_Reference,14,2)</f>
        <v>Light Vehicle Driver</v>
      </c>
      <c r="B106" s="4">
        <f ca="1">B161*'Total Trip Tables Sup #1'!B106</f>
        <v>98.206986838999995</v>
      </c>
      <c r="C106" s="4">
        <f ca="1">C161*'Total Trip Tables Sup #1'!C106-(C104*'Active Mode Assumptions'!C7*'Active Mode Assumptions'!C14/(1+'Active Mode Assumptions'!C7))-(C105*'Active Mode Assumptions'!C16*'Active Mode Assumptions'!C23/(1+'Active Mode Assumptions'!C16))</f>
        <v>103.31073791166777</v>
      </c>
      <c r="D106" s="4">
        <f ca="1">D161*'Total Trip Tables Sup #1'!D106-(D104*'Active Mode Assumptions'!D7*'Active Mode Assumptions'!D14/(1+'Active Mode Assumptions'!D7))-(D105*'Active Mode Assumptions'!D16*'Active Mode Assumptions'!D23/(1+'Active Mode Assumptions'!D16))</f>
        <v>104.78314770037994</v>
      </c>
      <c r="E106" s="4">
        <f ca="1">E161*'Total Trip Tables Sup #1'!E106-(E104*'Active Mode Assumptions'!E7*'Active Mode Assumptions'!E14/(1+'Active Mode Assumptions'!E7))-(E105*'Active Mode Assumptions'!E16*'Active Mode Assumptions'!E23/(1+'Active Mode Assumptions'!E16))</f>
        <v>106.09719008536648</v>
      </c>
      <c r="F106" s="4">
        <f ca="1">F161*'Total Trip Tables Sup #1'!F106-(F104*'Active Mode Assumptions'!F7*'Active Mode Assumptions'!F14/(1+'Active Mode Assumptions'!F7))-(F105*'Active Mode Assumptions'!F16*'Active Mode Assumptions'!F23/(1+'Active Mode Assumptions'!F16))</f>
        <v>106.30638230808468</v>
      </c>
      <c r="G106" s="4">
        <f ca="1">G161*'Total Trip Tables Sup #1'!G106-(G104*'Active Mode Assumptions'!G7*'Active Mode Assumptions'!G14/(1+'Active Mode Assumptions'!G7))-(G105*'Active Mode Assumptions'!G16*'Active Mode Assumptions'!G23/(1+'Active Mode Assumptions'!G16))</f>
        <v>105.21318495813728</v>
      </c>
      <c r="H106" s="4">
        <f ca="1">H161*'Total Trip Tables Sup #1'!H106-(H104*'Active Mode Assumptions'!H7*'Active Mode Assumptions'!H14/(1+'Active Mode Assumptions'!H7))-(H105*'Active Mode Assumptions'!H16*'Active Mode Assumptions'!H23/(1+'Active Mode Assumptions'!H16))</f>
        <v>103.10744683211612</v>
      </c>
      <c r="I106" s="1">
        <f ca="1">I161*'Total Trip Tables Sup #1'!I106-(I104*'Active Mode Assumptions'!I7*'Active Mode Assumptions'!I14/(1+'Active Mode Assumptions'!I7))-(I105*'Active Mode Assumptions'!I16*'Active Mode Assumptions'!I23/(1+'Active Mode Assumptions'!I16))</f>
        <v>103.03043291242953</v>
      </c>
      <c r="J106" s="1">
        <f ca="1">J161*'Total Trip Tables Sup #1'!J106-(J104*'Active Mode Assumptions'!J7*'Active Mode Assumptions'!J14/(1+'Active Mode Assumptions'!J7))-(J105*'Active Mode Assumptions'!J16*'Active Mode Assumptions'!J23/(1+'Active Mode Assumptions'!J16))</f>
        <v>102.65659063126247</v>
      </c>
      <c r="K106" s="1">
        <f ca="1">K161*'Total Trip Tables Sup #1'!K106-(K104*'Active Mode Assumptions'!K7*'Active Mode Assumptions'!K14/(1+'Active Mode Assumptions'!K7))-(K105*'Active Mode Assumptions'!K16*'Active Mode Assumptions'!K23/(1+'Active Mode Assumptions'!K16))</f>
        <v>102.06922783794225</v>
      </c>
    </row>
    <row r="107" spans="1:11" x14ac:dyDescent="0.2">
      <c r="A107" t="str">
        <f ca="1">OFFSET(Nelson_Reference,21,2)</f>
        <v>Light Vehicle Passenger</v>
      </c>
      <c r="B107" s="4">
        <f ca="1">B162*'Total Trip Tables Sup #1'!B107</f>
        <v>45.895773311000006</v>
      </c>
      <c r="C107" s="4">
        <f ca="1">C162*'Total Trip Tables Sup #1'!C107-(C104*'Active Mode Assumptions'!C7*'Active Mode Assumptions'!C15/(1+'Active Mode Assumptions'!C7))-(C105*'Active Mode Assumptions'!C16*'Active Mode Assumptions'!C24/(1+'Active Mode Assumptions'!C16))</f>
        <v>45.948102682825152</v>
      </c>
      <c r="D107" s="4">
        <f ca="1">D162*'Total Trip Tables Sup #1'!D107-(D104*'Active Mode Assumptions'!D7*'Active Mode Assumptions'!D15/(1+'Active Mode Assumptions'!D7))-(D105*'Active Mode Assumptions'!D16*'Active Mode Assumptions'!D24/(1+'Active Mode Assumptions'!D16))</f>
        <v>45.594021042719987</v>
      </c>
      <c r="E107" s="4">
        <f ca="1">E162*'Total Trip Tables Sup #1'!E107-(E104*'Active Mode Assumptions'!E7*'Active Mode Assumptions'!E15/(1+'Active Mode Assumptions'!E7))-(E105*'Active Mode Assumptions'!E16*'Active Mode Assumptions'!E24/(1+'Active Mode Assumptions'!E16))</f>
        <v>45.139598771640799</v>
      </c>
      <c r="F107" s="4">
        <f ca="1">F162*'Total Trip Tables Sup #1'!F107-(F104*'Active Mode Assumptions'!F7*'Active Mode Assumptions'!F15/(1+'Active Mode Assumptions'!F7))-(F105*'Active Mode Assumptions'!F16*'Active Mode Assumptions'!F24/(1+'Active Mode Assumptions'!F16))</f>
        <v>44.451285396953104</v>
      </c>
      <c r="G107" s="4">
        <f ca="1">G162*'Total Trip Tables Sup #1'!G107-(G104*'Active Mode Assumptions'!G7*'Active Mode Assumptions'!G15/(1+'Active Mode Assumptions'!G7))-(G105*'Active Mode Assumptions'!G16*'Active Mode Assumptions'!G24/(1+'Active Mode Assumptions'!G16))</f>
        <v>43.460084146903213</v>
      </c>
      <c r="H107" s="4">
        <f ca="1">H162*'Total Trip Tables Sup #1'!H107-(H104*'Active Mode Assumptions'!H7*'Active Mode Assumptions'!H15/(1+'Active Mode Assumptions'!H7))-(H105*'Active Mode Assumptions'!H16*'Active Mode Assumptions'!H24/(1+'Active Mode Assumptions'!H16))</f>
        <v>42.177629945838014</v>
      </c>
      <c r="I107" s="1">
        <f ca="1">I162*'Total Trip Tables Sup #1'!I107-(I104*'Active Mode Assumptions'!I7*'Active Mode Assumptions'!I15/(1+'Active Mode Assumptions'!I7))-(I105*'Active Mode Assumptions'!I16*'Active Mode Assumptions'!I24/(1+'Active Mode Assumptions'!I16))</f>
        <v>42.138419265218587</v>
      </c>
      <c r="J107" s="1">
        <f ca="1">J162*'Total Trip Tables Sup #1'!J107-(J104*'Active Mode Assumptions'!J7*'Active Mode Assumptions'!J15/(1+'Active Mode Assumptions'!J7))-(J105*'Active Mode Assumptions'!J16*'Active Mode Assumptions'!J24/(1+'Active Mode Assumptions'!J16))</f>
        <v>41.972888742149856</v>
      </c>
      <c r="K107" s="1">
        <f ca="1">K162*'Total Trip Tables Sup #1'!K107-(K104*'Active Mode Assumptions'!K7*'Active Mode Assumptions'!K15/(1+'Active Mode Assumptions'!K7))-(K105*'Active Mode Assumptions'!K16*'Active Mode Assumptions'!K24/(1+'Active Mode Assumptions'!K16))</f>
        <v>41.719706897069372</v>
      </c>
    </row>
    <row r="108" spans="1:11" x14ac:dyDescent="0.2">
      <c r="A108" t="str">
        <f ca="1">OFFSET(Nelson_Reference,28,2)</f>
        <v>Taxi/Vehicle Share</v>
      </c>
      <c r="B108" s="4">
        <f ca="1">B163*'Total Trip Tables Sup #1'!B108</f>
        <v>0.40359339709999997</v>
      </c>
      <c r="C108" s="4">
        <f ca="1">C163*'Total Trip Tables Sup #1'!C108</f>
        <v>0.45219921026922338</v>
      </c>
      <c r="D108" s="4">
        <f ca="1">D163*'Total Trip Tables Sup #1'!D108</f>
        <v>0.48897811216657466</v>
      </c>
      <c r="E108" s="4">
        <f ca="1">E163*'Total Trip Tables Sup #1'!E108</f>
        <v>0.51228532222878542</v>
      </c>
      <c r="F108" s="4">
        <f ca="1">F163*'Total Trip Tables Sup #1'!F108</f>
        <v>0.52641151553113819</v>
      </c>
      <c r="G108" s="4">
        <f ca="1">G163*'Total Trip Tables Sup #1'!G108</f>
        <v>0.53114653891151986</v>
      </c>
      <c r="H108" s="4">
        <f ca="1">H163*'Total Trip Tables Sup #1'!H108</f>
        <v>0.5296688276923015</v>
      </c>
      <c r="I108" s="1">
        <f ca="1">I163*'Total Trip Tables Sup #1'!I108</f>
        <v>0.53004453275309393</v>
      </c>
      <c r="J108" s="1">
        <f ca="1">J163*'Total Trip Tables Sup #1'!J108</f>
        <v>0.52911631421920113</v>
      </c>
      <c r="K108" s="1">
        <f ca="1">K163*'Total Trip Tables Sup #1'!K108</f>
        <v>0.52707804236626921</v>
      </c>
    </row>
    <row r="109" spans="1:11" x14ac:dyDescent="0.2">
      <c r="A109" t="str">
        <f ca="1">OFFSET(Nelson_Reference,35,2)</f>
        <v>Motorcyclist</v>
      </c>
      <c r="B109" s="4">
        <f ca="1">B164*'Total Trip Tables Sup #1'!B109</f>
        <v>1.5095151791999999</v>
      </c>
      <c r="C109" s="4">
        <f ca="1">C164*'Total Trip Tables Sup #1'!C109</f>
        <v>1.5298575531751364</v>
      </c>
      <c r="D109" s="4">
        <f ca="1">D164*'Total Trip Tables Sup #1'!D109</f>
        <v>1.534424493005329</v>
      </c>
      <c r="E109" s="4">
        <f ca="1">E164*'Total Trip Tables Sup #1'!E109</f>
        <v>1.5145899889921215</v>
      </c>
      <c r="F109" s="4">
        <f ca="1">F164*'Total Trip Tables Sup #1'!F109</f>
        <v>1.4749906641502459</v>
      </c>
      <c r="G109" s="4">
        <f ca="1">G164*'Total Trip Tables Sup #1'!G109</f>
        <v>1.4030539140159271</v>
      </c>
      <c r="H109" s="4">
        <f ca="1">H164*'Total Trip Tables Sup #1'!H109</f>
        <v>1.3200918793106771</v>
      </c>
      <c r="I109" s="1">
        <f ca="1">I164*'Total Trip Tables Sup #1'!I109</f>
        <v>1.327519930642558</v>
      </c>
      <c r="J109" s="1">
        <f ca="1">J164*'Total Trip Tables Sup #1'!J109</f>
        <v>1.3331297812805223</v>
      </c>
      <c r="K109" s="1">
        <f ca="1">K164*'Total Trip Tables Sup #1'!K109</f>
        <v>1.3359342135917465</v>
      </c>
    </row>
    <row r="110" spans="1:11" x14ac:dyDescent="0.2">
      <c r="A110" t="str">
        <f ca="1">OFFSET(Nelson_Reference,42,2)</f>
        <v>Local Train</v>
      </c>
      <c r="B110" s="4">
        <f ca="1">B165*'Total Trip Tables Sup #1'!B110</f>
        <v>0</v>
      </c>
      <c r="C110" s="4">
        <f ca="1">C165*'Total Trip Tables Sup #1'!C110</f>
        <v>0</v>
      </c>
      <c r="D110" s="4">
        <f ca="1">D165*'Total Trip Tables Sup #1'!D110</f>
        <v>0</v>
      </c>
      <c r="E110" s="4">
        <f ca="1">E165*'Total Trip Tables Sup #1'!E110</f>
        <v>0</v>
      </c>
      <c r="F110" s="4">
        <f ca="1">F165*'Total Trip Tables Sup #1'!F110</f>
        <v>0</v>
      </c>
      <c r="G110" s="4">
        <f ca="1">G165*'Total Trip Tables Sup #1'!G110</f>
        <v>0</v>
      </c>
      <c r="H110" s="4">
        <f ca="1">H165*'Total Trip Tables Sup #1'!H110</f>
        <v>0</v>
      </c>
      <c r="I110" s="1">
        <f ca="1">I165*'Total Trip Tables Sup #1'!I110</f>
        <v>0</v>
      </c>
      <c r="J110" s="1">
        <f ca="1">J165*'Total Trip Tables Sup #1'!J110</f>
        <v>0</v>
      </c>
      <c r="K110" s="1">
        <f ca="1">K165*'Total Trip Tables Sup #1'!K110</f>
        <v>0</v>
      </c>
    </row>
    <row r="111" spans="1:11" x14ac:dyDescent="0.2">
      <c r="A111" t="str">
        <f ca="1">OFFSET(Nelson_Reference,49,2)</f>
        <v>Local Bus</v>
      </c>
      <c r="B111" s="4">
        <f ca="1">B166*'Total Trip Tables Sup #1'!B111</f>
        <v>2.0764681202999999</v>
      </c>
      <c r="C111" s="4">
        <f ca="1">C166*'Total Trip Tables Sup #1'!C111</f>
        <v>1.9252838496968649</v>
      </c>
      <c r="D111" s="4">
        <f ca="1">D166*'Total Trip Tables Sup #1'!D111</f>
        <v>1.9266227689276976</v>
      </c>
      <c r="E111" s="4">
        <f ca="1">E166*'Total Trip Tables Sup #1'!E111</f>
        <v>1.8999363271267151</v>
      </c>
      <c r="F111" s="4">
        <f ca="1">F166*'Total Trip Tables Sup #1'!F111</f>
        <v>1.862768847744535</v>
      </c>
      <c r="G111" s="4">
        <f ca="1">G166*'Total Trip Tables Sup #1'!G111</f>
        <v>1.8372660531976266</v>
      </c>
      <c r="H111" s="4">
        <f ca="1">H166*'Total Trip Tables Sup #1'!H111</f>
        <v>1.8038583767098741</v>
      </c>
      <c r="I111" s="1">
        <f ca="1">I166*'Total Trip Tables Sup #1'!I111</f>
        <v>1.8038714052515923</v>
      </c>
      <c r="J111" s="1">
        <f ca="1">J166*'Total Trip Tables Sup #1'!J111</f>
        <v>1.7987263554652926</v>
      </c>
      <c r="K111" s="1">
        <f ca="1">K166*'Total Trip Tables Sup #1'!K111</f>
        <v>1.7898097821574377</v>
      </c>
    </row>
    <row r="112" spans="1:11" x14ac:dyDescent="0.2">
      <c r="A112" t="str">
        <f ca="1">OFFSET(Wellington_Reference,56,2)</f>
        <v>Local Ferry</v>
      </c>
      <c r="B112" s="4">
        <f ca="1">B167*'Total Trip Tables Sup #1'!B112</f>
        <v>0</v>
      </c>
      <c r="C112" s="4">
        <f ca="1">C167*'Total Trip Tables Sup #1'!C112</f>
        <v>0</v>
      </c>
      <c r="D112" s="4">
        <f ca="1">D167*'Total Trip Tables Sup #1'!D112</f>
        <v>0</v>
      </c>
      <c r="E112" s="4">
        <f ca="1">E167*'Total Trip Tables Sup #1'!E112</f>
        <v>0</v>
      </c>
      <c r="F112" s="4">
        <f ca="1">F167*'Total Trip Tables Sup #1'!F112</f>
        <v>0</v>
      </c>
      <c r="G112" s="4">
        <f ca="1">G167*'Total Trip Tables Sup #1'!G112</f>
        <v>0</v>
      </c>
      <c r="H112" s="4">
        <f ca="1">H167*'Total Trip Tables Sup #1'!H112</f>
        <v>0</v>
      </c>
      <c r="I112" s="1">
        <f ca="1">I167*'Total Trip Tables Sup #1'!I112</f>
        <v>0</v>
      </c>
      <c r="J112" s="1">
        <f ca="1">J167*'Total Trip Tables Sup #1'!J112</f>
        <v>0</v>
      </c>
      <c r="K112" s="1">
        <f ca="1">K167*'Total Trip Tables Sup #1'!K112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Trip Tables Sup #1'!B113</f>
        <v>1.495105957</v>
      </c>
      <c r="C113" s="4">
        <f ca="1">C168*'Total Trip Tables Sup #1'!C113</f>
        <v>1.5488715584355688</v>
      </c>
      <c r="D113" s="4">
        <f ca="1">D168*'Total Trip Tables Sup #1'!D113</f>
        <v>1.6013310595130681</v>
      </c>
      <c r="E113" s="4">
        <f ca="1">E168*'Total Trip Tables Sup #1'!E113</f>
        <v>1.6154877743913016</v>
      </c>
      <c r="F113" s="4">
        <f ca="1">F168*'Total Trip Tables Sup #1'!F113</f>
        <v>1.6034084419660164</v>
      </c>
      <c r="G113" s="4">
        <f ca="1">G168*'Total Trip Tables Sup #1'!G113</f>
        <v>1.5686634488004445</v>
      </c>
      <c r="H113" s="4">
        <f ca="1">H168*'Total Trip Tables Sup #1'!H113</f>
        <v>1.4999168111015868</v>
      </c>
      <c r="I113" s="1">
        <f ca="1">I168*'Total Trip Tables Sup #1'!I113</f>
        <v>1.5005244426576487</v>
      </c>
      <c r="J113" s="1">
        <f ca="1">J168*'Total Trip Tables Sup #1'!J113</f>
        <v>1.4971705057152358</v>
      </c>
      <c r="K113" s="1">
        <f ca="1">K168*'Total Trip Tables Sup #1'!K113</f>
        <v>1.4906501983099456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B159*'Total Trip Tables Sup #1'!B115</f>
        <v>5.2699511529</v>
      </c>
      <c r="C115" s="4">
        <f ca="1">C159*'Total Trip Tables Sup #1'!C115*(1+'Active Mode Assumptions'!C7)</f>
        <v>5.051918194146884</v>
      </c>
      <c r="D115" s="4">
        <f ca="1">D159*'Total Trip Tables Sup #1'!D115*(1+'Active Mode Assumptions'!D7)</f>
        <v>5.0036079411394923</v>
      </c>
      <c r="E115" s="4">
        <f ca="1">E159*'Total Trip Tables Sup #1'!E115*(1+'Active Mode Assumptions'!E7)</f>
        <v>4.8773372162312043</v>
      </c>
      <c r="F115" s="4">
        <f ca="1">F159*'Total Trip Tables Sup #1'!F115*(1+'Active Mode Assumptions'!F7)</f>
        <v>4.7103301878374344</v>
      </c>
      <c r="G115" s="4">
        <f ca="1">G159*'Total Trip Tables Sup #1'!G115*(1+'Active Mode Assumptions'!G7)</f>
        <v>4.5298131114399887</v>
      </c>
      <c r="H115" s="4">
        <f ca="1">H159*'Total Trip Tables Sup #1'!H115*(1+'Active Mode Assumptions'!H7)</f>
        <v>4.3314804043658972</v>
      </c>
      <c r="I115" s="1">
        <f ca="1">I159*'Total Trip Tables Sup #1'!I115*(1+'Active Mode Assumptions'!I7)</f>
        <v>4.2280080718282402</v>
      </c>
      <c r="J115" s="1">
        <f ca="1">J159*'Total Trip Tables Sup #1'!J115*(1+'Active Mode Assumptions'!J7)</f>
        <v>4.1167903607547469</v>
      </c>
      <c r="K115" s="1">
        <f ca="1">K159*'Total Trip Tables Sup #1'!K115*(1+'Active Mode Assumptions'!K7)</f>
        <v>4.000019437666241</v>
      </c>
    </row>
    <row r="116" spans="1:11" x14ac:dyDescent="0.2">
      <c r="A116" t="str">
        <f ca="1">OFFSET(West_Coast_Reference,7,2)</f>
        <v>Cyclist</v>
      </c>
      <c r="B116" s="4">
        <f ca="1">B160*'Total Trip Tables Sup #1'!B116</f>
        <v>0.73381292249999996</v>
      </c>
      <c r="C116" s="4">
        <f ca="1">C160*'Total Trip Tables Sup #1'!C116*(1+'Active Mode Assumptions'!C16)</f>
        <v>0.68758974671079087</v>
      </c>
      <c r="D116" s="4">
        <f ca="1">D160*'Total Trip Tables Sup #1'!D116*(1+'Active Mode Assumptions'!D16)</f>
        <v>0.75267635175897762</v>
      </c>
      <c r="E116" s="4">
        <f ca="1">E160*'Total Trip Tables Sup #1'!E116*(1+'Active Mode Assumptions'!E16)</f>
        <v>0.78343965910538371</v>
      </c>
      <c r="F116" s="4">
        <f ca="1">F160*'Total Trip Tables Sup #1'!F116*(1+'Active Mode Assumptions'!F16)</f>
        <v>0.81135636732540983</v>
      </c>
      <c r="G116" s="4">
        <f ca="1">G160*'Total Trip Tables Sup #1'!G116*(1+'Active Mode Assumptions'!G16)</f>
        <v>0.83554628584923485</v>
      </c>
      <c r="H116" s="4">
        <f ca="1">H160*'Total Trip Tables Sup #1'!H116*(1+'Active Mode Assumptions'!H16)</f>
        <v>0.85600184268660318</v>
      </c>
      <c r="I116" s="1">
        <f ca="1">I160*'Total Trip Tables Sup #1'!I116*(1+'Active Mode Assumptions'!I16)</f>
        <v>0.84108419575189108</v>
      </c>
      <c r="J116" s="1">
        <f ca="1">J160*'Total Trip Tables Sup #1'!J116*(1+'Active Mode Assumptions'!J16)</f>
        <v>0.8268274289534927</v>
      </c>
      <c r="K116" s="1">
        <f ca="1">K160*'Total Trip Tables Sup #1'!K116*(1+'Active Mode Assumptions'!K16)</f>
        <v>0.81129615707455405</v>
      </c>
    </row>
    <row r="117" spans="1:11" x14ac:dyDescent="0.2">
      <c r="A117" t="str">
        <f ca="1">OFFSET(West_Coast_Reference,14,2)</f>
        <v>Light Vehicle Driver</v>
      </c>
      <c r="B117" s="4">
        <f ca="1">B161*'Total Trip Tables Sup #1'!B117</f>
        <v>21.329902885999999</v>
      </c>
      <c r="C117" s="4">
        <f ca="1">C161*'Total Trip Tables Sup #1'!C117-(C115*'Active Mode Assumptions'!C7*'Active Mode Assumptions'!C14/(1+'Active Mode Assumptions'!C7))-(C116*'Active Mode Assumptions'!C16*'Active Mode Assumptions'!C23/(1+'Active Mode Assumptions'!C16))</f>
        <v>21.075764124839374</v>
      </c>
      <c r="D117" s="4">
        <f ca="1">D161*'Total Trip Tables Sup #1'!D117-(D115*'Active Mode Assumptions'!D7*'Active Mode Assumptions'!D14/(1+'Active Mode Assumptions'!D7))-(D116*'Active Mode Assumptions'!D16*'Active Mode Assumptions'!D23/(1+'Active Mode Assumptions'!D16))</f>
        <v>20.758185260359468</v>
      </c>
      <c r="E117" s="4">
        <f ca="1">E161*'Total Trip Tables Sup #1'!E117-(E115*'Active Mode Assumptions'!E7*'Active Mode Assumptions'!E14/(1+'Active Mode Assumptions'!E7))-(E116*'Active Mode Assumptions'!E16*'Active Mode Assumptions'!E23/(1+'Active Mode Assumptions'!E16))</f>
        <v>20.444488791688883</v>
      </c>
      <c r="F117" s="4">
        <f ca="1">F161*'Total Trip Tables Sup #1'!F117-(F115*'Active Mode Assumptions'!F7*'Active Mode Assumptions'!F14/(1+'Active Mode Assumptions'!F7))-(F116*'Active Mode Assumptions'!F16*'Active Mode Assumptions'!F23/(1+'Active Mode Assumptions'!F16))</f>
        <v>19.933546731404299</v>
      </c>
      <c r="G117" s="4">
        <f ca="1">G161*'Total Trip Tables Sup #1'!G117-(G115*'Active Mode Assumptions'!G7*'Active Mode Assumptions'!G14/(1+'Active Mode Assumptions'!G7))-(G116*'Active Mode Assumptions'!G16*'Active Mode Assumptions'!G23/(1+'Active Mode Assumptions'!G16))</f>
        <v>19.207444885615352</v>
      </c>
      <c r="H117" s="4">
        <f ca="1">H161*'Total Trip Tables Sup #1'!H117-(H115*'Active Mode Assumptions'!H7*'Active Mode Assumptions'!H14/(1+'Active Mode Assumptions'!H7))-(H116*'Active Mode Assumptions'!H16*'Active Mode Assumptions'!H23/(1+'Active Mode Assumptions'!H16))</f>
        <v>18.373745064429318</v>
      </c>
      <c r="I117" s="1">
        <f ca="1">I161*'Total Trip Tables Sup #1'!I117-(I115*'Active Mode Assumptions'!I7*'Active Mode Assumptions'!I14/(1+'Active Mode Assumptions'!I7))-(I116*'Active Mode Assumptions'!I16*'Active Mode Assumptions'!I23/(1+'Active Mode Assumptions'!I16))</f>
        <v>17.915099893357251</v>
      </c>
      <c r="J117" s="1">
        <f ca="1">J161*'Total Trip Tables Sup #1'!J117-(J115*'Active Mode Assumptions'!J7*'Active Mode Assumptions'!J14/(1+'Active Mode Assumptions'!J7))-(J116*'Active Mode Assumptions'!J16*'Active Mode Assumptions'!J23/(1+'Active Mode Assumptions'!J16))</f>
        <v>17.416697157596097</v>
      </c>
      <c r="K117" s="1">
        <f ca="1">K161*'Total Trip Tables Sup #1'!K117-(K115*'Active Mode Assumptions'!K7*'Active Mode Assumptions'!K14/(1+'Active Mode Assumptions'!K7))-(K116*'Active Mode Assumptions'!K16*'Active Mode Assumptions'!K23/(1+'Active Mode Assumptions'!K16))</f>
        <v>16.895788628475778</v>
      </c>
    </row>
    <row r="118" spans="1:11" x14ac:dyDescent="0.2">
      <c r="A118" t="str">
        <f ca="1">OFFSET(West_Coast_Reference,21,2)</f>
        <v>Light Vehicle Passenger</v>
      </c>
      <c r="B118" s="4">
        <f ca="1">B162*'Total Trip Tables Sup #1'!B118</f>
        <v>11.090105215000001</v>
      </c>
      <c r="C118" s="4">
        <f ca="1">C162*'Total Trip Tables Sup #1'!C118-(C115*'Active Mode Assumptions'!C7*'Active Mode Assumptions'!C15/(1+'Active Mode Assumptions'!C7))-(C116*'Active Mode Assumptions'!C16*'Active Mode Assumptions'!C24/(1+'Active Mode Assumptions'!C16))</f>
        <v>10.428502068491744</v>
      </c>
      <c r="D118" s="4">
        <f ca="1">D162*'Total Trip Tables Sup #1'!D118-(D115*'Active Mode Assumptions'!D7*'Active Mode Assumptions'!D15/(1+'Active Mode Assumptions'!D7))-(D116*'Active Mode Assumptions'!D16*'Active Mode Assumptions'!D24/(1+'Active Mode Assumptions'!D16))</f>
        <v>10.058888456730605</v>
      </c>
      <c r="E118" s="4">
        <f ca="1">E162*'Total Trip Tables Sup #1'!E118-(E115*'Active Mode Assumptions'!E7*'Active Mode Assumptions'!E15/(1+'Active Mode Assumptions'!E7))-(E116*'Active Mode Assumptions'!E16*'Active Mode Assumptions'!E24/(1+'Active Mode Assumptions'!E16))</f>
        <v>9.6962284682141267</v>
      </c>
      <c r="F118" s="4">
        <f ca="1">F162*'Total Trip Tables Sup #1'!F118-(F115*'Active Mode Assumptions'!F7*'Active Mode Assumptions'!F15/(1+'Active Mode Assumptions'!F7))-(F116*'Active Mode Assumptions'!F16*'Active Mode Assumptions'!F24/(1+'Active Mode Assumptions'!F16))</f>
        <v>9.3004653433227897</v>
      </c>
      <c r="G118" s="4">
        <f ca="1">G162*'Total Trip Tables Sup #1'!G118-(G115*'Active Mode Assumptions'!G7*'Active Mode Assumptions'!G15/(1+'Active Mode Assumptions'!G7))-(G116*'Active Mode Assumptions'!G16*'Active Mode Assumptions'!G24/(1+'Active Mode Assumptions'!G16))</f>
        <v>8.8614574042183722</v>
      </c>
      <c r="H118" s="4">
        <f ca="1">H162*'Total Trip Tables Sup #1'!H118-(H115*'Active Mode Assumptions'!H7*'Active Mode Assumptions'!H15/(1+'Active Mode Assumptions'!H7))-(H116*'Active Mode Assumptions'!H16*'Active Mode Assumptions'!H24/(1+'Active Mode Assumptions'!H16))</f>
        <v>8.4027072628101607</v>
      </c>
      <c r="I118" s="1">
        <f ca="1">I162*'Total Trip Tables Sup #1'!I118-(I115*'Active Mode Assumptions'!I7*'Active Mode Assumptions'!I15/(1+'Active Mode Assumptions'!I7))-(I116*'Active Mode Assumptions'!I16*'Active Mode Assumptions'!I24/(1+'Active Mode Assumptions'!I16))</f>
        <v>8.1915281369084543</v>
      </c>
      <c r="J118" s="1">
        <f ca="1">J162*'Total Trip Tables Sup #1'!J118-(J115*'Active Mode Assumptions'!J7*'Active Mode Assumptions'!J15/(1+'Active Mode Assumptions'!J7))-(J116*'Active Mode Assumptions'!J16*'Active Mode Assumptions'!J24/(1+'Active Mode Assumptions'!J16))</f>
        <v>7.9613371777780069</v>
      </c>
      <c r="K118" s="1">
        <f ca="1">K162*'Total Trip Tables Sup #1'!K118-(K115*'Active Mode Assumptions'!K7*'Active Mode Assumptions'!K15/(1+'Active Mode Assumptions'!K7))-(K116*'Active Mode Assumptions'!K16*'Active Mode Assumptions'!K24/(1+'Active Mode Assumptions'!K16))</f>
        <v>7.7209092512458959</v>
      </c>
    </row>
    <row r="119" spans="1:11" x14ac:dyDescent="0.2">
      <c r="A119" t="str">
        <f ca="1">OFFSET(West_Coast_Reference,28,2)</f>
        <v>Taxi/Vehicle Share</v>
      </c>
      <c r="B119" s="4">
        <f ca="1">B163*'Total Trip Tables Sup #1'!B119</f>
        <v>0.29973375209999997</v>
      </c>
      <c r="C119" s="4">
        <f ca="1">C163*'Total Trip Tables Sup #1'!C119</f>
        <v>0.31543710004307279</v>
      </c>
      <c r="D119" s="4">
        <f ca="1">D163*'Total Trip Tables Sup #1'!D119</f>
        <v>0.33109972429795559</v>
      </c>
      <c r="E119" s="4">
        <f ca="1">E163*'Total Trip Tables Sup #1'!E119</f>
        <v>0.33728112447173431</v>
      </c>
      <c r="F119" s="4">
        <f ca="1">F163*'Total Trip Tables Sup #1'!F119</f>
        <v>0.33713590041311914</v>
      </c>
      <c r="G119" s="4">
        <f ca="1">G163*'Total Trip Tables Sup #1'!G119</f>
        <v>0.33107018459741872</v>
      </c>
      <c r="H119" s="4">
        <f ca="1">H163*'Total Trip Tables Sup #1'!H119</f>
        <v>0.32216415602994913</v>
      </c>
      <c r="I119" s="1">
        <f ca="1">I163*'Total Trip Tables Sup #1'!I119</f>
        <v>0.3145804824425531</v>
      </c>
      <c r="J119" s="1">
        <f ca="1">J163*'Total Trip Tables Sup #1'!J119</f>
        <v>0.3064055827115057</v>
      </c>
      <c r="K119" s="1">
        <f ca="1">K163*'Total Trip Tables Sup #1'!K119</f>
        <v>0.29780091428032346</v>
      </c>
    </row>
    <row r="120" spans="1:11" x14ac:dyDescent="0.2">
      <c r="A120" t="str">
        <f ca="1">OFFSET(West_Coast_Reference,35,2)</f>
        <v>Motorcyclist</v>
      </c>
      <c r="B120" s="4">
        <f ca="1">B164*'Total Trip Tables Sup #1'!B120</f>
        <v>6.1723256599999998E-2</v>
      </c>
      <c r="C120" s="4">
        <f ca="1">C164*'Total Trip Tables Sup #1'!C120</f>
        <v>5.8756202172297184E-2</v>
      </c>
      <c r="D120" s="4">
        <f ca="1">D164*'Total Trip Tables Sup #1'!D120</f>
        <v>5.7205089771354495E-2</v>
      </c>
      <c r="E120" s="4">
        <f ca="1">E164*'Total Trip Tables Sup #1'!E120</f>
        <v>5.4902858419673767E-2</v>
      </c>
      <c r="F120" s="4">
        <f ca="1">F164*'Total Trip Tables Sup #1'!F120</f>
        <v>5.2010214086036018E-2</v>
      </c>
      <c r="G120" s="4">
        <f ca="1">G164*'Total Trip Tables Sup #1'!G120</f>
        <v>4.815039169289631E-2</v>
      </c>
      <c r="H120" s="4">
        <f ca="1">H164*'Total Trip Tables Sup #1'!H120</f>
        <v>4.4207577184085654E-2</v>
      </c>
      <c r="I120" s="1">
        <f ca="1">I164*'Total Trip Tables Sup #1'!I120</f>
        <v>4.3379067759479119E-2</v>
      </c>
      <c r="J120" s="1">
        <f ca="1">J164*'Total Trip Tables Sup #1'!J120</f>
        <v>4.2504773042019522E-2</v>
      </c>
      <c r="K120" s="1">
        <f ca="1">K164*'Total Trip Tables Sup #1'!K120</f>
        <v>4.1558123034368406E-2</v>
      </c>
    </row>
    <row r="121" spans="1:11" x14ac:dyDescent="0.2">
      <c r="A121" t="str">
        <f ca="1">OFFSET(Nelson_Reference,42,2)</f>
        <v>Local Train</v>
      </c>
      <c r="B121" s="4">
        <f ca="1">B165*'Total Trip Tables Sup #1'!B121</f>
        <v>0</v>
      </c>
      <c r="C121" s="4">
        <f ca="1">C165*'Total Trip Tables Sup #1'!C121</f>
        <v>0</v>
      </c>
      <c r="D121" s="4">
        <f ca="1">D165*'Total Trip Tables Sup #1'!D121</f>
        <v>0</v>
      </c>
      <c r="E121" s="4">
        <f ca="1">E165*'Total Trip Tables Sup #1'!E121</f>
        <v>0</v>
      </c>
      <c r="F121" s="4">
        <f ca="1">F165*'Total Trip Tables Sup #1'!F121</f>
        <v>0</v>
      </c>
      <c r="G121" s="4">
        <f ca="1">G165*'Total Trip Tables Sup #1'!G121</f>
        <v>0</v>
      </c>
      <c r="H121" s="4">
        <f ca="1">H165*'Total Trip Tables Sup #1'!H121</f>
        <v>0</v>
      </c>
      <c r="I121" s="1">
        <f ca="1">I165*'Total Trip Tables Sup #1'!I121</f>
        <v>0</v>
      </c>
      <c r="J121" s="1">
        <f ca="1">J165*'Total Trip Tables Sup #1'!J121</f>
        <v>0</v>
      </c>
      <c r="K121" s="1">
        <f ca="1">K165*'Total Trip Tables Sup #1'!K121</f>
        <v>0</v>
      </c>
    </row>
    <row r="122" spans="1:11" x14ac:dyDescent="0.2">
      <c r="A122" t="str">
        <f ca="1">OFFSET(West_Coast_Reference,42,2)</f>
        <v>Local Bus</v>
      </c>
      <c r="B122" s="4">
        <f ca="1">B166*'Total Trip Tables Sup #1'!B122</f>
        <v>0.50805546800000001</v>
      </c>
      <c r="C122" s="4">
        <f ca="1">C166*'Total Trip Tables Sup #1'!C122</f>
        <v>0.44245795100750362</v>
      </c>
      <c r="D122" s="4">
        <f ca="1">D166*'Total Trip Tables Sup #1'!D122</f>
        <v>0.42979400390861305</v>
      </c>
      <c r="E122" s="4">
        <f ca="1">E166*'Total Trip Tables Sup #1'!E122</f>
        <v>0.41211026770095305</v>
      </c>
      <c r="F122" s="4">
        <f ca="1">F166*'Total Trip Tables Sup #1'!F122</f>
        <v>0.39303647026102401</v>
      </c>
      <c r="G122" s="4">
        <f ca="1">G166*'Total Trip Tables Sup #1'!G122</f>
        <v>0.37728716408844759</v>
      </c>
      <c r="H122" s="4">
        <f ca="1">H166*'Total Trip Tables Sup #1'!H122</f>
        <v>0.36146770898082126</v>
      </c>
      <c r="I122" s="1">
        <f ca="1">I166*'Total Trip Tables Sup #1'!I122</f>
        <v>0.35271120229996145</v>
      </c>
      <c r="J122" s="1">
        <f ca="1">J166*'Total Trip Tables Sup #1'!J122</f>
        <v>0.34316649886546974</v>
      </c>
      <c r="K122" s="1">
        <f ca="1">K166*'Total Trip Tables Sup #1'!K122</f>
        <v>0.33315953256340741</v>
      </c>
    </row>
    <row r="123" spans="1:11" x14ac:dyDescent="0.2">
      <c r="A123" t="str">
        <f ca="1">OFFSET(Wellington_Reference,56,2)</f>
        <v>Local Ferry</v>
      </c>
      <c r="B123" s="4">
        <f ca="1">B167*'Total Trip Tables Sup #1'!B123</f>
        <v>0</v>
      </c>
      <c r="C123" s="4">
        <f ca="1">C167*'Total Trip Tables Sup #1'!C123</f>
        <v>0</v>
      </c>
      <c r="D123" s="4">
        <f ca="1">D167*'Total Trip Tables Sup #1'!D123</f>
        <v>0</v>
      </c>
      <c r="E123" s="4">
        <f ca="1">E167*'Total Trip Tables Sup #1'!E123</f>
        <v>0</v>
      </c>
      <c r="F123" s="4">
        <f ca="1">F167*'Total Trip Tables Sup #1'!F123</f>
        <v>0</v>
      </c>
      <c r="G123" s="4">
        <f ca="1">G167*'Total Trip Tables Sup #1'!G123</f>
        <v>0</v>
      </c>
      <c r="H123" s="4">
        <f ca="1">H167*'Total Trip Tables Sup #1'!H123</f>
        <v>0</v>
      </c>
      <c r="I123" s="1">
        <f ca="1">I167*'Total Trip Tables Sup #1'!I123</f>
        <v>0</v>
      </c>
      <c r="J123" s="1">
        <f ca="1">J167*'Total Trip Tables Sup #1'!J123</f>
        <v>0</v>
      </c>
      <c r="K123" s="1">
        <f ca="1">K167*'Total Trip Tables Sup #1'!K123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Trip Tables Sup #1'!B124</f>
        <v>2.77012627E-2</v>
      </c>
      <c r="C124" s="4">
        <f ca="1">C168*'Total Trip Tables Sup #1'!C124</f>
        <v>2.6954691958737224E-2</v>
      </c>
      <c r="D124" s="4">
        <f ca="1">D168*'Total Trip Tables Sup #1'!D124</f>
        <v>2.705119924071785E-2</v>
      </c>
      <c r="E124" s="4">
        <f ca="1">E168*'Total Trip Tables Sup #1'!E124</f>
        <v>2.6535043025918564E-2</v>
      </c>
      <c r="F124" s="4">
        <f ca="1">F168*'Total Trip Tables Sup #1'!F124</f>
        <v>2.5618858934575089E-2</v>
      </c>
      <c r="G124" s="4">
        <f ca="1">G168*'Total Trip Tables Sup #1'!G124</f>
        <v>2.4393352323357386E-2</v>
      </c>
      <c r="H124" s="4">
        <f ca="1">H168*'Total Trip Tables Sup #1'!H124</f>
        <v>2.2760194743045872E-2</v>
      </c>
      <c r="I124" s="1">
        <f ca="1">I168*'Total Trip Tables Sup #1'!I124</f>
        <v>2.2217668638110789E-2</v>
      </c>
      <c r="J124" s="1">
        <f ca="1">J168*'Total Trip Tables Sup #1'!J124</f>
        <v>2.1629813790428134E-2</v>
      </c>
      <c r="K124" s="1">
        <f ca="1">K168*'Total Trip Tables Sup #1'!K124</f>
        <v>2.1011779802450732E-2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B159*'Total Trip Tables Sup #1'!B126</f>
        <v>131.04676542000001</v>
      </c>
      <c r="C126" s="4">
        <f ca="1">C159*'Total Trip Tables Sup #1'!C126*(1+'Active Mode Assumptions'!C7)</f>
        <v>141.22214395400169</v>
      </c>
      <c r="D126" s="4">
        <f ca="1">D159*'Total Trip Tables Sup #1'!D126*(1+'Active Mode Assumptions'!D7)</f>
        <v>149.07375491005382</v>
      </c>
      <c r="E126" s="4">
        <f ca="1">E159*'Total Trip Tables Sup #1'!E126*(1+'Active Mode Assumptions'!E7)</f>
        <v>152.83746781425049</v>
      </c>
      <c r="F126" s="4">
        <f ca="1">F159*'Total Trip Tables Sup #1'!F126*(1+'Active Mode Assumptions'!F7)</f>
        <v>155.35304899349831</v>
      </c>
      <c r="G126" s="4">
        <f ca="1">G159*'Total Trip Tables Sup #1'!G126*(1+'Active Mode Assumptions'!G7)</f>
        <v>157.34782109522649</v>
      </c>
      <c r="H126" s="4">
        <f ca="1">H159*'Total Trip Tables Sup #1'!H126*(1+'Active Mode Assumptions'!H7)</f>
        <v>158.337044082174</v>
      </c>
      <c r="I126" s="1">
        <f ca="1">I159*'Total Trip Tables Sup #1'!I126*(1+'Active Mode Assumptions'!I7)</f>
        <v>162.64762163453813</v>
      </c>
      <c r="J126" s="1">
        <f ca="1">J159*'Total Trip Tables Sup #1'!J126*(1+'Active Mode Assumptions'!J7)</f>
        <v>166.66192414190635</v>
      </c>
      <c r="K126" s="1">
        <f ca="1">K159*'Total Trip Tables Sup #1'!K126*(1+'Active Mode Assumptions'!K7)</f>
        <v>170.41407890270517</v>
      </c>
    </row>
    <row r="127" spans="1:11" x14ac:dyDescent="0.2">
      <c r="A127" t="str">
        <f ca="1">OFFSET(Canterbury_Reference,7,2)</f>
        <v>Cyclist</v>
      </c>
      <c r="B127" s="4">
        <f ca="1">B160*'Total Trip Tables Sup #1'!B127</f>
        <v>23.740018446000001</v>
      </c>
      <c r="C127" s="4">
        <f ca="1">C160*'Total Trip Tables Sup #1'!C127*(1+'Active Mode Assumptions'!C16)</f>
        <v>25.006439706055435</v>
      </c>
      <c r="D127" s="4">
        <f ca="1">D160*'Total Trip Tables Sup #1'!D127*(1+'Active Mode Assumptions'!D16)</f>
        <v>29.174415867666792</v>
      </c>
      <c r="E127" s="4">
        <f ca="1">E160*'Total Trip Tables Sup #1'!E127*(1+'Active Mode Assumptions'!E16)</f>
        <v>31.939534575594571</v>
      </c>
      <c r="F127" s="4">
        <f ca="1">F160*'Total Trip Tables Sup #1'!F127*(1+'Active Mode Assumptions'!F16)</f>
        <v>34.814171053984801</v>
      </c>
      <c r="G127" s="4">
        <f ca="1">G160*'Total Trip Tables Sup #1'!G127*(1+'Active Mode Assumptions'!G16)</f>
        <v>37.759561511984508</v>
      </c>
      <c r="H127" s="4">
        <f ca="1">H160*'Total Trip Tables Sup #1'!H127*(1+'Active Mode Assumptions'!H16)</f>
        <v>40.709602246892175</v>
      </c>
      <c r="I127" s="1">
        <f ca="1">I160*'Total Trip Tables Sup #1'!I127*(1+'Active Mode Assumptions'!I16)</f>
        <v>42.094694530623457</v>
      </c>
      <c r="J127" s="1">
        <f ca="1">J160*'Total Trip Tables Sup #1'!J127*(1+'Active Mode Assumptions'!J16)</f>
        <v>43.54802819211649</v>
      </c>
      <c r="K127" s="1">
        <f ca="1">K160*'Total Trip Tables Sup #1'!K127*(1+'Active Mode Assumptions'!K16)</f>
        <v>44.967502668957948</v>
      </c>
    </row>
    <row r="128" spans="1:11" x14ac:dyDescent="0.2">
      <c r="A128" t="str">
        <f ca="1">OFFSET(Canterbury_Reference,14,2)</f>
        <v>Light Vehicle Driver</v>
      </c>
      <c r="B128" s="4">
        <f ca="1">B161*'Total Trip Tables Sup #1'!B128</f>
        <v>417.41567177000002</v>
      </c>
      <c r="C128" s="4">
        <f ca="1">C161*'Total Trip Tables Sup #1'!C128-(C126*'Active Mode Assumptions'!C7*'Active Mode Assumptions'!C14/(1+'Active Mode Assumptions'!C7))-(C127*'Active Mode Assumptions'!C16*'Active Mode Assumptions'!C23/(1+'Active Mode Assumptions'!C16))</f>
        <v>463.64969314279847</v>
      </c>
      <c r="D128" s="4">
        <f ca="1">D161*'Total Trip Tables Sup #1'!D128-(D126*'Active Mode Assumptions'!D7*'Active Mode Assumptions'!D14/(1+'Active Mode Assumptions'!D7))-(D127*'Active Mode Assumptions'!D16*'Active Mode Assumptions'!D23/(1+'Active Mode Assumptions'!D16))</f>
        <v>486.28920640806189</v>
      </c>
      <c r="E128" s="4">
        <f ca="1">E161*'Total Trip Tables Sup #1'!E128-(E126*'Active Mode Assumptions'!E7*'Active Mode Assumptions'!E14/(1+'Active Mode Assumptions'!E7))-(E127*'Active Mode Assumptions'!E16*'Active Mode Assumptions'!E23/(1+'Active Mode Assumptions'!E16))</f>
        <v>503.33863677120064</v>
      </c>
      <c r="F128" s="4">
        <f ca="1">F161*'Total Trip Tables Sup #1'!F128-(F126*'Active Mode Assumptions'!F7*'Active Mode Assumptions'!F14/(1+'Active Mode Assumptions'!F7))-(F127*'Active Mode Assumptions'!F16*'Active Mode Assumptions'!F23/(1+'Active Mode Assumptions'!F16))</f>
        <v>516.12232673881897</v>
      </c>
      <c r="G128" s="4">
        <f ca="1">G161*'Total Trip Tables Sup #1'!G128-(G126*'Active Mode Assumptions'!G7*'Active Mode Assumptions'!G14/(1+'Active Mode Assumptions'!G7))-(G127*'Active Mode Assumptions'!G16*'Active Mode Assumptions'!G23/(1+'Active Mode Assumptions'!G16))</f>
        <v>523.37517799331783</v>
      </c>
      <c r="H128" s="4">
        <f ca="1">H161*'Total Trip Tables Sup #1'!H128-(H126*'Active Mode Assumptions'!H7*'Active Mode Assumptions'!H14/(1+'Active Mode Assumptions'!H7))-(H127*'Active Mode Assumptions'!H16*'Active Mode Assumptions'!H23/(1+'Active Mode Assumptions'!H16))</f>
        <v>526.46488820954278</v>
      </c>
      <c r="I128" s="1">
        <f ca="1">I161*'Total Trip Tables Sup #1'!I128-(I126*'Active Mode Assumptions'!I7*'Active Mode Assumptions'!I14/(1+'Active Mode Assumptions'!I7))-(I127*'Active Mode Assumptions'!I16*'Active Mode Assumptions'!I23/(1+'Active Mode Assumptions'!I16))</f>
        <v>540.19113034042368</v>
      </c>
      <c r="J128" s="1">
        <f ca="1">J161*'Total Trip Tables Sup #1'!J128-(J126*'Active Mode Assumptions'!J7*'Active Mode Assumptions'!J14/(1+'Active Mode Assumptions'!J7))-(J127*'Active Mode Assumptions'!J16*'Active Mode Assumptions'!J23/(1+'Active Mode Assumptions'!J16))</f>
        <v>552.64506995606655</v>
      </c>
      <c r="K128" s="1">
        <f ca="1">K161*'Total Trip Tables Sup #1'!K128-(K126*'Active Mode Assumptions'!K7*'Active Mode Assumptions'!K14/(1+'Active Mode Assumptions'!K7))-(K127*'Active Mode Assumptions'!K16*'Active Mode Assumptions'!K23/(1+'Active Mode Assumptions'!K16))</f>
        <v>564.17101151353938</v>
      </c>
    </row>
    <row r="129" spans="1:11" x14ac:dyDescent="0.2">
      <c r="A129" t="str">
        <f ca="1">OFFSET(Canterbury_Reference,21,2)</f>
        <v>Light Vehicle Passenger</v>
      </c>
      <c r="B129" s="4">
        <f ca="1">B162*'Total Trip Tables Sup #1'!B129</f>
        <v>189.77500578000001</v>
      </c>
      <c r="C129" s="4">
        <f ca="1">C162*'Total Trip Tables Sup #1'!C129-(C126*'Active Mode Assumptions'!C7*'Active Mode Assumptions'!C15/(1+'Active Mode Assumptions'!C7))-(C127*'Active Mode Assumptions'!C16*'Active Mode Assumptions'!C24/(1+'Active Mode Assumptions'!C16))</f>
        <v>200.60975771430768</v>
      </c>
      <c r="D129" s="4">
        <f ca="1">D162*'Total Trip Tables Sup #1'!D129-(D126*'Active Mode Assumptions'!D7*'Active Mode Assumptions'!D15/(1+'Active Mode Assumptions'!D7))-(D127*'Active Mode Assumptions'!D16*'Active Mode Assumptions'!D24/(1+'Active Mode Assumptions'!D16))</f>
        <v>205.6896344223255</v>
      </c>
      <c r="E129" s="4">
        <f ca="1">E162*'Total Trip Tables Sup #1'!E129-(E126*'Active Mode Assumptions'!E7*'Active Mode Assumptions'!E15/(1+'Active Mode Assumptions'!E7))-(E127*'Active Mode Assumptions'!E16*'Active Mode Assumptions'!E24/(1+'Active Mode Assumptions'!E16))</f>
        <v>208.0049424616347</v>
      </c>
      <c r="F129" s="4">
        <f ca="1">F162*'Total Trip Tables Sup #1'!F129-(F126*'Active Mode Assumptions'!F7*'Active Mode Assumptions'!F15/(1+'Active Mode Assumptions'!F7))-(F127*'Active Mode Assumptions'!F16*'Active Mode Assumptions'!F24/(1+'Active Mode Assumptions'!F16))</f>
        <v>209.45299955246284</v>
      </c>
      <c r="G129" s="4">
        <f ca="1">G162*'Total Trip Tables Sup #1'!G129-(G126*'Active Mode Assumptions'!G7*'Active Mode Assumptions'!G15/(1+'Active Mode Assumptions'!G7))-(G127*'Active Mode Assumptions'!G16*'Active Mode Assumptions'!G24/(1+'Active Mode Assumptions'!G16))</f>
        <v>209.64192863851039</v>
      </c>
      <c r="H129" s="4">
        <f ca="1">H162*'Total Trip Tables Sup #1'!H129-(H126*'Active Mode Assumptions'!H7*'Active Mode Assumptions'!H15/(1+'Active Mode Assumptions'!H7))-(H127*'Active Mode Assumptions'!H16*'Active Mode Assumptions'!H24/(1+'Active Mode Assumptions'!H16))</f>
        <v>208.65251111531418</v>
      </c>
      <c r="I129" s="1">
        <f ca="1">I162*'Total Trip Tables Sup #1'!I129-(I126*'Active Mode Assumptions'!I7*'Active Mode Assumptions'!I15/(1+'Active Mode Assumptions'!I7))-(I127*'Active Mode Assumptions'!I16*'Active Mode Assumptions'!I24/(1+'Active Mode Assumptions'!I16))</f>
        <v>214.04533581451034</v>
      </c>
      <c r="J129" s="1">
        <f ca="1">J162*'Total Trip Tables Sup #1'!J129-(J126*'Active Mode Assumptions'!J7*'Active Mode Assumptions'!J15/(1+'Active Mode Assumptions'!J7))-(J127*'Active Mode Assumptions'!J16*'Active Mode Assumptions'!J24/(1+'Active Mode Assumptions'!J16))</f>
        <v>218.90203475055822</v>
      </c>
      <c r="K129" s="1">
        <f ca="1">K162*'Total Trip Tables Sup #1'!K129-(K126*'Active Mode Assumptions'!K7*'Active Mode Assumptions'!K15/(1+'Active Mode Assumptions'!K7))-(K127*'Active Mode Assumptions'!K16*'Active Mode Assumptions'!K24/(1+'Active Mode Assumptions'!K16))</f>
        <v>223.38479147040124</v>
      </c>
    </row>
    <row r="130" spans="1:11" x14ac:dyDescent="0.2">
      <c r="A130" t="str">
        <f ca="1">OFFSET(Canterbury_Reference,28,2)</f>
        <v>Taxi/Vehicle Share</v>
      </c>
      <c r="B130" s="4">
        <f ca="1">B163*'Total Trip Tables Sup #1'!B130</f>
        <v>2.2446435044999999</v>
      </c>
      <c r="C130" s="4">
        <f ca="1">C163*'Total Trip Tables Sup #1'!C130</f>
        <v>2.6555303662252014</v>
      </c>
      <c r="D130" s="4">
        <f ca="1">D163*'Total Trip Tables Sup #1'!D130</f>
        <v>2.9707680620486263</v>
      </c>
      <c r="E130" s="4">
        <f ca="1">E163*'Total Trip Tables Sup #1'!E130</f>
        <v>3.182959384341129</v>
      </c>
      <c r="F130" s="4">
        <f ca="1">F163*'Total Trip Tables Sup #1'!F130</f>
        <v>3.3486167138688692</v>
      </c>
      <c r="G130" s="4">
        <f ca="1">G163*'Total Trip Tables Sup #1'!G130</f>
        <v>3.4633192700527671</v>
      </c>
      <c r="H130" s="4">
        <f ca="1">H163*'Total Trip Tables Sup #1'!H130</f>
        <v>3.5466261164835737</v>
      </c>
      <c r="I130" s="1">
        <f ca="1">I163*'Total Trip Tables Sup #1'!I130</f>
        <v>3.6444810212754262</v>
      </c>
      <c r="J130" s="1">
        <f ca="1">J163*'Total Trip Tables Sup #1'!J130</f>
        <v>3.735651233062355</v>
      </c>
      <c r="K130" s="1">
        <f ca="1">K163*'Total Trip Tables Sup #1'!K130</f>
        <v>3.8208624726807128</v>
      </c>
    </row>
    <row r="131" spans="1:11" x14ac:dyDescent="0.2">
      <c r="A131" t="str">
        <f ca="1">OFFSET(Canterbury_Reference,35,2)</f>
        <v>Motorcyclist</v>
      </c>
      <c r="B131" s="4">
        <f ca="1">B164*'Total Trip Tables Sup #1'!B131</f>
        <v>1.4451657518000001</v>
      </c>
      <c r="C131" s="4">
        <f ca="1">C164*'Total Trip Tables Sup #1'!C131</f>
        <v>1.5464978493333583</v>
      </c>
      <c r="D131" s="4">
        <f ca="1">D164*'Total Trip Tables Sup #1'!D131</f>
        <v>1.604729003191413</v>
      </c>
      <c r="E131" s="4">
        <f ca="1">E164*'Total Trip Tables Sup #1'!E131</f>
        <v>1.6199108672822866</v>
      </c>
      <c r="F131" s="4">
        <f ca="1">F164*'Total Trip Tables Sup #1'!F131</f>
        <v>1.6151251650058955</v>
      </c>
      <c r="G131" s="4">
        <f ca="1">G164*'Total Trip Tables Sup #1'!G131</f>
        <v>1.5748144316611239</v>
      </c>
      <c r="H131" s="4">
        <f ca="1">H164*'Total Trip Tables Sup #1'!H131</f>
        <v>1.5215702411782137</v>
      </c>
      <c r="I131" s="1">
        <f ca="1">I164*'Total Trip Tables Sup #1'!I131</f>
        <v>1.5712353329360165</v>
      </c>
      <c r="J131" s="1">
        <f ca="1">J164*'Total Trip Tables Sup #1'!J131</f>
        <v>1.6201844287725253</v>
      </c>
      <c r="K131" s="1">
        <f ca="1">K164*'Total Trip Tables Sup #1'!K131</f>
        <v>1.6670491603340769</v>
      </c>
    </row>
    <row r="132" spans="1:11" x14ac:dyDescent="0.2">
      <c r="A132" t="str">
        <f ca="1">OFFSET(Canterbury_Reference,42,2)</f>
        <v>Local Train</v>
      </c>
      <c r="B132" s="4">
        <f ca="1" xml:space="preserve"> 'Total Trip Tables Sup #1'!B132</f>
        <v>2.1901243099999999E-2</v>
      </c>
      <c r="C132" s="4">
        <f ca="1" xml:space="preserve"> 'Total Trip Tables Sup #1'!C132</f>
        <v>1.99248107E-2</v>
      </c>
      <c r="D132" s="4">
        <f ca="1" xml:space="preserve"> 'Total Trip Tables Sup #1'!D132</f>
        <v>1.6459804799999998E-2</v>
      </c>
      <c r="E132" s="4">
        <f ca="1" xml:space="preserve"> 'Total Trip Tables Sup #1'!E132</f>
        <v>1.4009838300000001E-2</v>
      </c>
      <c r="F132" s="4">
        <f ca="1" xml:space="preserve"> 'Total Trip Tables Sup #1'!F132</f>
        <v>1.22507378E-2</v>
      </c>
      <c r="G132" s="4">
        <f ca="1" xml:space="preserve"> 'Total Trip Tables Sup #1'!G132</f>
        <v>9.6489904999999994E-3</v>
      </c>
      <c r="H132" s="4">
        <f ca="1" xml:space="preserve"> 'Total Trip Tables Sup #1'!H132</f>
        <v>7.4421276E-3</v>
      </c>
      <c r="I132" s="1">
        <f ca="1" xml:space="preserve"> 'Total Trip Tables Sup #1'!I132</f>
        <v>7.4421276E-3</v>
      </c>
      <c r="J132" s="1">
        <f ca="1" xml:space="preserve"> 'Total Trip Tables Sup #1'!J132</f>
        <v>7.4421276E-3</v>
      </c>
      <c r="K132" s="1">
        <f ca="1" xml:space="preserve"> 'Total Trip Tables Sup #1'!K132</f>
        <v>7.4421276E-3</v>
      </c>
    </row>
    <row r="133" spans="1:11" x14ac:dyDescent="0.2">
      <c r="A133" t="str">
        <f ca="1">OFFSET(Canterbury_Reference,49,2)</f>
        <v>Local Bus</v>
      </c>
      <c r="B133" s="4">
        <f ca="1" xml:space="preserve"> 'Total Trip Tables Sup #1'!B133</f>
        <v>20.502079716000001</v>
      </c>
      <c r="C133" s="4">
        <f ca="1" xml:space="preserve"> 'Total Trip Tables Sup #1'!C133</f>
        <v>18.950914411999999</v>
      </c>
      <c r="D133" s="4">
        <f ca="1" xml:space="preserve"> 'Total Trip Tables Sup #1'!D133</f>
        <v>18.604709035999999</v>
      </c>
      <c r="E133" s="4">
        <f ca="1" xml:space="preserve"> 'Total Trip Tables Sup #1'!E133</f>
        <v>17.364226896000002</v>
      </c>
      <c r="F133" s="4">
        <f ca="1" xml:space="preserve"> 'Total Trip Tables Sup #1'!F133</f>
        <v>16.073011381000001</v>
      </c>
      <c r="G133" s="4">
        <f ca="1" xml:space="preserve"> 'Total Trip Tables Sup #1'!G133</f>
        <v>15.092949816999999</v>
      </c>
      <c r="H133" s="4">
        <f ca="1" xml:space="preserve"> 'Total Trip Tables Sup #1'!H133</f>
        <v>14.25533604</v>
      </c>
      <c r="I133" s="1">
        <f ca="1" xml:space="preserve"> 'Total Trip Tables Sup #1'!I133</f>
        <v>14.25533604</v>
      </c>
      <c r="J133" s="1">
        <f ca="1" xml:space="preserve"> 'Total Trip Tables Sup #1'!J133</f>
        <v>14.25533604</v>
      </c>
      <c r="K133" s="1">
        <f ca="1" xml:space="preserve"> 'Total Trip Tables Sup #1'!K133</f>
        <v>14.25533604</v>
      </c>
    </row>
    <row r="134" spans="1:11" x14ac:dyDescent="0.2">
      <c r="A134" t="str">
        <f ca="1">OFFSET(Wellington_Reference,56,2)</f>
        <v>Local Ferry</v>
      </c>
      <c r="B134" s="4">
        <f ca="1">B167*'Total Trip Tables Sup #1'!B134</f>
        <v>0</v>
      </c>
      <c r="C134" s="4">
        <f ca="1">C167*'Total Trip Tables Sup #1'!C134</f>
        <v>0</v>
      </c>
      <c r="D134" s="4">
        <f ca="1">D167*'Total Trip Tables Sup #1'!D134</f>
        <v>0</v>
      </c>
      <c r="E134" s="4">
        <f ca="1">E167*'Total Trip Tables Sup #1'!E134</f>
        <v>0</v>
      </c>
      <c r="F134" s="4">
        <f ca="1">F167*'Total Trip Tables Sup #1'!F134</f>
        <v>0</v>
      </c>
      <c r="G134" s="4">
        <f ca="1">G167*'Total Trip Tables Sup #1'!G134</f>
        <v>0</v>
      </c>
      <c r="H134" s="4">
        <f ca="1">H167*'Total Trip Tables Sup #1'!H134</f>
        <v>0</v>
      </c>
      <c r="I134" s="1">
        <f ca="1">I167*'Total Trip Tables Sup #1'!I134</f>
        <v>0</v>
      </c>
      <c r="J134" s="1">
        <f ca="1">J167*'Total Trip Tables Sup #1'!J134</f>
        <v>0</v>
      </c>
      <c r="K134" s="1">
        <f ca="1">K167*'Total Trip Tables Sup #1'!K134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Trip Tables Sup #1'!B135</f>
        <v>1.5386198845000001</v>
      </c>
      <c r="C135" s="4">
        <f ca="1">C168*'Total Trip Tables Sup #1'!C135</f>
        <v>1.6830341292195463</v>
      </c>
      <c r="D135" s="4">
        <f ca="1">D168*'Total Trip Tables Sup #1'!D135</f>
        <v>1.8001823509689239</v>
      </c>
      <c r="E135" s="4">
        <f ca="1">E168*'Total Trip Tables Sup #1'!E135</f>
        <v>1.8572865138252888</v>
      </c>
      <c r="F135" s="4">
        <f ca="1">F168*'Total Trip Tables Sup #1'!F135</f>
        <v>1.887297091965634</v>
      </c>
      <c r="G135" s="4">
        <f ca="1">G168*'Total Trip Tables Sup #1'!G135</f>
        <v>1.8926224884748635</v>
      </c>
      <c r="H135" s="4">
        <f ca="1">H168*'Total Trip Tables Sup #1'!H135</f>
        <v>1.8583786676812555</v>
      </c>
      <c r="I135" s="1">
        <f ca="1">I168*'Total Trip Tables Sup #1'!I135</f>
        <v>1.909072639144324</v>
      </c>
      <c r="J135" s="1">
        <f ca="1">J168*'Total Trip Tables Sup #1'!J135</f>
        <v>1.9558812303232955</v>
      </c>
      <c r="K135" s="1">
        <f ca="1">K168*'Total Trip Tables Sup #1'!K135</f>
        <v>1.9994855479737452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B159*'Total Trip Tables Sup #1'!B137</f>
        <v>58.261736425999999</v>
      </c>
      <c r="C137" s="4">
        <f ca="1">C159*'Total Trip Tables Sup #1'!C137*(1+'Active Mode Assumptions'!C7)</f>
        <v>61.327768980245622</v>
      </c>
      <c r="D137" s="4">
        <f ca="1">D159*'Total Trip Tables Sup #1'!D137*(1+'Active Mode Assumptions'!D7)</f>
        <v>63.485156574296816</v>
      </c>
      <c r="E137" s="4">
        <f ca="1">E159*'Total Trip Tables Sup #1'!E137*(1+'Active Mode Assumptions'!E7)</f>
        <v>64.033953667865305</v>
      </c>
      <c r="F137" s="4">
        <f ca="1">F159*'Total Trip Tables Sup #1'!F137*(1+'Active Mode Assumptions'!F7)</f>
        <v>64.061583287723522</v>
      </c>
      <c r="G137" s="4">
        <f ca="1">G159*'Total Trip Tables Sup #1'!G137*(1+'Active Mode Assumptions'!G7)</f>
        <v>63.900089847402704</v>
      </c>
      <c r="H137" s="4">
        <f ca="1">H159*'Total Trip Tables Sup #1'!H137*(1+'Active Mode Assumptions'!H7)</f>
        <v>63.340981093338364</v>
      </c>
      <c r="I137" s="1">
        <f ca="1">I159*'Total Trip Tables Sup #1'!I137*(1+'Active Mode Assumptions'!I7)</f>
        <v>64.093130935688237</v>
      </c>
      <c r="J137" s="1">
        <f ca="1">J159*'Total Trip Tables Sup #1'!J137*(1+'Active Mode Assumptions'!J7)</f>
        <v>64.693653651848493</v>
      </c>
      <c r="K137" s="1">
        <f ca="1">K159*'Total Trip Tables Sup #1'!K137*(1+'Active Mode Assumptions'!K7)</f>
        <v>65.161680559401091</v>
      </c>
    </row>
    <row r="138" spans="1:11" x14ac:dyDescent="0.2">
      <c r="A138" t="str">
        <f ca="1">OFFSET(Otago_Reference,7,2)</f>
        <v>Cyclist</v>
      </c>
      <c r="B138" s="4">
        <f ca="1">B160*'Total Trip Tables Sup #1'!B138</f>
        <v>4.5847179276999999</v>
      </c>
      <c r="C138" s="4">
        <f ca="1">C160*'Total Trip Tables Sup #1'!C138*(1+'Active Mode Assumptions'!C16)</f>
        <v>4.7171607874232118</v>
      </c>
      <c r="D138" s="4">
        <f ca="1">D160*'Total Trip Tables Sup #1'!D138*(1+'Active Mode Assumptions'!D16)</f>
        <v>5.3969404291284633</v>
      </c>
      <c r="E138" s="4">
        <f ca="1">E160*'Total Trip Tables Sup #1'!E138*(1+'Active Mode Assumptions'!E16)</f>
        <v>5.812775067522197</v>
      </c>
      <c r="F138" s="4">
        <f ca="1">F160*'Total Trip Tables Sup #1'!F138*(1+'Active Mode Assumptions'!F16)</f>
        <v>6.2360328809296783</v>
      </c>
      <c r="G138" s="4">
        <f ca="1">G160*'Total Trip Tables Sup #1'!G138*(1+'Active Mode Assumptions'!G16)</f>
        <v>6.6610413339454153</v>
      </c>
      <c r="H138" s="4">
        <f ca="1">H160*'Total Trip Tables Sup #1'!H138*(1+'Active Mode Assumptions'!H16)</f>
        <v>7.0741385719763432</v>
      </c>
      <c r="I138" s="1">
        <f ca="1">I160*'Total Trip Tables Sup #1'!I138*(1+'Active Mode Assumptions'!I16)</f>
        <v>7.2055242365619812</v>
      </c>
      <c r="J138" s="1">
        <f ca="1">J160*'Total Trip Tables Sup #1'!J138*(1+'Active Mode Assumptions'!J16)</f>
        <v>7.3429104828809528</v>
      </c>
      <c r="K138" s="1">
        <f ca="1">K160*'Total Trip Tables Sup #1'!K138*(1+'Active Mode Assumptions'!K16)</f>
        <v>7.4689581300724504</v>
      </c>
    </row>
    <row r="139" spans="1:11" x14ac:dyDescent="0.2">
      <c r="A139" t="str">
        <f ca="1">OFFSET(Otago_Reference,14,2)</f>
        <v>Light Vehicle Driver</v>
      </c>
      <c r="B139" s="4">
        <f ca="1">B161*'Total Trip Tables Sup #1'!B139</f>
        <v>150.49144967999999</v>
      </c>
      <c r="C139" s="4">
        <f ca="1">C161*'Total Trip Tables Sup #1'!C139-(C137*'Active Mode Assumptions'!C7*'Active Mode Assumptions'!C14/(1+'Active Mode Assumptions'!C7))-(C138*'Active Mode Assumptions'!C16*'Active Mode Assumptions'!C23/(1+'Active Mode Assumptions'!C16))</f>
        <v>163.27898770764585</v>
      </c>
      <c r="D139" s="4">
        <f ca="1">D161*'Total Trip Tables Sup #1'!D139-(D137*'Active Mode Assumptions'!D7*'Active Mode Assumptions'!D14/(1+'Active Mode Assumptions'!D7))-(D138*'Active Mode Assumptions'!D16*'Active Mode Assumptions'!D23/(1+'Active Mode Assumptions'!D16))</f>
        <v>167.98650060701644</v>
      </c>
      <c r="E139" s="4">
        <f ca="1">E161*'Total Trip Tables Sup #1'!E139-(E137*'Active Mode Assumptions'!E7*'Active Mode Assumptions'!E14/(1+'Active Mode Assumptions'!E7))-(E138*'Active Mode Assumptions'!E16*'Active Mode Assumptions'!E23/(1+'Active Mode Assumptions'!E16))</f>
        <v>171.1055912804656</v>
      </c>
      <c r="F139" s="4">
        <f ca="1">F161*'Total Trip Tables Sup #1'!F139-(F137*'Active Mode Assumptions'!F7*'Active Mode Assumptions'!F14/(1+'Active Mode Assumptions'!F7))-(F138*'Active Mode Assumptions'!F16*'Active Mode Assumptions'!F23/(1+'Active Mode Assumptions'!F16))</f>
        <v>172.73081961109872</v>
      </c>
      <c r="G139" s="4">
        <f ca="1">G161*'Total Trip Tables Sup #1'!G139-(G137*'Active Mode Assumptions'!G7*'Active Mode Assumptions'!G14/(1+'Active Mode Assumptions'!G7))-(G138*'Active Mode Assumptions'!G16*'Active Mode Assumptions'!G23/(1+'Active Mode Assumptions'!G16))</f>
        <v>172.55003529711135</v>
      </c>
      <c r="H139" s="4">
        <f ca="1">H161*'Total Trip Tables Sup #1'!H139-(H137*'Active Mode Assumptions'!H7*'Active Mode Assumptions'!H14/(1+'Active Mode Assumptions'!H7))-(H138*'Active Mode Assumptions'!H16*'Active Mode Assumptions'!H23/(1+'Active Mode Assumptions'!H16))</f>
        <v>171.02695700137176</v>
      </c>
      <c r="I139" s="1">
        <f ca="1">I161*'Total Trip Tables Sup #1'!I139-(I137*'Active Mode Assumptions'!I7*'Active Mode Assumptions'!I14/(1+'Active Mode Assumptions'!I7))-(I138*'Active Mode Assumptions'!I16*'Active Mode Assumptions'!I23/(1+'Active Mode Assumptions'!I16))</f>
        <v>172.86752065116139</v>
      </c>
      <c r="J139" s="1">
        <f ca="1">J161*'Total Trip Tables Sup #1'!J139-(J137*'Active Mode Assumptions'!J7*'Active Mode Assumptions'!J14/(1+'Active Mode Assumptions'!J7))-(J138*'Active Mode Assumptions'!J16*'Active Mode Assumptions'!J23/(1+'Active Mode Assumptions'!J16))</f>
        <v>174.21571737030851</v>
      </c>
      <c r="K139" s="1">
        <f ca="1">K161*'Total Trip Tables Sup #1'!K139-(K137*'Active Mode Assumptions'!K7*'Active Mode Assumptions'!K14/(1+'Active Mode Assumptions'!K7))-(K138*'Active Mode Assumptions'!K16*'Active Mode Assumptions'!K23/(1+'Active Mode Assumptions'!K16))</f>
        <v>175.19729598749271</v>
      </c>
    </row>
    <row r="140" spans="1:11" x14ac:dyDescent="0.2">
      <c r="A140" t="str">
        <f ca="1">OFFSET(Otago_Reference,21,2)</f>
        <v>Light Vehicle Passenger</v>
      </c>
      <c r="B140" s="4">
        <f ca="1">B162*'Total Trip Tables Sup #1'!B140</f>
        <v>71.232164202000021</v>
      </c>
      <c r="C140" s="4">
        <f ca="1">C162*'Total Trip Tables Sup #1'!C140-(C137*'Active Mode Assumptions'!C7*'Active Mode Assumptions'!C15/(1+'Active Mode Assumptions'!C7))-(C138*'Active Mode Assumptions'!C16*'Active Mode Assumptions'!C24/(1+'Active Mode Assumptions'!C16))</f>
        <v>73.550635035192343</v>
      </c>
      <c r="D140" s="4">
        <f ca="1">D162*'Total Trip Tables Sup #1'!D140-(D137*'Active Mode Assumptions'!D7*'Active Mode Assumptions'!D15/(1+'Active Mode Assumptions'!D7))-(D138*'Active Mode Assumptions'!D16*'Active Mode Assumptions'!D24/(1+'Active Mode Assumptions'!D16))</f>
        <v>74.021572759192551</v>
      </c>
      <c r="E140" s="4">
        <f ca="1">E162*'Total Trip Tables Sup #1'!E140-(E137*'Active Mode Assumptions'!E7*'Active Mode Assumptions'!E15/(1+'Active Mode Assumptions'!E7))-(E138*'Active Mode Assumptions'!E16*'Active Mode Assumptions'!E24/(1+'Active Mode Assumptions'!E16))</f>
        <v>73.708307705584716</v>
      </c>
      <c r="F140" s="4">
        <f ca="1">F162*'Total Trip Tables Sup #1'!F140-(F137*'Active Mode Assumptions'!F7*'Active Mode Assumptions'!F15/(1+'Active Mode Assumptions'!F7))-(F138*'Active Mode Assumptions'!F16*'Active Mode Assumptions'!F24/(1+'Active Mode Assumptions'!F16))</f>
        <v>73.117935099295337</v>
      </c>
      <c r="G140" s="4">
        <f ca="1">G162*'Total Trip Tables Sup #1'!G140-(G137*'Active Mode Assumptions'!G7*'Active Mode Assumptions'!G15/(1+'Active Mode Assumptions'!G7))-(G138*'Active Mode Assumptions'!G16*'Active Mode Assumptions'!G24/(1+'Active Mode Assumptions'!G16))</f>
        <v>72.143148337898339</v>
      </c>
      <c r="H140" s="4">
        <f ca="1">H162*'Total Trip Tables Sup #1'!H140-(H137*'Active Mode Assumptions'!H7*'Active Mode Assumptions'!H15/(1+'Active Mode Assumptions'!H7))-(H138*'Active Mode Assumptions'!H16*'Active Mode Assumptions'!H24/(1+'Active Mode Assumptions'!H16))</f>
        <v>70.802332347481325</v>
      </c>
      <c r="I140" s="1">
        <f ca="1">I162*'Total Trip Tables Sup #1'!I140-(I137*'Active Mode Assumptions'!I7*'Active Mode Assumptions'!I15/(1+'Active Mode Assumptions'!I7))-(I138*'Active Mode Assumptions'!I16*'Active Mode Assumptions'!I24/(1+'Active Mode Assumptions'!I16))</f>
        <v>71.55114474240716</v>
      </c>
      <c r="J140" s="1">
        <f ca="1">J162*'Total Trip Tables Sup #1'!J140-(J137*'Active Mode Assumptions'!J7*'Active Mode Assumptions'!J15/(1+'Active Mode Assumptions'!J7))-(J138*'Active Mode Assumptions'!J16*'Active Mode Assumptions'!J24/(1+'Active Mode Assumptions'!J16))</f>
        <v>72.087381486264462</v>
      </c>
      <c r="K140" s="1">
        <f ca="1">K162*'Total Trip Tables Sup #1'!K140-(K137*'Active Mode Assumptions'!K7*'Active Mode Assumptions'!K15/(1+'Active Mode Assumptions'!K7))-(K138*'Active Mode Assumptions'!K16*'Active Mode Assumptions'!K24/(1+'Active Mode Assumptions'!K16))</f>
        <v>72.470811263853278</v>
      </c>
    </row>
    <row r="141" spans="1:11" x14ac:dyDescent="0.2">
      <c r="A141" t="str">
        <f ca="1">OFFSET(Otago_Reference,28,2)</f>
        <v>Taxi/Vehicle Share</v>
      </c>
      <c r="B141" s="4">
        <f ca="1">B163*'Total Trip Tables Sup #1'!B141</f>
        <v>0.85820748670000002</v>
      </c>
      <c r="C141" s="4">
        <f ca="1">C163*'Total Trip Tables Sup #1'!C141</f>
        <v>0.9917299799847531</v>
      </c>
      <c r="D141" s="4">
        <f ca="1">D163*'Total Trip Tables Sup #1'!D141</f>
        <v>1.087996642700563</v>
      </c>
      <c r="E141" s="4">
        <f ca="1">E163*'Total Trip Tables Sup #1'!E141</f>
        <v>1.14683089801075</v>
      </c>
      <c r="F141" s="4">
        <f ca="1">F163*'Total Trip Tables Sup #1'!F141</f>
        <v>1.1874932019363429</v>
      </c>
      <c r="G141" s="4">
        <f ca="1">G163*'Total Trip Tables Sup #1'!G141</f>
        <v>1.2095423233916647</v>
      </c>
      <c r="H141" s="4">
        <f ca="1">H163*'Total Trip Tables Sup #1'!H141</f>
        <v>1.2201282014016506</v>
      </c>
      <c r="I141" s="1">
        <f ca="1">I163*'Total Trip Tables Sup #1'!I141</f>
        <v>1.235057757489324</v>
      </c>
      <c r="J141" s="1">
        <f ca="1">J163*'Total Trip Tables Sup #1'!J141</f>
        <v>1.2470372178987468</v>
      </c>
      <c r="K141" s="1">
        <f ca="1">K163*'Total Trip Tables Sup #1'!K141</f>
        <v>1.2564233984575359</v>
      </c>
    </row>
    <row r="142" spans="1:11" x14ac:dyDescent="0.2">
      <c r="A142" t="str">
        <f ca="1">OFFSET(Otago_Reference,35,2)</f>
        <v>Motorcyclist</v>
      </c>
      <c r="B142" s="4">
        <f ca="1">B164*'Total Trip Tables Sup #1'!B142</f>
        <v>2.0937246197000001</v>
      </c>
      <c r="C142" s="4">
        <f ca="1">C164*'Total Trip Tables Sup #1'!C142</f>
        <v>2.1885096533110051</v>
      </c>
      <c r="D142" s="4">
        <f ca="1">D164*'Total Trip Tables Sup #1'!D142</f>
        <v>2.2269860004561242</v>
      </c>
      <c r="E142" s="4">
        <f ca="1">E164*'Total Trip Tables Sup #1'!E142</f>
        <v>2.2116499162803529</v>
      </c>
      <c r="F142" s="4">
        <f ca="1">F164*'Total Trip Tables Sup #1'!F142</f>
        <v>2.1703453808943087</v>
      </c>
      <c r="G142" s="4">
        <f ca="1">G164*'Total Trip Tables Sup #1'!G142</f>
        <v>2.084082477719662</v>
      </c>
      <c r="H142" s="4">
        <f ca="1">H164*'Total Trip Tables Sup #1'!H142</f>
        <v>1.9835312146107518</v>
      </c>
      <c r="I142" s="1">
        <f ca="1">I164*'Total Trip Tables Sup #1'!I142</f>
        <v>2.0176683782854017</v>
      </c>
      <c r="J142" s="1">
        <f ca="1">J164*'Total Trip Tables Sup #1'!J142</f>
        <v>2.0494367624666756</v>
      </c>
      <c r="K142" s="1">
        <f ca="1">K164*'Total Trip Tables Sup #1'!K142</f>
        <v>2.0772080298853952</v>
      </c>
    </row>
    <row r="143" spans="1:11" x14ac:dyDescent="0.2">
      <c r="A143" t="str">
        <f ca="1">OFFSET(Canterbury_Reference,42,2)</f>
        <v>Local Train</v>
      </c>
      <c r="B143" s="4">
        <f ca="1">B165*'Total Trip Tables Sup #1'!B143</f>
        <v>0</v>
      </c>
      <c r="C143" s="4">
        <f ca="1">C165*'Total Trip Tables Sup #1'!C143</f>
        <v>0</v>
      </c>
      <c r="D143" s="4">
        <f ca="1">D165*'Total Trip Tables Sup #1'!D143</f>
        <v>0</v>
      </c>
      <c r="E143" s="4">
        <f ca="1">E165*'Total Trip Tables Sup #1'!E143</f>
        <v>0</v>
      </c>
      <c r="F143" s="4">
        <f ca="1">F165*'Total Trip Tables Sup #1'!F143</f>
        <v>0</v>
      </c>
      <c r="G143" s="4">
        <f ca="1">G165*'Total Trip Tables Sup #1'!G143</f>
        <v>0</v>
      </c>
      <c r="H143" s="4">
        <f ca="1">H165*'Total Trip Tables Sup #1'!H143</f>
        <v>0</v>
      </c>
      <c r="I143" s="1">
        <f ca="1">I165*'Total Trip Tables Sup #1'!I143</f>
        <v>0</v>
      </c>
      <c r="J143" s="1">
        <f ca="1">J165*'Total Trip Tables Sup #1'!J143</f>
        <v>0</v>
      </c>
      <c r="K143" s="1">
        <f ca="1">K165*'Total Trip Tables Sup #1'!K143</f>
        <v>0</v>
      </c>
    </row>
    <row r="144" spans="1:11" x14ac:dyDescent="0.2">
      <c r="A144" t="str">
        <f ca="1">OFFSET(Otago_Reference,42,2)</f>
        <v>Local Bus</v>
      </c>
      <c r="B144" s="4">
        <f ca="1">B166*'Total Trip Tables Sup #1'!B144</f>
        <v>4.2627057848999996</v>
      </c>
      <c r="C144" s="4">
        <f ca="1">C166*'Total Trip Tables Sup #1'!C144</f>
        <v>4.0763386288698085</v>
      </c>
      <c r="D144" s="4">
        <f ca="1">D166*'Total Trip Tables Sup #1'!D144</f>
        <v>4.1385353423650608</v>
      </c>
      <c r="E144" s="4">
        <f ca="1">E166*'Total Trip Tables Sup #1'!E144</f>
        <v>4.1061835907094926</v>
      </c>
      <c r="F144" s="4">
        <f ca="1">F166*'Total Trip Tables Sup #1'!F144</f>
        <v>4.056734275200709</v>
      </c>
      <c r="G144" s="4">
        <f ca="1">G166*'Total Trip Tables Sup #1'!G144</f>
        <v>4.0391558296860843</v>
      </c>
      <c r="H144" s="4">
        <f ca="1">H166*'Total Trip Tables Sup #1'!H144</f>
        <v>4.0115788461957997</v>
      </c>
      <c r="I144" s="1">
        <f ca="1">I166*'Total Trip Tables Sup #1'!I144</f>
        <v>4.0578157824428329</v>
      </c>
      <c r="J144" s="1">
        <f ca="1">J166*'Total Trip Tables Sup #1'!J144</f>
        <v>4.0926556484843797</v>
      </c>
      <c r="K144" s="1">
        <f ca="1">K166*'Total Trip Tables Sup #1'!K144</f>
        <v>4.118886388457784</v>
      </c>
    </row>
    <row r="145" spans="1:11" x14ac:dyDescent="0.2">
      <c r="A145" t="str">
        <f ca="1">OFFSET(Wellington_Reference,56,2)</f>
        <v>Local Ferry</v>
      </c>
      <c r="B145" s="4">
        <f ca="1">B167*'Total Trip Tables Sup #1'!B145</f>
        <v>0</v>
      </c>
      <c r="C145" s="4">
        <f ca="1">C167*'Total Trip Tables Sup #1'!C145</f>
        <v>0</v>
      </c>
      <c r="D145" s="4">
        <f ca="1">D167*'Total Trip Tables Sup #1'!D145</f>
        <v>0</v>
      </c>
      <c r="E145" s="4">
        <f ca="1">E167*'Total Trip Tables Sup #1'!E145</f>
        <v>0</v>
      </c>
      <c r="F145" s="4">
        <f ca="1">F167*'Total Trip Tables Sup #1'!F145</f>
        <v>0</v>
      </c>
      <c r="G145" s="4">
        <f ca="1">G167*'Total Trip Tables Sup #1'!G145</f>
        <v>0</v>
      </c>
      <c r="H145" s="4">
        <f ca="1">H167*'Total Trip Tables Sup #1'!H145</f>
        <v>0</v>
      </c>
      <c r="I145" s="1">
        <f ca="1">I167*'Total Trip Tables Sup #1'!I145</f>
        <v>0</v>
      </c>
      <c r="J145" s="1">
        <f ca="1">J167*'Total Trip Tables Sup #1'!J145</f>
        <v>0</v>
      </c>
      <c r="K145" s="1">
        <f ca="1">K167*'Total Trip Tables Sup #1'!K145</f>
        <v>0</v>
      </c>
    </row>
    <row r="146" spans="1:11" x14ac:dyDescent="0.2">
      <c r="A146" t="str">
        <f ca="1">OFFSET(Otago_Reference,49,2)</f>
        <v>Other Household Travel</v>
      </c>
      <c r="B146" s="4">
        <f ca="1">B168*'Total Trip Tables Sup #1'!B146</f>
        <v>0.77539158779999995</v>
      </c>
      <c r="C146" s="4">
        <f ca="1">C168*'Total Trip Tables Sup #1'!C146</f>
        <v>0.82847596652562983</v>
      </c>
      <c r="D146" s="4">
        <f ca="1">D168*'Total Trip Tables Sup #1'!D146</f>
        <v>0.86900070714786071</v>
      </c>
      <c r="E146" s="4">
        <f ca="1">E168*'Total Trip Tables Sup #1'!E146</f>
        <v>0.88204758434175579</v>
      </c>
      <c r="F146" s="4">
        <f ca="1">F168*'Total Trip Tables Sup #1'!F146</f>
        <v>0.88216695097952569</v>
      </c>
      <c r="G146" s="4">
        <f ca="1">G168*'Total Trip Tables Sup #1'!G146</f>
        <v>0.87123909984220493</v>
      </c>
      <c r="H146" s="4">
        <f ca="1">H168*'Total Trip Tables Sup #1'!H146</f>
        <v>0.84269242572432612</v>
      </c>
      <c r="I146" s="1">
        <f ca="1">I168*'Total Trip Tables Sup #1'!I146</f>
        <v>0.85274434805056987</v>
      </c>
      <c r="J146" s="1">
        <f ca="1">J168*'Total Trip Tables Sup #1'!J146</f>
        <v>0.86059811916409945</v>
      </c>
      <c r="K146" s="1">
        <f ca="1">K168*'Total Trip Tables Sup #1'!K146</f>
        <v>0.86663794522204851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B159*'Total Trip Tables Sup #1'!B148</f>
        <v>12.52065131</v>
      </c>
      <c r="C148" s="4">
        <f ca="1">C159*'Total Trip Tables Sup #1'!C148*(1+'Active Mode Assumptions'!C7)</f>
        <v>12.593535148321868</v>
      </c>
      <c r="D148" s="4">
        <f ca="1">D159*'Total Trip Tables Sup #1'!D148*(1+'Active Mode Assumptions'!D7)</f>
        <v>12.586269526981857</v>
      </c>
      <c r="E148" s="4">
        <f ca="1">E159*'Total Trip Tables Sup #1'!E148*(1+'Active Mode Assumptions'!E7)</f>
        <v>12.406271467206283</v>
      </c>
      <c r="F148" s="4">
        <f ca="1">F159*'Total Trip Tables Sup #1'!F148*(1+'Active Mode Assumptions'!F7)</f>
        <v>12.13170070078136</v>
      </c>
      <c r="G148" s="4">
        <f ca="1">G159*'Total Trip Tables Sup #1'!G148*(1+'Active Mode Assumptions'!G7)</f>
        <v>11.819496734348924</v>
      </c>
      <c r="H148" s="4">
        <f ca="1">H159*'Total Trip Tables Sup #1'!H148*(1+'Active Mode Assumptions'!H7)</f>
        <v>11.444930510729288</v>
      </c>
      <c r="I148" s="1">
        <f ca="1">I159*'Total Trip Tables Sup #1'!I148*(1+'Active Mode Assumptions'!I7)</f>
        <v>11.312815898043882</v>
      </c>
      <c r="J148" s="1">
        <f ca="1">J159*'Total Trip Tables Sup #1'!J148*(1+'Active Mode Assumptions'!J7)</f>
        <v>11.154542678177284</v>
      </c>
      <c r="K148" s="1">
        <f ca="1">K159*'Total Trip Tables Sup #1'!K148*(1+'Active Mode Assumptions'!K7)</f>
        <v>10.975219756980456</v>
      </c>
    </row>
    <row r="149" spans="1:11" x14ac:dyDescent="0.2">
      <c r="A149" t="str">
        <f ca="1">OFFSET(Southland_Reference,7,2)</f>
        <v>Cyclist</v>
      </c>
      <c r="B149" s="4">
        <f ca="1">B160*'Total Trip Tables Sup #1'!B149</f>
        <v>1.0312878256</v>
      </c>
      <c r="C149" s="4">
        <f ca="1">C160*'Total Trip Tables Sup #1'!C149*(1+'Active Mode Assumptions'!C16)</f>
        <v>1.0138995851953603</v>
      </c>
      <c r="D149" s="4">
        <f ca="1">D160*'Total Trip Tables Sup #1'!D149*(1+'Active Mode Assumptions'!D16)</f>
        <v>1.119943800430262</v>
      </c>
      <c r="E149" s="4">
        <f ca="1">E160*'Total Trip Tables Sup #1'!E149*(1+'Active Mode Assumptions'!E16)</f>
        <v>1.1787949135534612</v>
      </c>
      <c r="F149" s="4">
        <f ca="1">F160*'Total Trip Tables Sup #1'!F149*(1+'Active Mode Assumptions'!F16)</f>
        <v>1.2361073498054882</v>
      </c>
      <c r="G149" s="4">
        <f ca="1">G160*'Total Trip Tables Sup #1'!G149*(1+'Active Mode Assumptions'!G16)</f>
        <v>1.2896249235230388</v>
      </c>
      <c r="H149" s="4">
        <f ca="1">H160*'Total Trip Tables Sup #1'!H149*(1+'Active Mode Assumptions'!H16)</f>
        <v>1.3379063345721467</v>
      </c>
      <c r="I149" s="1">
        <f ca="1">I160*'Total Trip Tables Sup #1'!I149*(1+'Active Mode Assumptions'!I16)</f>
        <v>1.3312161833029674</v>
      </c>
      <c r="J149" s="1">
        <f ca="1">J160*'Total Trip Tables Sup #1'!J149*(1+'Active Mode Assumptions'!J16)</f>
        <v>1.3252020441297747</v>
      </c>
      <c r="K149" s="1">
        <f ca="1">K160*'Total Trip Tables Sup #1'!K149*(1+'Active Mode Assumptions'!K16)</f>
        <v>1.3167543029475934</v>
      </c>
    </row>
    <row r="150" spans="1:11" x14ac:dyDescent="0.2">
      <c r="A150" t="str">
        <f ca="1">OFFSET(Southland_Reference,14,2)</f>
        <v>Light Vehicle Driver</v>
      </c>
      <c r="B150" s="4">
        <f ca="1">B161*'Total Trip Tables Sup #1'!B150</f>
        <v>66.981547285000005</v>
      </c>
      <c r="C150" s="4">
        <f ca="1">C161*'Total Trip Tables Sup #1'!C150-(C148*'Active Mode Assumptions'!C7*'Active Mode Assumptions'!C14/(1+'Active Mode Assumptions'!C7))-(C149*'Active Mode Assumptions'!C16*'Active Mode Assumptions'!C23/(1+'Active Mode Assumptions'!C16))</f>
        <v>69.44174806962647</v>
      </c>
      <c r="D150" s="4">
        <f ca="1">D161*'Total Trip Tables Sup #1'!D150-(D148*'Active Mode Assumptions'!D7*'Active Mode Assumptions'!D14/(1+'Active Mode Assumptions'!D7))-(D149*'Active Mode Assumptions'!D16*'Active Mode Assumptions'!D23/(1+'Active Mode Assumptions'!D16))</f>
        <v>69.067163276603836</v>
      </c>
      <c r="E150" s="4">
        <f ca="1">E161*'Total Trip Tables Sup #1'!E150-(E148*'Active Mode Assumptions'!E7*'Active Mode Assumptions'!E14/(1+'Active Mode Assumptions'!E7))-(E149*'Active Mode Assumptions'!E16*'Active Mode Assumptions'!E23/(1+'Active Mode Assumptions'!E16))</f>
        <v>68.834452970001934</v>
      </c>
      <c r="F150" s="4">
        <f ca="1">F161*'Total Trip Tables Sup #1'!F150-(F148*'Active Mode Assumptions'!F7*'Active Mode Assumptions'!F14/(1+'Active Mode Assumptions'!F7))-(F149*'Active Mode Assumptions'!F16*'Active Mode Assumptions'!F23/(1+'Active Mode Assumptions'!F16))</f>
        <v>68.00124120535817</v>
      </c>
      <c r="G150" s="4">
        <f ca="1">G161*'Total Trip Tables Sup #1'!G150-(G148*'Active Mode Assumptions'!G7*'Active Mode Assumptions'!G14/(1+'Active Mode Assumptions'!G7))-(G149*'Active Mode Assumptions'!G16*'Active Mode Assumptions'!G23/(1+'Active Mode Assumptions'!G16))</f>
        <v>66.426261480942102</v>
      </c>
      <c r="H150" s="4">
        <f ca="1">H161*'Total Trip Tables Sup #1'!H150-(H148*'Active Mode Assumptions'!H7*'Active Mode Assumptions'!H14/(1+'Active Mode Assumptions'!H7))-(H149*'Active Mode Assumptions'!H16*'Active Mode Assumptions'!H23/(1+'Active Mode Assumptions'!H16))</f>
        <v>64.389609488411608</v>
      </c>
      <c r="I150" s="1">
        <f ca="1">I161*'Total Trip Tables Sup #1'!I150-(I148*'Active Mode Assumptions'!I7*'Active Mode Assumptions'!I14/(1+'Active Mode Assumptions'!I7))-(I149*'Active Mode Assumptions'!I16*'Active Mode Assumptions'!I23/(1+'Active Mode Assumptions'!I16))</f>
        <v>63.577469733989972</v>
      </c>
      <c r="J150" s="1">
        <f ca="1">J161*'Total Trip Tables Sup #1'!J150-(J148*'Active Mode Assumptions'!J7*'Active Mode Assumptions'!J14/(1+'Active Mode Assumptions'!J7))-(J149*'Active Mode Assumptions'!J16*'Active Mode Assumptions'!J23/(1+'Active Mode Assumptions'!J16))</f>
        <v>62.592060929639032</v>
      </c>
      <c r="K150" s="1">
        <f ca="1">K161*'Total Trip Tables Sup #1'!K150-(K148*'Active Mode Assumptions'!K7*'Active Mode Assumptions'!K14/(1+'Active Mode Assumptions'!K7))-(K149*'Active Mode Assumptions'!K16*'Active Mode Assumptions'!K23/(1+'Active Mode Assumptions'!K16))</f>
        <v>61.489614745292371</v>
      </c>
    </row>
    <row r="151" spans="1:11" x14ac:dyDescent="0.2">
      <c r="A151" t="str">
        <f ca="1">OFFSET(Southland_Reference,21,2)</f>
        <v>Light Vehicle Passenger</v>
      </c>
      <c r="B151" s="4">
        <f ca="1">B162*'Total Trip Tables Sup #1'!B151</f>
        <v>28.419434702000007</v>
      </c>
      <c r="C151" s="4">
        <f ca="1">C162*'Total Trip Tables Sup #1'!C151-(C148*'Active Mode Assumptions'!C7*'Active Mode Assumptions'!C15/(1+'Active Mode Assumptions'!C7))-(C149*'Active Mode Assumptions'!C16*'Active Mode Assumptions'!C24/(1+'Active Mode Assumptions'!C16))</f>
        <v>28.039658385661507</v>
      </c>
      <c r="D151" s="4">
        <f ca="1">D162*'Total Trip Tables Sup #1'!D151-(D148*'Active Mode Assumptions'!D7*'Active Mode Assumptions'!D15/(1+'Active Mode Assumptions'!D7))-(D149*'Active Mode Assumptions'!D16*'Active Mode Assumptions'!D24/(1+'Active Mode Assumptions'!D16))</f>
        <v>27.317042529938288</v>
      </c>
      <c r="E151" s="4">
        <f ca="1">E162*'Total Trip Tables Sup #1'!E151-(E148*'Active Mode Assumptions'!E7*'Active Mode Assumptions'!E15/(1+'Active Mode Assumptions'!E7))-(E149*'Active Mode Assumptions'!E16*'Active Mode Assumptions'!E24/(1+'Active Mode Assumptions'!E16))</f>
        <v>26.652216368038257</v>
      </c>
      <c r="F151" s="4">
        <f ca="1">F162*'Total Trip Tables Sup #1'!F151-(F148*'Active Mode Assumptions'!F7*'Active Mode Assumptions'!F15/(1+'Active Mode Assumptions'!F7))-(F149*'Active Mode Assumptions'!F16*'Active Mode Assumptions'!F24/(1+'Active Mode Assumptions'!F16))</f>
        <v>25.908759955281294</v>
      </c>
      <c r="G151" s="4">
        <f ca="1">G162*'Total Trip Tables Sup #1'!G151-(G148*'Active Mode Assumptions'!G7*'Active Mode Assumptions'!G15/(1+'Active Mode Assumptions'!G7))-(G149*'Active Mode Assumptions'!G16*'Active Mode Assumptions'!G24/(1+'Active Mode Assumptions'!G16))</f>
        <v>25.032297489127401</v>
      </c>
      <c r="H151" s="4">
        <f ca="1">H162*'Total Trip Tables Sup #1'!H151-(H148*'Active Mode Assumptions'!H7*'Active Mode Assumptions'!H15/(1+'Active Mode Assumptions'!H7))-(H149*'Active Mode Assumptions'!H16*'Active Mode Assumptions'!H24/(1+'Active Mode Assumptions'!H16))</f>
        <v>24.059488961877427</v>
      </c>
      <c r="I151" s="1">
        <f ca="1">I162*'Total Trip Tables Sup #1'!I151-(I148*'Active Mode Assumptions'!I7*'Active Mode Assumptions'!I15/(1+'Active Mode Assumptions'!I7))-(I149*'Active Mode Assumptions'!I16*'Active Mode Assumptions'!I24/(1+'Active Mode Assumptions'!I16))</f>
        <v>23.752195878947674</v>
      </c>
      <c r="J151" s="1">
        <f ca="1">J162*'Total Trip Tables Sup #1'!J151-(J148*'Active Mode Assumptions'!J7*'Active Mode Assumptions'!J15/(1+'Active Mode Assumptions'!J7))-(J149*'Active Mode Assumptions'!J16*'Active Mode Assumptions'!J24/(1+'Active Mode Assumptions'!J16))</f>
        <v>23.377755194733059</v>
      </c>
      <c r="K151" s="1">
        <f ca="1">K162*'Total Trip Tables Sup #1'!K151-(K148*'Active Mode Assumptions'!K7*'Active Mode Assumptions'!K15/(1+'Active Mode Assumptions'!K7))-(K149*'Active Mode Assumptions'!K16*'Active Mode Assumptions'!K24/(1+'Active Mode Assumptions'!K16))</f>
        <v>22.959579325845699</v>
      </c>
    </row>
    <row r="152" spans="1:11" x14ac:dyDescent="0.2">
      <c r="A152" t="str">
        <f ca="1">OFFSET(Southland_Reference,28,2)</f>
        <v>Taxi/Vehicle Share</v>
      </c>
      <c r="B152" s="4">
        <f ca="1">B163*'Total Trip Tables Sup #1'!B152</f>
        <v>0.47613164409999997</v>
      </c>
      <c r="C152" s="4">
        <f ca="1">C163*'Total Trip Tables Sup #1'!C152</f>
        <v>0.52574504123149568</v>
      </c>
      <c r="D152" s="4">
        <f ca="1">D163*'Total Trip Tables Sup #1'!D152</f>
        <v>0.55685694209274561</v>
      </c>
      <c r="E152" s="4">
        <f ca="1">E163*'Total Trip Tables Sup #1'!E152</f>
        <v>0.57361645087052926</v>
      </c>
      <c r="F152" s="4">
        <f ca="1">F163*'Total Trip Tables Sup #1'!F152</f>
        <v>0.58055905305876987</v>
      </c>
      <c r="G152" s="4">
        <f ca="1">G163*'Total Trip Tables Sup #1'!G152</f>
        <v>0.57757692733348909</v>
      </c>
      <c r="H152" s="4">
        <f ca="1">H163*'Total Trip Tables Sup #1'!H152</f>
        <v>0.56914783723855045</v>
      </c>
      <c r="I152" s="1">
        <f ca="1">I163*'Total Trip Tables Sup #1'!I152</f>
        <v>0.56277882770340981</v>
      </c>
      <c r="J152" s="1">
        <f ca="1">J163*'Total Trip Tables Sup #1'!J152</f>
        <v>0.55508661593132702</v>
      </c>
      <c r="K152" s="1">
        <f ca="1">K163*'Total Trip Tables Sup #1'!K152</f>
        <v>0.54632140224918802</v>
      </c>
    </row>
    <row r="153" spans="1:11" x14ac:dyDescent="0.2">
      <c r="A153" t="str">
        <f ca="1">OFFSET(Southland_Reference,35,2)</f>
        <v>Motorcyclist</v>
      </c>
      <c r="B153" s="4">
        <f ca="1">B164*'Total Trip Tables Sup #1'!B153</f>
        <v>0.62652592730000001</v>
      </c>
      <c r="C153" s="4">
        <f ca="1">C164*'Total Trip Tables Sup #1'!C153</f>
        <v>0.62577030505513875</v>
      </c>
      <c r="D153" s="4">
        <f ca="1">D164*'Total Trip Tables Sup #1'!D153</f>
        <v>0.61477799018628232</v>
      </c>
      <c r="E153" s="4">
        <f ca="1">E164*'Total Trip Tables Sup #1'!E153</f>
        <v>0.59665507235245019</v>
      </c>
      <c r="F153" s="4">
        <f ca="1">F164*'Total Trip Tables Sup #1'!F153</f>
        <v>0.57230674180293462</v>
      </c>
      <c r="G153" s="4">
        <f ca="1">G164*'Total Trip Tables Sup #1'!G153</f>
        <v>0.53677021566235039</v>
      </c>
      <c r="H153" s="4">
        <f ca="1">H164*'Total Trip Tables Sup #1'!H153</f>
        <v>0.49904924722169675</v>
      </c>
      <c r="I153" s="1">
        <f ca="1">I164*'Total Trip Tables Sup #1'!I153</f>
        <v>0.49588961255136971</v>
      </c>
      <c r="J153" s="1">
        <f ca="1">J164*'Total Trip Tables Sup #1'!J153</f>
        <v>0.49204021983209867</v>
      </c>
      <c r="K153" s="1">
        <f ca="1">K164*'Total Trip Tables Sup #1'!K153</f>
        <v>0.48716595713437655</v>
      </c>
    </row>
    <row r="154" spans="1:11" x14ac:dyDescent="0.2">
      <c r="A154" t="str">
        <f ca="1">OFFSET(Canterbury_Reference,42,2)</f>
        <v>Local Train</v>
      </c>
      <c r="B154" s="4">
        <f ca="1">B165*'Total Trip Tables Sup #1'!B154</f>
        <v>0</v>
      </c>
      <c r="C154" s="4">
        <f ca="1">C165*'Total Trip Tables Sup #1'!C154</f>
        <v>0</v>
      </c>
      <c r="D154" s="4">
        <f ca="1">D165*'Total Trip Tables Sup #1'!D154</f>
        <v>0</v>
      </c>
      <c r="E154" s="4">
        <f ca="1">E165*'Total Trip Tables Sup #1'!E154</f>
        <v>0</v>
      </c>
      <c r="F154" s="4">
        <f ca="1">F165*'Total Trip Tables Sup #1'!F154</f>
        <v>0</v>
      </c>
      <c r="G154" s="4">
        <f ca="1">G165*'Total Trip Tables Sup #1'!G154</f>
        <v>0</v>
      </c>
      <c r="H154" s="4">
        <f ca="1">H165*'Total Trip Tables Sup #1'!H154</f>
        <v>0</v>
      </c>
      <c r="I154" s="1">
        <f ca="1">I165*'Total Trip Tables Sup #1'!I154</f>
        <v>0</v>
      </c>
      <c r="J154" s="1">
        <f ca="1">J165*'Total Trip Tables Sup #1'!J154</f>
        <v>0</v>
      </c>
      <c r="K154" s="1">
        <f ca="1">K165*'Total Trip Tables Sup #1'!K154</f>
        <v>0</v>
      </c>
    </row>
    <row r="155" spans="1:11" x14ac:dyDescent="0.2">
      <c r="A155" t="str">
        <f ca="1">OFFSET(Southland_Reference,42,2)</f>
        <v>Local Bus</v>
      </c>
      <c r="B155" s="4">
        <f ca="1">B166*'Total Trip Tables Sup #1'!B155</f>
        <v>2.6369167839999998</v>
      </c>
      <c r="C155" s="4">
        <f ca="1">C166*'Total Trip Tables Sup #1'!C155</f>
        <v>2.4095076887824818</v>
      </c>
      <c r="D155" s="4">
        <f ca="1">D166*'Total Trip Tables Sup #1'!D155</f>
        <v>2.3617779863066501</v>
      </c>
      <c r="E155" s="4">
        <f ca="1">E166*'Total Trip Tables Sup #1'!E155</f>
        <v>2.2900074486202406</v>
      </c>
      <c r="F155" s="4">
        <f ca="1">F166*'Total Trip Tables Sup #1'!F155</f>
        <v>2.2114043015397158</v>
      </c>
      <c r="G155" s="4">
        <f ca="1">G166*'Total Trip Tables Sup #1'!G155</f>
        <v>2.150580452480511</v>
      </c>
      <c r="H155" s="4">
        <f ca="1">H166*'Total Trip Tables Sup #1'!H155</f>
        <v>2.0864658272771708</v>
      </c>
      <c r="I155" s="1">
        <f ca="1">I166*'Total Trip Tables Sup #1'!I155</f>
        <v>2.0616698915914258</v>
      </c>
      <c r="J155" s="1">
        <f ca="1">J166*'Total Trip Tables Sup #1'!J155</f>
        <v>2.0312475982007054</v>
      </c>
      <c r="K155" s="1">
        <f ca="1">K166*'Total Trip Tables Sup #1'!K155</f>
        <v>1.996955240097964</v>
      </c>
    </row>
    <row r="156" spans="1:11" x14ac:dyDescent="0.2">
      <c r="A156" t="str">
        <f ca="1">OFFSET(Wellington_Reference,56,2)</f>
        <v>Local Ferry</v>
      </c>
      <c r="B156" s="4">
        <f ca="1">B167*'Total Trip Tables Sup #1'!B156</f>
        <v>0</v>
      </c>
      <c r="C156" s="4">
        <f ca="1">C167*'Total Trip Tables Sup #1'!C156</f>
        <v>0</v>
      </c>
      <c r="D156" s="4">
        <f ca="1">D167*'Total Trip Tables Sup #1'!D156</f>
        <v>0</v>
      </c>
      <c r="E156" s="4">
        <f ca="1">E167*'Total Trip Tables Sup #1'!E156</f>
        <v>0</v>
      </c>
      <c r="F156" s="4">
        <f ca="1">F167*'Total Trip Tables Sup #1'!F156</f>
        <v>0</v>
      </c>
      <c r="G156" s="4">
        <f ca="1">G167*'Total Trip Tables Sup #1'!G156</f>
        <v>0</v>
      </c>
      <c r="H156" s="4">
        <f ca="1">H167*'Total Trip Tables Sup #1'!H156</f>
        <v>0</v>
      </c>
      <c r="I156" s="1">
        <f ca="1">I167*'Total Trip Tables Sup #1'!I156</f>
        <v>0</v>
      </c>
      <c r="J156" s="1">
        <f ca="1">J167*'Total Trip Tables Sup #1'!J156</f>
        <v>0</v>
      </c>
      <c r="K156" s="1">
        <f ca="1">K167*'Total Trip Tables Sup #1'!K156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Trip Tables Sup #1'!B157</f>
        <v>0.42937289560000003</v>
      </c>
      <c r="C157" s="4">
        <f ca="1">C168*'Total Trip Tables Sup #1'!C157</f>
        <v>0.43836962215591069</v>
      </c>
      <c r="D157" s="4">
        <f ca="1">D168*'Total Trip Tables Sup #1'!D157</f>
        <v>0.44393052297943153</v>
      </c>
      <c r="E157" s="4">
        <f ca="1">E168*'Total Trip Tables Sup #1'!E157</f>
        <v>0.44034495134411389</v>
      </c>
      <c r="F157" s="4">
        <f ca="1">F168*'Total Trip Tables Sup #1'!F157</f>
        <v>0.43047193933395689</v>
      </c>
      <c r="G157" s="4">
        <f ca="1">G168*'Total Trip Tables Sup #1'!G157</f>
        <v>0.41524548387261978</v>
      </c>
      <c r="H157" s="4">
        <f ca="1">H168*'Total Trip Tables Sup #1'!H157</f>
        <v>0.39234444557621134</v>
      </c>
      <c r="I157" s="1">
        <f ca="1">I168*'Total Trip Tables Sup #1'!I157</f>
        <v>0.3878360061580623</v>
      </c>
      <c r="J157" s="1">
        <f ca="1">J168*'Total Trip Tables Sup #1'!J157</f>
        <v>0.38234950031473047</v>
      </c>
      <c r="K157" s="1">
        <f ca="1">K168*'Total Trip Tables Sup #1'!K157</f>
        <v>0.3761219619568561</v>
      </c>
    </row>
    <row r="158" spans="1:11" x14ac:dyDescent="0.2">
      <c r="A158" t="s">
        <v>18</v>
      </c>
    </row>
    <row r="159" spans="1:11" x14ac:dyDescent="0.2">
      <c r="A159" t="str">
        <f ca="1">'Total Trip Tables'!A16</f>
        <v>Pedestrian</v>
      </c>
      <c r="B159" s="58">
        <f ca="1">('Total Trip Tables Sup #1'!B170*'Updated Population'!B$158)/('Total Trip Tables Sup #1'!B159*1000000)</f>
        <v>1</v>
      </c>
      <c r="C159" s="58">
        <f ca="1">('Total Trip Tables Sup #1'!C170*'Updated Population'!C$158)/('Total Trip Tables Sup #1'!C159*1000000)</f>
        <v>1.0043365389026548</v>
      </c>
      <c r="D159" s="58">
        <f ca="1">('Total Trip Tables Sup #1'!D170*'Updated Population'!D$158)/('Total Trip Tables Sup #1'!D159*1000000)</f>
        <v>1.0080175667799245</v>
      </c>
      <c r="E159" s="58">
        <f ca="1">('Total Trip Tables Sup #1'!E170*'Updated Population'!E$158)/('Total Trip Tables Sup #1'!E159*1000000)</f>
        <v>1.0113097869984737</v>
      </c>
      <c r="F159" s="58">
        <f ca="1">('Total Trip Tables Sup #1'!F170*'Updated Population'!F$158)/('Total Trip Tables Sup #1'!F159*1000000)</f>
        <v>1.0143408832838534</v>
      </c>
      <c r="G159" s="58">
        <f ca="1">('Total Trip Tables Sup #1'!G170*'Updated Population'!G$158)/('Total Trip Tables Sup #1'!G159*1000000)</f>
        <v>1.0172000796446286</v>
      </c>
      <c r="H159" s="58">
        <f ca="1">('Total Trip Tables Sup #1'!H170*'Updated Population'!H$158)/('Total Trip Tables Sup #1'!H159*1000000)</f>
        <v>1.0199759332125407</v>
      </c>
      <c r="I159" s="58">
        <f ca="1">('Total Trip Tables Sup #1'!I170*'Updated Population'!I$158)/('Total Trip Tables Sup #1'!I159*1000000)</f>
        <v>1.0218906743999707</v>
      </c>
      <c r="J159" s="58">
        <f ca="1">('Total Trip Tables Sup #1'!J170*'Updated Population'!J$158)/('Total Trip Tables Sup #1'!J159*1000000)</f>
        <v>1.0245356546717339</v>
      </c>
      <c r="K159" s="58">
        <f ca="1">('Total Trip Tables Sup #1'!K170*'Updated Population'!K$158)/('Total Trip Tables Sup #1'!K159*1000000)</f>
        <v>1.0272223367339253</v>
      </c>
    </row>
    <row r="160" spans="1:11" x14ac:dyDescent="0.2">
      <c r="A160" t="str">
        <f ca="1">'Total Trip Tables'!A17</f>
        <v>Cyclist</v>
      </c>
      <c r="B160" s="58">
        <f ca="1">('Total Trip Tables Sup #1'!B171*'Updated Population'!B$158)/('Total Trip Tables Sup #1'!B160*1000000)</f>
        <v>1</v>
      </c>
      <c r="C160" s="58">
        <f ca="1">('Total Trip Tables Sup #1'!C171*'Updated Population'!C$158)/('Total Trip Tables Sup #1'!C160*1000000)</f>
        <v>1.0165093387443531</v>
      </c>
      <c r="D160" s="58">
        <f ca="1">('Total Trip Tables Sup #1'!D171*'Updated Population'!D$158)/('Total Trip Tables Sup #1'!D160*1000000)</f>
        <v>1.0317057101287697</v>
      </c>
      <c r="E160" s="58">
        <f ca="1">('Total Trip Tables Sup #1'!E171*'Updated Population'!E$158)/('Total Trip Tables Sup #1'!E160*1000000)</f>
        <v>1.0468401900843316</v>
      </c>
      <c r="F160" s="58">
        <f ca="1">('Total Trip Tables Sup #1'!F171*'Updated Population'!F$158)/('Total Trip Tables Sup #1'!F160*1000000)</f>
        <v>1.0613154596997514</v>
      </c>
      <c r="G160" s="58">
        <f ca="1">('Total Trip Tables Sup #1'!G171*'Updated Population'!G$158)/('Total Trip Tables Sup #1'!G160*1000000)</f>
        <v>1.075300998646372</v>
      </c>
      <c r="H160" s="58">
        <f ca="1">('Total Trip Tables Sup #1'!H171*'Updated Population'!H$158)/('Total Trip Tables Sup #1'!H160*1000000)</f>
        <v>1.0890479688015875</v>
      </c>
      <c r="I160" s="58">
        <f ca="1">('Total Trip Tables Sup #1'!I171*'Updated Population'!I$158)/('Total Trip Tables Sup #1'!I160*1000000)</f>
        <v>1.0983148102282121</v>
      </c>
      <c r="J160" s="58">
        <f ca="1">('Total Trip Tables Sup #1'!J171*'Updated Population'!J$158)/('Total Trip Tables Sup #1'!J160*1000000)</f>
        <v>1.1117366919632536</v>
      </c>
      <c r="K160" s="58">
        <f ca="1">('Total Trip Tables Sup #1'!K171*'Updated Population'!K$158)/('Total Trip Tables Sup #1'!K160*1000000)</f>
        <v>1.1256425745533936</v>
      </c>
    </row>
    <row r="161" spans="1:11" x14ac:dyDescent="0.2">
      <c r="A161" t="str">
        <f ca="1">'Total Trip Tables'!A18</f>
        <v>Light Vehicle Driver</v>
      </c>
      <c r="B161" s="58">
        <f ca="1">('Total Trip Tables Sup #1'!B172*'Updated Population'!B$158)/('Total Trip Tables Sup #1'!B161*1000000)</f>
        <v>1</v>
      </c>
      <c r="C161" s="58">
        <f ca="1">('Total Trip Tables Sup #1'!C172*'Updated Population'!C$158)/('Total Trip Tables Sup #1'!C161*1000000)</f>
        <v>1.0019346591281344</v>
      </c>
      <c r="D161" s="58">
        <f ca="1">('Total Trip Tables Sup #1'!D172*'Updated Population'!D$158)/('Total Trip Tables Sup #1'!D161*1000000)</f>
        <v>1.0035704370576806</v>
      </c>
      <c r="E161" s="58">
        <f ca="1">('Total Trip Tables Sup #1'!E172*'Updated Population'!E$158)/('Total Trip Tables Sup #1'!E161*1000000)</f>
        <v>1.0049969667625951</v>
      </c>
      <c r="F161" s="58">
        <f ca="1">('Total Trip Tables Sup #1'!F172*'Updated Population'!F$158)/('Total Trip Tables Sup #1'!F161*1000000)</f>
        <v>1.0063096733125654</v>
      </c>
      <c r="G161" s="58">
        <f ca="1">('Total Trip Tables Sup #1'!G172*'Updated Population'!G$158)/('Total Trip Tables Sup #1'!G161*1000000)</f>
        <v>1.0075332740544392</v>
      </c>
      <c r="H161" s="58">
        <f ca="1">('Total Trip Tables Sup #1'!H172*'Updated Population'!H$158)/('Total Trip Tables Sup #1'!H161*1000000)</f>
        <v>1.0086988568064736</v>
      </c>
      <c r="I161" s="58">
        <f ca="1">('Total Trip Tables Sup #1'!I172*'Updated Population'!I$158)/('Total Trip Tables Sup #1'!I161*1000000)</f>
        <v>1.0095168742985521</v>
      </c>
      <c r="J161" s="58">
        <f ca="1">('Total Trip Tables Sup #1'!J172*'Updated Population'!J$158)/('Total Trip Tables Sup #1'!J161*1000000)</f>
        <v>1.0106069146048589</v>
      </c>
      <c r="K161" s="58">
        <f ca="1">('Total Trip Tables Sup #1'!K172*'Updated Population'!K$158)/('Total Trip Tables Sup #1'!K161*1000000)</f>
        <v>1.0117009532755015</v>
      </c>
    </row>
    <row r="162" spans="1:11" x14ac:dyDescent="0.2">
      <c r="A162" t="str">
        <f ca="1">'Total Trip Tables'!A19</f>
        <v>Light Vehicle Passenger</v>
      </c>
      <c r="B162" s="58">
        <f ca="1">('Total Trip Tables Sup #1'!B173*'Updated Population'!B$158)/('Total Trip Tables Sup #1'!B162*1000000)</f>
        <v>1.0000000000000002</v>
      </c>
      <c r="C162" s="58">
        <f ca="1">('Total Trip Tables Sup #1'!C173*'Updated Population'!C$158)/('Total Trip Tables Sup #1'!C162*1000000)</f>
        <v>1.0017458641156043</v>
      </c>
      <c r="D162" s="58">
        <f ca="1">('Total Trip Tables Sup #1'!D173*'Updated Population'!D$158)/('Total Trip Tables Sup #1'!D162*1000000)</f>
        <v>1.0031073600799751</v>
      </c>
      <c r="E162" s="58">
        <f ca="1">('Total Trip Tables Sup #1'!E173*'Updated Population'!E$158)/('Total Trip Tables Sup #1'!E162*1000000)</f>
        <v>1.0042269540089754</v>
      </c>
      <c r="F162" s="58">
        <f ca="1">('Total Trip Tables Sup #1'!F173*'Updated Population'!F$158)/('Total Trip Tables Sup #1'!F162*1000000)</f>
        <v>1.0052696026727845</v>
      </c>
      <c r="G162" s="58">
        <f ca="1">('Total Trip Tables Sup #1'!G173*'Updated Population'!G$158)/('Total Trip Tables Sup #1'!G162*1000000)</f>
        <v>1.0062479712454202</v>
      </c>
      <c r="H162" s="58">
        <f ca="1">('Total Trip Tables Sup #1'!H173*'Updated Population'!H$158)/('Total Trip Tables Sup #1'!H162*1000000)</f>
        <v>1.0071769018772503</v>
      </c>
      <c r="I162" s="58">
        <f ca="1">('Total Trip Tables Sup #1'!I173*'Updated Population'!I$158)/('Total Trip Tables Sup #1'!I162*1000000)</f>
        <v>1.0078628412465702</v>
      </c>
      <c r="J162" s="58">
        <f ca="1">('Total Trip Tables Sup #1'!J173*'Updated Population'!J$158)/('Total Trip Tables Sup #1'!J162*1000000)</f>
        <v>1.0087260381860863</v>
      </c>
      <c r="K162" s="58">
        <f ca="1">('Total Trip Tables Sup #1'!K173*'Updated Population'!K$158)/('Total Trip Tables Sup #1'!K162*1000000)</f>
        <v>1.0095841121556042</v>
      </c>
    </row>
    <row r="163" spans="1:11" x14ac:dyDescent="0.2">
      <c r="A163" t="str">
        <f ca="1">'Total Trip Tables'!A20</f>
        <v>Taxi/Vehicle Share</v>
      </c>
      <c r="B163" s="58">
        <f ca="1">('Total Trip Tables Sup #1'!B174*'Updated Population'!B$158)/('Total Trip Tables Sup #1'!B163*1000000)</f>
        <v>1</v>
      </c>
      <c r="C163" s="58">
        <f ca="1">('Total Trip Tables Sup #1'!C174*'Updated Population'!C$158)/('Total Trip Tables Sup #1'!C163*1000000)</f>
        <v>1.0056851700046996</v>
      </c>
      <c r="D163" s="58">
        <f ca="1">('Total Trip Tables Sup #1'!D174*'Updated Population'!D$158)/('Total Trip Tables Sup #1'!D163*1000000)</f>
        <v>1.0102477054033587</v>
      </c>
      <c r="E163" s="58">
        <f ca="1">('Total Trip Tables Sup #1'!E174*'Updated Population'!E$158)/('Total Trip Tables Sup #1'!E163*1000000)</f>
        <v>1.014237811880111</v>
      </c>
      <c r="F163" s="58">
        <f ca="1">('Total Trip Tables Sup #1'!F174*'Updated Population'!F$158)/('Total Trip Tables Sup #1'!F163*1000000)</f>
        <v>1.0178839819389087</v>
      </c>
      <c r="G163" s="58">
        <f ca="1">('Total Trip Tables Sup #1'!G174*'Updated Population'!G$158)/('Total Trip Tables Sup #1'!G163*1000000)</f>
        <v>1.0212669461648889</v>
      </c>
      <c r="H163" s="58">
        <f ca="1">('Total Trip Tables Sup #1'!H174*'Updated Population'!H$158)/('Total Trip Tables Sup #1'!H163*1000000)</f>
        <v>1.024470925959065</v>
      </c>
      <c r="I163" s="58">
        <f ca="1">('Total Trip Tables Sup #1'!I174*'Updated Population'!I$158)/('Total Trip Tables Sup #1'!I163*1000000)</f>
        <v>1.0267607306768158</v>
      </c>
      <c r="J163" s="58">
        <f ca="1">('Total Trip Tables Sup #1'!J174*'Updated Population'!J$158)/('Total Trip Tables Sup #1'!J163*1000000)</f>
        <v>1.0297548516788502</v>
      </c>
      <c r="K163" s="58">
        <f ca="1">('Total Trip Tables Sup #1'!K174*'Updated Population'!K$158)/('Total Trip Tables Sup #1'!K163*1000000)</f>
        <v>1.0327548129412087</v>
      </c>
    </row>
    <row r="164" spans="1:11" x14ac:dyDescent="0.2">
      <c r="A164" t="str">
        <f ca="1">'Total Trip Tables'!A21</f>
        <v>Motorcyclist</v>
      </c>
      <c r="B164" s="58">
        <f ca="1">('Total Trip Tables Sup #1'!B175*'Updated Population'!B$158)/('Total Trip Tables Sup #1'!B164*1000000)</f>
        <v>1</v>
      </c>
      <c r="C164" s="58">
        <f ca="1">('Total Trip Tables Sup #1'!C175*'Updated Population'!C$158)/('Total Trip Tables Sup #1'!C164*1000000)</f>
        <v>1.0154124238099684</v>
      </c>
      <c r="D164" s="58">
        <f ca="1">('Total Trip Tables Sup #1'!D175*'Updated Population'!D$158)/('Total Trip Tables Sup #1'!D164*1000000)</f>
        <v>1.028101463435791</v>
      </c>
      <c r="E164" s="58">
        <f ca="1">('Total Trip Tables Sup #1'!E175*'Updated Population'!E$158)/('Total Trip Tables Sup #1'!E164*1000000)</f>
        <v>1.0391598237111441</v>
      </c>
      <c r="F164" s="58">
        <f ca="1">('Total Trip Tables Sup #1'!F175*'Updated Population'!F$158)/('Total Trip Tables Sup #1'!F164*1000000)</f>
        <v>1.0498120713249286</v>
      </c>
      <c r="G164" s="58">
        <f ca="1">('Total Trip Tables Sup #1'!G175*'Updated Population'!G$158)/('Total Trip Tables Sup #1'!G164*1000000)</f>
        <v>1.0600809855303097</v>
      </c>
      <c r="H164" s="58">
        <f ca="1">('Total Trip Tables Sup #1'!H175*'Updated Population'!H$158)/('Total Trip Tables Sup #1'!H164*1000000)</f>
        <v>1.0701354037699504</v>
      </c>
      <c r="I164" s="58">
        <f ca="1">('Total Trip Tables Sup #1'!I175*'Updated Population'!I$158)/('Total Trip Tables Sup #1'!I164*1000000)</f>
        <v>1.0777977944294743</v>
      </c>
      <c r="J164" s="58">
        <f ca="1">('Total Trip Tables Sup #1'!J175*'Updated Population'!J$158)/('Total Trip Tables Sup #1'!J164*1000000)</f>
        <v>1.0874128837607457</v>
      </c>
      <c r="K164" s="58">
        <f ca="1">('Total Trip Tables Sup #1'!K175*'Updated Population'!K$158)/('Total Trip Tables Sup #1'!K164*1000000)</f>
        <v>1.0971012884470448</v>
      </c>
    </row>
    <row r="165" spans="1:11" x14ac:dyDescent="0.2">
      <c r="A165" t="str">
        <f ca="1">'Total Trip Tables'!A22</f>
        <v>Local Train</v>
      </c>
      <c r="B165" s="58">
        <f ca="1">('Total Trip Tables Sup #1'!B176*'Updated Population'!B$158)/('Total Trip Tables Sup #1'!B165*1000000)</f>
        <v>1</v>
      </c>
      <c r="C165" s="58">
        <f ca="1">('Total Trip Tables Sup #1'!C176*'Updated Population'!C$158)/('Total Trip Tables Sup #1'!C165*1000000)</f>
        <v>1.042018567806023</v>
      </c>
      <c r="D165" s="58">
        <f ca="1">('Total Trip Tables Sup #1'!D176*'Updated Population'!D$158)/('Total Trip Tables Sup #1'!D165*1000000)</f>
        <v>1.0681836216473577</v>
      </c>
      <c r="E165" s="58">
        <f ca="1">('Total Trip Tables Sup #1'!E176*'Updated Population'!E$158)/('Total Trip Tables Sup #1'!E165*1000000)</f>
        <v>1.0808168177202815</v>
      </c>
      <c r="F165" s="58">
        <f ca="1">('Total Trip Tables Sup #1'!F176*'Updated Population'!F$158)/('Total Trip Tables Sup #1'!F165*1000000)</f>
        <v>1.0905821090492636</v>
      </c>
      <c r="G165" s="58">
        <f ca="1">('Total Trip Tables Sup #1'!G176*'Updated Population'!G$158)/('Total Trip Tables Sup #1'!G165*1000000)</f>
        <v>1.0983710345299611</v>
      </c>
      <c r="H165" s="58">
        <f ca="1">('Total Trip Tables Sup #1'!H176*'Updated Population'!H$158)/('Total Trip Tables Sup #1'!H165*1000000)</f>
        <v>1.1031622432419141</v>
      </c>
      <c r="I165" s="58">
        <f ca="1">('Total Trip Tables Sup #1'!I176*'Updated Population'!I$158)/('Total Trip Tables Sup #1'!I165*1000000)</f>
        <v>1.1044882254559507</v>
      </c>
      <c r="J165" s="58">
        <f ca="1">('Total Trip Tables Sup #1'!J176*'Updated Population'!J$158)/('Total Trip Tables Sup #1'!J165*1000000)</f>
        <v>1.1060503019998653</v>
      </c>
      <c r="K165" s="58">
        <f ca="1">('Total Trip Tables Sup #1'!K176*'Updated Population'!K$158)/('Total Trip Tables Sup #1'!K165*1000000)</f>
        <v>1.1076326970234232</v>
      </c>
    </row>
    <row r="166" spans="1:11" x14ac:dyDescent="0.2">
      <c r="A166" t="str">
        <f ca="1">'Total Trip Tables'!A23</f>
        <v>Local Bus</v>
      </c>
      <c r="B166" s="58">
        <f ca="1">('Total Trip Tables Sup #1'!B177*'Updated Population'!B$169)/('Total Trip Tables Sup #1'!B166*1000000)</f>
        <v>1</v>
      </c>
      <c r="C166" s="58">
        <f ca="1">('Total Trip Tables Sup #1'!C177*'Updated Population'!C$169)/('Total Trip Tables Sup #1'!C166*1000000)</f>
        <v>1.0024320670360858</v>
      </c>
      <c r="D166" s="58">
        <f ca="1">('Total Trip Tables Sup #1'!D177*'Updated Population'!D$169)/('Total Trip Tables Sup #1'!D166*1000000)</f>
        <v>1.0048277492712576</v>
      </c>
      <c r="E166" s="58">
        <f ca="1">('Total Trip Tables Sup #1'!E177*'Updated Population'!E$169)/('Total Trip Tables Sup #1'!E166*1000000)</f>
        <v>1.0069398056824872</v>
      </c>
      <c r="F166" s="58">
        <f ca="1">('Total Trip Tables Sup #1'!F177*'Updated Population'!F$169)/('Total Trip Tables Sup #1'!F166*1000000)</f>
        <v>1.0089923832974697</v>
      </c>
      <c r="G166" s="58">
        <f ca="1">('Total Trip Tables Sup #1'!G177*'Updated Population'!G$169)/('Total Trip Tables Sup #1'!G166*1000000)</f>
        <v>1.0109721455754639</v>
      </c>
      <c r="H166" s="58">
        <f ca="1">('Total Trip Tables Sup #1'!H177*'Updated Population'!H$169)/('Total Trip Tables Sup #1'!H166*1000000)</f>
        <v>1.012905884592717</v>
      </c>
      <c r="I166" s="58">
        <f ca="1">('Total Trip Tables Sup #1'!I177*'Updated Population'!I$169)/('Total Trip Tables Sup #1'!I166*1000000)</f>
        <v>1.0144575965717668</v>
      </c>
      <c r="J166" s="58">
        <f ca="1">('Total Trip Tables Sup #1'!J177*'Updated Population'!J$169)/('Total Trip Tables Sup #1'!J166*1000000)</f>
        <v>1.0162936824124158</v>
      </c>
      <c r="K166" s="58">
        <f ca="1">('Total Trip Tables Sup #1'!K177*'Updated Population'!K$169)/('Total Trip Tables Sup #1'!K166*1000000)</f>
        <v>1.0181238568037656</v>
      </c>
    </row>
    <row r="167" spans="1:11" x14ac:dyDescent="0.2">
      <c r="A167" t="str">
        <f ca="1">'Total Trip Tables'!A24</f>
        <v>Local Ferry</v>
      </c>
      <c r="B167" s="58">
        <f ca="1">('Total Trip Tables Sup #1'!B178*'Updated Population'!B$158)/('Total Trip Tables Sup #1'!B167*1000000)</f>
        <v>1</v>
      </c>
      <c r="C167" s="58">
        <f ca="1">('Total Trip Tables Sup #1'!C178*'Updated Population'!C$158)/('Total Trip Tables Sup #1'!C167*1000000)</f>
        <v>0.96174564655599271</v>
      </c>
      <c r="D167" s="58">
        <f ca="1">('Total Trip Tables Sup #1'!D178*'Updated Population'!D$158)/('Total Trip Tables Sup #1'!D167*1000000)</f>
        <v>0.9323559106233914</v>
      </c>
      <c r="E167" s="58">
        <f ca="1">('Total Trip Tables Sup #1'!E178*'Updated Population'!E$158)/('Total Trip Tables Sup #1'!E167*1000000)</f>
        <v>0.90774132694156895</v>
      </c>
      <c r="F167" s="58">
        <f ca="1">('Total Trip Tables Sup #1'!F178*'Updated Population'!F$158)/('Total Trip Tables Sup #1'!F167*1000000)</f>
        <v>0.88584385309712854</v>
      </c>
      <c r="G167" s="58">
        <f ca="1">('Total Trip Tables Sup #1'!G178*'Updated Population'!G$158)/('Total Trip Tables Sup #1'!G167*1000000)</f>
        <v>0.86614644812597841</v>
      </c>
      <c r="H167" s="58">
        <f ca="1">('Total Trip Tables Sup #1'!H178*'Updated Population'!H$158)/('Total Trip Tables Sup #1'!H167*1000000)</f>
        <v>0.84811268006894536</v>
      </c>
      <c r="I167" s="58">
        <f ca="1">('Total Trip Tables Sup #1'!I178*'Updated Population'!I$158)/('Total Trip Tables Sup #1'!I167*1000000)</f>
        <v>0.83566494811046743</v>
      </c>
      <c r="J167" s="58">
        <f ca="1">('Total Trip Tables Sup #1'!J178*'Updated Population'!J$158)/('Total Trip Tables Sup #1'!J167*1000000)</f>
        <v>0.82006866693832581</v>
      </c>
      <c r="K167" s="58">
        <f ca="1">('Total Trip Tables Sup #1'!K178*'Updated Population'!K$158)/('Total Trip Tables Sup #1'!K167*1000000)</f>
        <v>0.8050953745620355</v>
      </c>
    </row>
    <row r="168" spans="1:11" x14ac:dyDescent="0.2">
      <c r="A168" t="str">
        <f ca="1">'Total Trip Tables'!A25</f>
        <v>Other Household Travel</v>
      </c>
      <c r="B168" s="58">
        <f ca="1">('Total Trip Tables Sup #1'!B179*'Updated Population'!B$158)/('Total Trip Tables Sup #1'!B168*1000000)</f>
        <v>1</v>
      </c>
      <c r="C168" s="58">
        <f ca="1">('Total Trip Tables Sup #1'!C179*'Updated Population'!C$158)/('Total Trip Tables Sup #1'!C168*1000000)</f>
        <v>1.0036073621598947</v>
      </c>
      <c r="D168" s="58">
        <f ca="1">('Total Trip Tables Sup #1'!D179*'Updated Population'!D$158)/('Total Trip Tables Sup #1'!D168*1000000)</f>
        <v>1.0065283833948611</v>
      </c>
      <c r="E168" s="58">
        <f ca="1">('Total Trip Tables Sup #1'!E179*'Updated Population'!E$158)/('Total Trip Tables Sup #1'!E168*1000000)</f>
        <v>1.0093746615274677</v>
      </c>
      <c r="F168" s="58">
        <f ca="1">('Total Trip Tables Sup #1'!F179*'Updated Population'!F$158)/('Total Trip Tables Sup #1'!F168*1000000)</f>
        <v>1.0121016884892449</v>
      </c>
      <c r="G168" s="58">
        <f ca="1">('Total Trip Tables Sup #1'!G179*'Updated Population'!G$158)/('Total Trip Tables Sup #1'!G168*1000000)</f>
        <v>1.0147533928993986</v>
      </c>
      <c r="H168" s="58">
        <f ca="1">('Total Trip Tables Sup #1'!H179*'Updated Population'!H$158)/('Total Trip Tables Sup #1'!H168*1000000)</f>
        <v>1.0174319026673098</v>
      </c>
      <c r="I168" s="58">
        <f ca="1">('Total Trip Tables Sup #1'!I179*'Updated Population'!I$158)/('Total Trip Tables Sup #1'!I168*1000000)</f>
        <v>1.0193959889878861</v>
      </c>
      <c r="J168" s="58">
        <f ca="1">('Total Trip Tables Sup #1'!J179*'Updated Population'!J$158)/('Total Trip Tables Sup #1'!J168*1000000)</f>
        <v>1.0218729721739439</v>
      </c>
      <c r="K168" s="58">
        <f ca="1">('Total Trip Tables Sup #1'!K179*'Updated Population'!K$158)/('Total Trip Tables Sup #1'!K168*1000000)</f>
        <v>1.0243326142556537</v>
      </c>
    </row>
    <row r="169" spans="1:11" x14ac:dyDescent="0.2">
      <c r="A169" t="s">
        <v>123</v>
      </c>
    </row>
    <row r="170" spans="1:11" x14ac:dyDescent="0.2">
      <c r="A170" t="s">
        <v>34</v>
      </c>
      <c r="B170" s="4">
        <f>'[1]Transition '!B$38</f>
        <v>0</v>
      </c>
      <c r="C170" s="4">
        <f>'[1]Transition '!C$38</f>
        <v>11.712251088164892</v>
      </c>
      <c r="D170" s="4">
        <f>'[1]Transition '!D$38</f>
        <v>28.000682979208626</v>
      </c>
      <c r="E170" s="4">
        <f>'[1]Transition '!E$38</f>
        <v>44.25966355655089</v>
      </c>
      <c r="F170" s="4">
        <f>'[1]Transition '!F$38</f>
        <v>51.980302712231953</v>
      </c>
      <c r="G170" s="4">
        <f>'[1]Transition '!G$38</f>
        <v>59.922255752793333</v>
      </c>
      <c r="H170" s="4">
        <f>'[1]Transition '!H$38</f>
        <v>67.953214092293521</v>
      </c>
      <c r="I170" s="1">
        <f>'[1]Transition '!I$38</f>
        <v>75.847254183959393</v>
      </c>
      <c r="J170" s="1">
        <f>'[1]Transition '!J$38</f>
        <v>84.265331378817223</v>
      </c>
      <c r="K170" s="1">
        <f>'[1]Transition '!K$38</f>
        <v>93.587997994290433</v>
      </c>
    </row>
    <row r="171" spans="1:11" x14ac:dyDescent="0.2">
      <c r="A171" t="s">
        <v>41</v>
      </c>
      <c r="B171" s="4">
        <f>'[2]Transition '!B$38</f>
        <v>0</v>
      </c>
      <c r="C171" s="4">
        <f>'[2]Transition '!C$38</f>
        <v>0.28854635749980773</v>
      </c>
      <c r="D171" s="4">
        <f>'[2]Transition '!D$38</f>
        <v>1.2724689095795387</v>
      </c>
      <c r="E171" s="4">
        <f>'[2]Transition '!E$38</f>
        <v>2.2172709087787457</v>
      </c>
      <c r="F171" s="4">
        <f>'[2]Transition '!F$38</f>
        <v>3.005092854551604</v>
      </c>
      <c r="G171" s="4">
        <f>'[2]Transition '!G$38</f>
        <v>3.7246262519093296</v>
      </c>
      <c r="H171" s="4">
        <f>'[2]Transition '!H$38</f>
        <v>4.497124307268372</v>
      </c>
      <c r="I171" s="1">
        <f>'[2]Transition '!I$38</f>
        <v>5.5516150990482043</v>
      </c>
      <c r="J171" s="1">
        <f>'[2]Transition '!J$38</f>
        <v>6.713934060584716</v>
      </c>
      <c r="K171" s="1">
        <f>'[2]Transition '!K$38</f>
        <v>7.9795899905257315</v>
      </c>
    </row>
    <row r="172" spans="1:11" x14ac:dyDescent="0.2">
      <c r="A172" t="s">
        <v>124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'!B$41</f>
        <v>0</v>
      </c>
      <c r="C173" s="4">
        <f>'[1]Transition '!C$41</f>
        <v>5.87829619751016</v>
      </c>
      <c r="D173" s="4">
        <f>'[1]Transition '!D$41</f>
        <v>10.861423076137818</v>
      </c>
      <c r="E173" s="4">
        <f>'[1]Transition '!E$41</f>
        <v>15.097914622730613</v>
      </c>
      <c r="F173" s="4">
        <f>'[1]Transition '!F$41</f>
        <v>20.372765188747607</v>
      </c>
      <c r="G173" s="4">
        <f>'[1]Transition '!G$41</f>
        <v>25.756648355021383</v>
      </c>
      <c r="H173" s="4">
        <f>'[1]Transition '!H$41</f>
        <v>31.575560302421323</v>
      </c>
      <c r="I173" s="1">
        <f>'[1]Transition '!I$41</f>
        <v>36.401937959674001</v>
      </c>
      <c r="J173" s="1">
        <f>'[1]Transition '!J$41</f>
        <v>41.694102138376337</v>
      </c>
      <c r="K173" s="1">
        <f>'[1]Transition '!K$41</f>
        <v>47.656216567004762</v>
      </c>
    </row>
    <row r="174" spans="1:11" x14ac:dyDescent="0.2">
      <c r="A174" t="s">
        <v>41</v>
      </c>
      <c r="B174" s="4">
        <f>'[2]Transition '!B$41</f>
        <v>0</v>
      </c>
      <c r="C174" s="4">
        <f>'[2]Transition '!C$41</f>
        <v>0.41188752627259362</v>
      </c>
      <c r="D174" s="4">
        <f>'[2]Transition '!D$41</f>
        <v>3.0562724795702536</v>
      </c>
      <c r="E174" s="4">
        <f>'[2]Transition '!E$41</f>
        <v>4.9048596751611662</v>
      </c>
      <c r="F174" s="4">
        <f>'[2]Transition '!F$41</f>
        <v>5.849175684566692</v>
      </c>
      <c r="G174" s="4">
        <f>'[2]Transition '!G$41</f>
        <v>6.9538134562679588</v>
      </c>
      <c r="H174" s="4">
        <f>'[2]Transition '!H$41</f>
        <v>8.1774492106575707</v>
      </c>
      <c r="I174" s="1">
        <f>'[2]Transition '!I$41</f>
        <v>8.9683522881181439</v>
      </c>
      <c r="J174" s="1">
        <f>'[2]Transition '!J$41</f>
        <v>9.8617007749256409</v>
      </c>
      <c r="K174" s="1">
        <f>'[2]Transition '!K$41</f>
        <v>10.836612184069303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T1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49" sqref="N49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17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$B5*('Updated Population'!C$4/'Updated Population'!$B$4)*('Total Trip Tables Sup #1'!C170/'Total Trip Tables Sup #1'!$B170)</f>
        <v>24.566365408810121</v>
      </c>
      <c r="D5" s="4">
        <f ca="1">$B5*('Updated Population'!D$4/'Updated Population'!$B$4)*('Total Trip Tables Sup #1'!D170/'Total Trip Tables Sup #1'!$B170)</f>
        <v>24.738990328518348</v>
      </c>
      <c r="E5" s="4">
        <f ca="1">$B5*('Updated Population'!E$4/'Updated Population'!$B$4)*('Total Trip Tables Sup #1'!E170/'Total Trip Tables Sup #1'!$B170)</f>
        <v>24.40575606704326</v>
      </c>
      <c r="F5" s="4">
        <f ca="1">$B5*('Updated Population'!F$4/'Updated Population'!$B$4)*('Total Trip Tables Sup #1'!F170/'Total Trip Tables Sup #1'!$B170)</f>
        <v>23.828103240915411</v>
      </c>
      <c r="G5" s="4">
        <f ca="1">$B5*('Updated Population'!G$4/'Updated Population'!$B$4)*('Total Trip Tables Sup #1'!G170/'Total Trip Tables Sup #1'!$B170)</f>
        <v>23.16599410427818</v>
      </c>
      <c r="H5" s="4">
        <f ca="1">$B5*('Updated Population'!H$4/'Updated Population'!$B$4)*('Total Trip Tables Sup #1'!H170/'Total Trip Tables Sup #1'!$B170)</f>
        <v>22.367865565238976</v>
      </c>
      <c r="I5" s="1">
        <f ca="1">$B5*('Updated Population'!I$4/'Updated Population'!$B$4)*('Total Trip Tables Sup #1'!I170/'Total Trip Tables Sup #1'!$B170)</f>
        <v>22.473954014458293</v>
      </c>
      <c r="J5" s="1">
        <f ca="1">$B5*('Updated Population'!J$4/'Updated Population'!$B$4)*('Total Trip Tables Sup #1'!J170/'Total Trip Tables Sup #1'!$B170)</f>
        <v>22.508667862640255</v>
      </c>
      <c r="K5" s="1">
        <f ca="1">$B5*('Updated Population'!K$4/'Updated Population'!$B$4)*('Total Trip Tables Sup #1'!K170/'Total Trip Tables Sup #1'!$B170)</f>
        <v>22.494988032260068</v>
      </c>
    </row>
    <row r="6" spans="1:11" x14ac:dyDescent="0.2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$B6*('Updated Population'!C$4/'Updated Population'!$B$4)*('Total Trip Tables Sup #1'!C171/'Total Trip Tables Sup #1'!$B171)</f>
        <v>0.66643414239971321</v>
      </c>
      <c r="D6" s="4">
        <f ca="1">$B6*('Updated Population'!D$4/'Updated Population'!$B$4)*('Total Trip Tables Sup #1'!D171/'Total Trip Tables Sup #1'!$B171)</f>
        <v>0.68014589359125843</v>
      </c>
      <c r="E6" s="4">
        <f ca="1">$B6*('Updated Population'!E$4/'Updated Population'!$B$4)*('Total Trip Tables Sup #1'!E171/'Total Trip Tables Sup #1'!$B171)</f>
        <v>0.66213464084819496</v>
      </c>
      <c r="F6" s="4">
        <f ca="1">$B6*('Updated Population'!F$4/'Updated Population'!$B$4)*('Total Trip Tables Sup #1'!F171/'Total Trip Tables Sup #1'!$B171)</f>
        <v>0.64524861541139023</v>
      </c>
      <c r="G6" s="4">
        <f ca="1">$B6*('Updated Population'!G$4/'Updated Population'!$B$4)*('Total Trip Tables Sup #1'!G171/'Total Trip Tables Sup #1'!$B171)</f>
        <v>0.6290549506399753</v>
      </c>
      <c r="H6" s="4">
        <f ca="1">$B6*('Updated Population'!H$4/'Updated Population'!$B$4)*('Total Trip Tables Sup #1'!H171/'Total Trip Tables Sup #1'!$B171)</f>
        <v>0.61246685253742716</v>
      </c>
      <c r="I6" s="1">
        <f ca="1">$B6*('Updated Population'!I$4/'Updated Population'!$B$4)*('Total Trip Tables Sup #1'!I171/'Total Trip Tables Sup #1'!$B171)</f>
        <v>0.61537171882403918</v>
      </c>
      <c r="J6" s="1">
        <f ca="1">$B6*('Updated Population'!J$4/'Updated Population'!$B$4)*('Total Trip Tables Sup #1'!J171/'Total Trip Tables Sup #1'!$B171)</f>
        <v>0.61632223782968398</v>
      </c>
      <c r="K6" s="1">
        <f ca="1">$B6*('Updated Population'!K$4/'Updated Population'!$B$4)*('Total Trip Tables Sup #1'!K171/'Total Trip Tables Sup #1'!$B171)</f>
        <v>0.61594766285596736</v>
      </c>
    </row>
    <row r="7" spans="1:11" x14ac:dyDescent="0.2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$B7*('Updated Population'!C$4/'Updated Population'!$B$4)*('Total Trip Tables Sup #1'!C172/'Total Trip Tables Sup #1'!$B172)</f>
        <v>92.43398975030064</v>
      </c>
      <c r="D7" s="4">
        <f ca="1">$B7*('Updated Population'!D$4/'Updated Population'!$B$4)*('Total Trip Tables Sup #1'!D172/'Total Trip Tables Sup #1'!$B172)</f>
        <v>94.798742300023576</v>
      </c>
      <c r="E7" s="4">
        <f ca="1">$B7*('Updated Population'!E$4/'Updated Population'!$B$4)*('Total Trip Tables Sup #1'!E172/'Total Trip Tables Sup #1'!$B172)</f>
        <v>96.704976058169379</v>
      </c>
      <c r="F7" s="4">
        <f ca="1">$B7*('Updated Population'!F$4/'Updated Population'!$B$4)*('Total Trip Tables Sup #1'!F172/'Total Trip Tables Sup #1'!$B172)</f>
        <v>97.492187414834021</v>
      </c>
      <c r="G7" s="4">
        <f ca="1">$B7*('Updated Population'!G$4/'Updated Population'!$B$4)*('Total Trip Tables Sup #1'!G172/'Total Trip Tables Sup #1'!$B172)</f>
        <v>97.088769150070007</v>
      </c>
      <c r="H7" s="4">
        <f ca="1">$B7*('Updated Population'!H$4/'Updated Population'!$B$4)*('Total Trip Tables Sup #1'!H172/'Total Trip Tables Sup #1'!$B172)</f>
        <v>95.835273515759638</v>
      </c>
      <c r="I7" s="1">
        <f ca="1">$B7*('Updated Population'!I$4/'Updated Population'!$B$4)*('Total Trip Tables Sup #1'!I172/'Total Trip Tables Sup #1'!$B172)</f>
        <v>96.289810204481341</v>
      </c>
      <c r="J7" s="1">
        <f ca="1">$B7*('Updated Population'!J$4/'Updated Population'!$B$4)*('Total Trip Tables Sup #1'!J172/'Total Trip Tables Sup #1'!$B172)</f>
        <v>96.438541925243854</v>
      </c>
      <c r="K7" s="1">
        <f ca="1">$B7*('Updated Population'!K$4/'Updated Population'!$B$4)*('Total Trip Tables Sup #1'!K172/'Total Trip Tables Sup #1'!$B172)</f>
        <v>96.379930598100884</v>
      </c>
    </row>
    <row r="8" spans="1:11" x14ac:dyDescent="0.2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$B8*('Updated Population'!C$4/'Updated Population'!$B$4)*('Total Trip Tables Sup #1'!C173/'Total Trip Tables Sup #1'!$B173)</f>
        <v>51.261258269546033</v>
      </c>
      <c r="D8" s="4">
        <f ca="1">$B8*('Updated Population'!D$4/'Updated Population'!$B$4)*('Total Trip Tables Sup #1'!D173/'Total Trip Tables Sup #1'!$B173)</f>
        <v>51.608877049107676</v>
      </c>
      <c r="E8" s="4">
        <f ca="1">$B8*('Updated Population'!E$4/'Updated Population'!$B$4)*('Total Trip Tables Sup #1'!E173/'Total Trip Tables Sup #1'!$B173)</f>
        <v>51.654377028239423</v>
      </c>
      <c r="F8" s="4">
        <f ca="1">$B8*('Updated Population'!F$4/'Updated Population'!$B$4)*('Total Trip Tables Sup #1'!F173/'Total Trip Tables Sup #1'!$B173)</f>
        <v>51.354364310817317</v>
      </c>
      <c r="G8" s="4">
        <f ca="1">$B8*('Updated Population'!G$4/'Updated Population'!$B$4)*('Total Trip Tables Sup #1'!G173/'Total Trip Tables Sup #1'!$B173)</f>
        <v>50.692267347226689</v>
      </c>
      <c r="H8" s="4">
        <f ca="1">$B8*('Updated Population'!H$4/'Updated Population'!$B$4)*('Total Trip Tables Sup #1'!H173/'Total Trip Tables Sup #1'!$B173)</f>
        <v>49.720183981010372</v>
      </c>
      <c r="I8" s="1">
        <f ca="1">$B8*('Updated Population'!I$4/'Updated Population'!$B$4)*('Total Trip Tables Sup #1'!I173/'Total Trip Tables Sup #1'!$B173)</f>
        <v>49.956001618507344</v>
      </c>
      <c r="J8" s="1">
        <f ca="1">$B8*('Updated Population'!J$4/'Updated Population'!$B$4)*('Total Trip Tables Sup #1'!J173/'Total Trip Tables Sup #1'!$B173)</f>
        <v>50.033164945211986</v>
      </c>
      <c r="K8" s="1">
        <f ca="1">$B8*('Updated Population'!K$4/'Updated Population'!$B$4)*('Total Trip Tables Sup #1'!K173/'Total Trip Tables Sup #1'!$B173)</f>
        <v>50.002756872463685</v>
      </c>
    </row>
    <row r="9" spans="1:11" x14ac:dyDescent="0.2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$B9*('Updated Population'!C$4/'Updated Population'!$B$4)*('Total Trip Tables Sup #1'!C174/'Total Trip Tables Sup #1'!$B174)</f>
        <v>0.20593100763761477</v>
      </c>
      <c r="D9" s="4">
        <f ca="1">$B9*('Updated Population'!D$4/'Updated Population'!$B$4)*('Total Trip Tables Sup #1'!D174/'Total Trip Tables Sup #1'!$B174)</f>
        <v>0.22397785158768602</v>
      </c>
      <c r="E9" s="4">
        <f ca="1">$B9*('Updated Population'!E$4/'Updated Population'!$B$4)*('Total Trip Tables Sup #1'!E174/'Total Trip Tables Sup #1'!$B174)</f>
        <v>0.23528076838505468</v>
      </c>
      <c r="F9" s="4">
        <f ca="1">$B9*('Updated Population'!F$4/'Updated Population'!$B$4)*('Total Trip Tables Sup #1'!F174/'Total Trip Tables Sup #1'!$B174)</f>
        <v>0.24218196370709891</v>
      </c>
      <c r="G9" s="4">
        <f ca="1">$B9*('Updated Population'!G$4/'Updated Population'!$B$4)*('Total Trip Tables Sup #1'!G174/'Total Trip Tables Sup #1'!$B174)</f>
        <v>0.24484359693629937</v>
      </c>
      <c r="H9" s="4">
        <f ca="1">$B9*('Updated Population'!H$4/'Updated Population'!$B$4)*('Total Trip Tables Sup #1'!H174/'Total Trip Tables Sup #1'!$B174)</f>
        <v>0.24493764557259859</v>
      </c>
      <c r="I9" s="1">
        <f ca="1">$B9*('Updated Population'!I$4/'Updated Population'!$B$4)*('Total Trip Tables Sup #1'!I174/'Total Trip Tables Sup #1'!$B174)</f>
        <v>0.24609935923269005</v>
      </c>
      <c r="J9" s="1">
        <f ca="1">$B9*('Updated Population'!J$4/'Updated Population'!$B$4)*('Total Trip Tables Sup #1'!J174/'Total Trip Tables Sup #1'!$B174)</f>
        <v>0.24647949064119012</v>
      </c>
      <c r="K9" s="1">
        <f ca="1">$B9*('Updated Population'!K$4/'Updated Population'!$B$4)*('Total Trip Tables Sup #1'!K174/'Total Trip Tables Sup #1'!$B174)</f>
        <v>0.24632969067769414</v>
      </c>
    </row>
    <row r="10" spans="1:11" x14ac:dyDescent="0.2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$B10*('Updated Population'!C$4/'Updated Population'!$B$4)*('Total Trip Tables Sup #1'!C175/'Total Trip Tables Sup #1'!$B175)</f>
        <v>1.4392674443594169</v>
      </c>
      <c r="D10" s="4">
        <f ca="1">$B10*('Updated Population'!D$4/'Updated Population'!$B$4)*('Total Trip Tables Sup #1'!D175/'Total Trip Tables Sup #1'!$B175)</f>
        <v>1.4405623543896517</v>
      </c>
      <c r="E10" s="4">
        <f ca="1">$B10*('Updated Population'!E$4/'Updated Population'!$B$4)*('Total Trip Tables Sup #1'!E175/'Total Trip Tables Sup #1'!$B175)</f>
        <v>1.4161395030275672</v>
      </c>
      <c r="F10" s="4">
        <f ca="1">$B10*('Updated Population'!F$4/'Updated Population'!$B$4)*('Total Trip Tables Sup #1'!F175/'Total Trip Tables Sup #1'!$B175)</f>
        <v>1.3723705606653289</v>
      </c>
      <c r="G10" s="4">
        <f ca="1">$B10*('Updated Population'!G$4/'Updated Population'!$B$4)*('Total Trip Tables Sup #1'!G175/'Total Trip Tables Sup #1'!$B175)</f>
        <v>1.2996546791732813</v>
      </c>
      <c r="H10" s="4">
        <f ca="1">$B10*('Updated Population'!H$4/'Updated Population'!$B$4)*('Total Trip Tables Sup #1'!H175/'Total Trip Tables Sup #1'!$B175)</f>
        <v>1.2189760652553596</v>
      </c>
      <c r="I10" s="1">
        <f ca="1">$B10*('Updated Population'!I$4/'Updated Population'!$B$4)*('Total Trip Tables Sup #1'!I175/'Total Trip Tables Sup #1'!$B175)</f>
        <v>1.224757541365417</v>
      </c>
      <c r="J10" s="1">
        <f ca="1">$B10*('Updated Population'!J$4/'Updated Population'!$B$4)*('Total Trip Tables Sup #1'!J175/'Total Trip Tables Sup #1'!$B175)</f>
        <v>1.2266493334071433</v>
      </c>
      <c r="K10" s="1">
        <f ca="1">$B10*('Updated Population'!K$4/'Updated Population'!$B$4)*('Total Trip Tables Sup #1'!K175/'Total Trip Tables Sup #1'!$B175)</f>
        <v>1.2259038270573503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Trip Tables Sup #1'!C176/'Total Trip Tables Sup #1'!$B176)</f>
        <v>0</v>
      </c>
      <c r="D11" s="4">
        <f ca="1">$B11*('Updated Population'!D$4/'Updated Population'!$B$4)*('Total Trip Tables Sup #1'!D176/'Total Trip Tables Sup #1'!$B176)</f>
        <v>0</v>
      </c>
      <c r="E11" s="4">
        <f ca="1">$B11*('Updated Population'!E$4/'Updated Population'!$B$4)*('Total Trip Tables Sup #1'!E176/'Total Trip Tables Sup #1'!$B176)</f>
        <v>0</v>
      </c>
      <c r="F11" s="4">
        <f ca="1">$B11*('Updated Population'!F$4/'Updated Population'!$B$4)*('Total Trip Tables Sup #1'!F176/'Total Trip Tables Sup #1'!$B176)</f>
        <v>0</v>
      </c>
      <c r="G11" s="4">
        <f ca="1">$B11*('Updated Population'!G$4/'Updated Population'!$B$4)*('Total Trip Tables Sup #1'!G176/'Total Trip Tables Sup #1'!$B176)</f>
        <v>0</v>
      </c>
      <c r="H11" s="4">
        <f ca="1">$B11*('Updated Population'!H$4/'Updated Population'!$B$4)*('Total Trip Tables Sup #1'!H176/'Total Trip Tables Sup #1'!$B176)</f>
        <v>0</v>
      </c>
      <c r="I11" s="1">
        <f ca="1">$B11*('Updated Population'!I$4/'Updated Population'!$B$4)*('Total Trip Tables Sup #1'!I176/'Total Trip Tables Sup #1'!$B176)</f>
        <v>0</v>
      </c>
      <c r="J11" s="1">
        <f ca="1">$B11*('Updated Population'!J$4/'Updated Population'!$B$4)*('Total Trip Tables Sup #1'!J176/'Total Trip Tables Sup #1'!$B176)</f>
        <v>0</v>
      </c>
      <c r="K11" s="1">
        <f ca="1">$B11*('Updated Population'!K$4/'Updated Population'!$B$4)*('Total Trip Tables Sup #1'!K176/'Total Trip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$B12*('Updated Population'!C$4/'Updated Population'!$B$4)*('Total Trip Tables Sup #1'!C177/'Total Trip Tables Sup #1'!$B177)</f>
        <v>3.427503066677279</v>
      </c>
      <c r="D12" s="4">
        <f ca="1">$B12*('Updated Population'!D$4/'Updated Population'!$B$4)*('Total Trip Tables Sup #1'!D177/'Total Trip Tables Sup #1'!$B177)</f>
        <v>3.4572647684033302</v>
      </c>
      <c r="E12" s="4">
        <f ca="1">$B12*('Updated Population'!E$4/'Updated Population'!$B$4)*('Total Trip Tables Sup #1'!E177/'Total Trip Tables Sup #1'!$B177)</f>
        <v>3.4247895990727875</v>
      </c>
      <c r="F12" s="4">
        <f ca="1">$B12*('Updated Population'!F$4/'Updated Population'!$B$4)*('Total Trip Tables Sup #1'!F177/'Total Trip Tables Sup #1'!$B177)</f>
        <v>3.3687580320989259</v>
      </c>
      <c r="G12" s="4">
        <f ca="1">$B12*('Updated Population'!G$4/'Updated Population'!$B$4)*('Total Trip Tables Sup #1'!G177/'Total Trip Tables Sup #1'!$B177)</f>
        <v>3.3337311731119645</v>
      </c>
      <c r="H12" s="4">
        <f ca="1">$B12*('Updated Population'!H$4/'Updated Population'!$B$4)*('Total Trip Tables Sup #1'!H177/'Total Trip Tables Sup #1'!$B177)</f>
        <v>3.2875180796999923</v>
      </c>
      <c r="I12" s="1">
        <f ca="1">$B12*('Updated Population'!I$4/'Updated Population'!$B$4)*('Total Trip Tables Sup #1'!I177/'Total Trip Tables Sup #1'!$B177)</f>
        <v>3.3031104344483078</v>
      </c>
      <c r="J12" s="1">
        <f ca="1">$B12*('Updated Population'!J$4/'Updated Population'!$B$4)*('Total Trip Tables Sup #1'!J177/'Total Trip Tables Sup #1'!$B177)</f>
        <v>3.3082125038961641</v>
      </c>
      <c r="K12" s="1">
        <f ca="1">$B12*('Updated Population'!K$4/'Updated Population'!$B$4)*('Total Trip Tables Sup #1'!K177/'Total Trip Tables Sup #1'!$B177)</f>
        <v>3.3062019101910596</v>
      </c>
    </row>
    <row r="13" spans="1:11" x14ac:dyDescent="0.2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$B13*('Updated Population'!C$4/'Updated Population'!$B$4)*('Total Trip Tables Sup #1'!C178/'Total Trip Tables Sup #1'!$B178)</f>
        <v>5.6781669788813056E-2</v>
      </c>
      <c r="D13" s="4">
        <f ca="1">$B13*('Updated Population'!D$4/'Updated Population'!$B$4)*('Total Trip Tables Sup #1'!D178/'Total Trip Tables Sup #1'!$B178)</f>
        <v>5.8951669783751347E-2</v>
      </c>
      <c r="E13" s="4">
        <f ca="1">$B13*('Updated Population'!E$4/'Updated Population'!$B$4)*('Total Trip Tables Sup #1'!E178/'Total Trip Tables Sup #1'!$B178)</f>
        <v>6.0900750420789795E-2</v>
      </c>
      <c r="F13" s="4">
        <f ca="1">$B13*('Updated Population'!F$4/'Updated Population'!$B$4)*('Total Trip Tables Sup #1'!F178/'Total Trip Tables Sup #1'!$B178)</f>
        <v>6.1360781192543637E-2</v>
      </c>
      <c r="G13" s="4">
        <f ca="1">$B13*('Updated Population'!G$4/'Updated Population'!$B$4)*('Total Trip Tables Sup #1'!G178/'Total Trip Tables Sup #1'!$B178)</f>
        <v>6.2501313433471622E-2</v>
      </c>
      <c r="H13" s="4">
        <f ca="1">$B13*('Updated Population'!H$4/'Updated Population'!$B$4)*('Total Trip Tables Sup #1'!H178/'Total Trip Tables Sup #1'!$B178)</f>
        <v>6.2462114049622514E-2</v>
      </c>
      <c r="I13" s="1">
        <f ca="1">$B13*('Updated Population'!I$4/'Updated Population'!$B$4)*('Total Trip Tables Sup #1'!I178/'Total Trip Tables Sup #1'!$B178)</f>
        <v>6.2758365330065763E-2</v>
      </c>
      <c r="J13" s="1">
        <f ca="1">$B13*('Updated Population'!J$4/'Updated Population'!$B$4)*('Total Trip Tables Sup #1'!J178/'Total Trip Tables Sup #1'!$B178)</f>
        <v>6.2855303517481045E-2</v>
      </c>
      <c r="K13" s="1">
        <f ca="1">$B13*('Updated Population'!K$4/'Updated Population'!$B$4)*('Total Trip Tables Sup #1'!K178/'Total Trip Tables Sup #1'!$B178)</f>
        <v>6.2817102683213041E-2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$B14*('Updated Population'!C$4/'Updated Population'!$B$4)*('Total Trip Tables Sup #1'!C179/'Total Trip Tables Sup #1'!$B179)</f>
        <v>0.1246616440097893</v>
      </c>
      <c r="D14" s="4">
        <f ca="1">$B14*('Updated Population'!D$4/'Updated Population'!$B$4)*('Total Trip Tables Sup #1'!D179/'Total Trip Tables Sup #1'!$B179)</f>
        <v>0.12984520649319825</v>
      </c>
      <c r="E14" s="4">
        <f ca="1">$B14*('Updated Population'!E$4/'Updated Population'!$B$4)*('Total Trip Tables Sup #1'!E179/'Total Trip Tables Sup #1'!$B179)</f>
        <v>0.13149004812319801</v>
      </c>
      <c r="F14" s="4">
        <f ca="1">$B14*('Updated Population'!F$4/'Updated Population'!$B$4)*('Total Trip Tables Sup #1'!F179/'Total Trip Tables Sup #1'!$B179)</f>
        <v>0.13084646805364755</v>
      </c>
      <c r="G14" s="4">
        <f ca="1">$B14*('Updated Population'!G$4/'Updated Population'!$B$4)*('Total Trip Tables Sup #1'!G179/'Total Trip Tables Sup #1'!$B179)</f>
        <v>0.12835424272085114</v>
      </c>
      <c r="H14" s="4">
        <f ca="1">$B14*('Updated Population'!H$4/'Updated Population'!$B$4)*('Total Trip Tables Sup #1'!H179/'Total Trip Tables Sup #1'!$B179)</f>
        <v>0.12317990826269876</v>
      </c>
      <c r="I14" s="1">
        <f ca="1">$B14*('Updated Population'!I$4/'Updated Population'!$B$4)*('Total Trip Tables Sup #1'!I179/'Total Trip Tables Sup #1'!$B179)</f>
        <v>0.12376413769685972</v>
      </c>
      <c r="J14" s="1">
        <f ca="1">$B14*('Updated Population'!J$4/'Updated Population'!$B$4)*('Total Trip Tables Sup #1'!J179/'Total Trip Tables Sup #1'!$B179)</f>
        <v>0.12395530697146159</v>
      </c>
      <c r="K14" s="1">
        <f ca="1">$B14*('Updated Population'!K$4/'Updated Population'!$B$4)*('Total Trip Tables Sup #1'!K179/'Total Trip Tables Sup #1'!$B179)</f>
        <v>0.12387997210116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$B16*('Updated Population'!C$15/'Updated Population'!$B$15)*('Total Trip Tables Sup #1'!C170/'Total Trip Tables Sup #1'!$B170)</f>
        <v>369.43439707416474</v>
      </c>
      <c r="D16" s="4">
        <f ca="1">$B16*('Updated Population'!D$15/'Updated Population'!$B$15)*('Total Trip Tables Sup #1'!D170/'Total Trip Tables Sup #1'!$B170)</f>
        <v>401.69747540753008</v>
      </c>
      <c r="E16" s="4">
        <f ca="1">$B16*('Updated Population'!E$15/'Updated Population'!$B$15)*('Total Trip Tables Sup #1'!E170/'Total Trip Tables Sup #1'!$B170)</f>
        <v>424.35094552086093</v>
      </c>
      <c r="F16" s="4">
        <f ca="1">$B16*('Updated Population'!F$15/'Updated Population'!$B$15)*('Total Trip Tables Sup #1'!F170/'Total Trip Tables Sup #1'!$B170)</f>
        <v>442.91509683129857</v>
      </c>
      <c r="G16" s="4">
        <f ca="1">$B16*('Updated Population'!G$15/'Updated Population'!$B$15)*('Total Trip Tables Sup #1'!G170/'Total Trip Tables Sup #1'!$B170)</f>
        <v>459.43686687198533</v>
      </c>
      <c r="H16" s="4">
        <f ca="1">$B16*('Updated Population'!H$15/'Updated Population'!$B$15)*('Total Trip Tables Sup #1'!H170/'Total Trip Tables Sup #1'!$B170)</f>
        <v>472.73107092993848</v>
      </c>
      <c r="I16" s="1">
        <f ca="1">$B16*('Updated Population'!I$15/'Updated Population'!$B$15)*('Total Trip Tables Sup #1'!I170/'Total Trip Tables Sup #1'!$B170)</f>
        <v>497.93166095119835</v>
      </c>
      <c r="J16" s="1">
        <f ca="1">$B16*('Updated Population'!J$15/'Updated Population'!$B$15)*('Total Trip Tables Sup #1'!J170/'Total Trip Tables Sup #1'!$B170)</f>
        <v>529.92214381635438</v>
      </c>
      <c r="K16" s="1">
        <f ca="1">$B16*('Updated Population'!K$15/'Updated Population'!$B$15)*('Total Trip Tables Sup #1'!K170/'Total Trip Tables Sup #1'!$B170)</f>
        <v>563.17903959366777</v>
      </c>
    </row>
    <row r="17" spans="1:11" x14ac:dyDescent="0.2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$B17*('Updated Population'!C$15/'Updated Population'!$B$15)*('Total Trip Tables Sup #1'!C171/'Total Trip Tables Sup #1'!$B171)</f>
        <v>7.7445628187741971</v>
      </c>
      <c r="D17" s="4">
        <f ca="1">$B17*('Updated Population'!D$15/'Updated Population'!$B$15)*('Total Trip Tables Sup #1'!D171/'Total Trip Tables Sup #1'!$B171)</f>
        <v>8.5341929675416317</v>
      </c>
      <c r="E17" s="4">
        <f ca="1">$B17*('Updated Population'!E$15/'Updated Population'!$B$15)*('Total Trip Tables Sup #1'!E171/'Total Trip Tables Sup #1'!$B171)</f>
        <v>8.8965672115429744</v>
      </c>
      <c r="F17" s="4">
        <f ca="1">$B17*('Updated Population'!F$15/'Updated Population'!$B$15)*('Total Trip Tables Sup #1'!F171/'Total Trip Tables Sup #1'!$B171)</f>
        <v>9.2683267972515964</v>
      </c>
      <c r="G17" s="4">
        <f ca="1">$B17*('Updated Population'!G$15/'Updated Population'!$B$15)*('Total Trip Tables Sup #1'!G171/'Total Trip Tables Sup #1'!$B171)</f>
        <v>9.6406592160793156</v>
      </c>
      <c r="H17" s="4">
        <f ca="1">$B17*('Updated Population'!H$15/'Updated Population'!$B$15)*('Total Trip Tables Sup #1'!H171/'Total Trip Tables Sup #1'!$B171)</f>
        <v>10.002658453184992</v>
      </c>
      <c r="I17" s="1">
        <f ca="1">$B17*('Updated Population'!I$15/'Updated Population'!$B$15)*('Total Trip Tables Sup #1'!I171/'Total Trip Tables Sup #1'!$B171)</f>
        <v>10.535885292507265</v>
      </c>
      <c r="J17" s="1">
        <f ca="1">$B17*('Updated Population'!J$15/'Updated Population'!$B$15)*('Total Trip Tables Sup #1'!J171/'Total Trip Tables Sup #1'!$B171)</f>
        <v>11.212781510103353</v>
      </c>
      <c r="K17" s="1">
        <f ca="1">$B17*('Updated Population'!K$15/'Updated Population'!$B$15)*('Total Trip Tables Sup #1'!K171/'Total Trip Tables Sup #1'!$B171)</f>
        <v>11.916474138174623</v>
      </c>
    </row>
    <row r="18" spans="1:11" x14ac:dyDescent="0.2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$B18*('Updated Population'!C$15/'Updated Population'!$B$15)*('Total Trip Tables Sup #1'!C172/'Total Trip Tables Sup #1'!$B172)</f>
        <v>1153.1029007638053</v>
      </c>
      <c r="D18" s="4">
        <f ca="1">$B18*('Updated Population'!D$15/'Updated Population'!$B$15)*('Total Trip Tables Sup #1'!D172/'Total Trip Tables Sup #1'!$B172)</f>
        <v>1276.9081270363654</v>
      </c>
      <c r="E18" s="4">
        <f ca="1">$B18*('Updated Population'!E$15/'Updated Population'!$B$15)*('Total Trip Tables Sup #1'!E172/'Total Trip Tables Sup #1'!$B172)</f>
        <v>1394.8312659091609</v>
      </c>
      <c r="F18" s="4">
        <f ca="1">$B18*('Updated Population'!F$15/'Updated Population'!$B$15)*('Total Trip Tables Sup #1'!F172/'Total Trip Tables Sup #1'!$B172)</f>
        <v>1503.2830793605008</v>
      </c>
      <c r="G18" s="4">
        <f ca="1">$B18*('Updated Population'!G$15/'Updated Population'!$B$15)*('Total Trip Tables Sup #1'!G172/'Total Trip Tables Sup #1'!$B172)</f>
        <v>1597.2902456415768</v>
      </c>
      <c r="H18" s="4">
        <f ca="1">$B18*('Updated Population'!H$15/'Updated Population'!$B$15)*('Total Trip Tables Sup #1'!H172/'Total Trip Tables Sup #1'!$B172)</f>
        <v>1680.1766106947061</v>
      </c>
      <c r="I18" s="1">
        <f ca="1">$B18*('Updated Population'!I$15/'Updated Population'!$B$15)*('Total Trip Tables Sup #1'!I172/'Total Trip Tables Sup #1'!$B172)</f>
        <v>1769.7443258993253</v>
      </c>
      <c r="J18" s="1">
        <f ca="1">$B18*('Updated Population'!J$15/'Updated Population'!$B$15)*('Total Trip Tables Sup #1'!J172/'Total Trip Tables Sup #1'!$B172)</f>
        <v>1883.4446184760977</v>
      </c>
      <c r="K18" s="1">
        <f ca="1">$B18*('Updated Population'!K$15/'Updated Population'!$B$15)*('Total Trip Tables Sup #1'!K172/'Total Trip Tables Sup #1'!$B172)</f>
        <v>2001.6459846766168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$B19*('Updated Population'!C$15/'Updated Population'!$B$15)*('Total Trip Tables Sup #1'!C173/'Total Trip Tables Sup #1'!$B173)</f>
        <v>545.93228075953357</v>
      </c>
      <c r="D19" s="4">
        <f ca="1">$B19*('Updated Population'!D$15/'Updated Population'!$B$15)*('Total Trip Tables Sup #1'!D173/'Total Trip Tables Sup #1'!$B173)</f>
        <v>593.46434477648233</v>
      </c>
      <c r="E19" s="4">
        <f ca="1">$B19*('Updated Population'!E$15/'Updated Population'!$B$15)*('Total Trip Tables Sup #1'!E173/'Total Trip Tables Sup #1'!$B173)</f>
        <v>636.05273875887951</v>
      </c>
      <c r="F19" s="4">
        <f ca="1">$B19*('Updated Population'!F$15/'Updated Population'!$B$15)*('Total Trip Tables Sup #1'!F173/'Total Trip Tables Sup #1'!$B173)</f>
        <v>676.02297972849203</v>
      </c>
      <c r="G19" s="4">
        <f ca="1">$B19*('Updated Population'!G$15/'Updated Population'!$B$15)*('Total Trip Tables Sup #1'!G173/'Total Trip Tables Sup #1'!$B173)</f>
        <v>711.98313690656698</v>
      </c>
      <c r="H19" s="4">
        <f ca="1">$B19*('Updated Population'!H$15/'Updated Population'!$B$15)*('Total Trip Tables Sup #1'!H173/'Total Trip Tables Sup #1'!$B173)</f>
        <v>744.17559238825004</v>
      </c>
      <c r="I19" s="1">
        <f ca="1">$B19*('Updated Population'!I$15/'Updated Population'!$B$15)*('Total Trip Tables Sup #1'!I173/'Total Trip Tables Sup #1'!$B173)</f>
        <v>783.84648596990746</v>
      </c>
      <c r="J19" s="1">
        <f ca="1">$B19*('Updated Population'!J$15/'Updated Population'!$B$15)*('Total Trip Tables Sup #1'!J173/'Total Trip Tables Sup #1'!$B173)</f>
        <v>834.20606248374304</v>
      </c>
      <c r="K19" s="1">
        <f ca="1">$B19*('Updated Population'!K$15/'Updated Population'!$B$15)*('Total Trip Tables Sup #1'!K173/'Total Trip Tables Sup #1'!$B173)</f>
        <v>886.55923247401074</v>
      </c>
    </row>
    <row r="20" spans="1:11" x14ac:dyDescent="0.2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$B20*('Updated Population'!C$15/'Updated Population'!$B$15)*('Total Trip Tables Sup #1'!C174/'Total Trip Tables Sup #1'!$B174)</f>
        <v>7.5107537303299532</v>
      </c>
      <c r="D20" s="4">
        <f ca="1">$B20*('Updated Population'!D$15/'Updated Population'!$B$15)*('Total Trip Tables Sup #1'!D174/'Total Trip Tables Sup #1'!$B174)</f>
        <v>8.8203854064361291</v>
      </c>
      <c r="E20" s="4">
        <f ca="1">$B20*('Updated Population'!E$15/'Updated Population'!$B$15)*('Total Trip Tables Sup #1'!E174/'Total Trip Tables Sup #1'!$B174)</f>
        <v>9.9216680747475117</v>
      </c>
      <c r="F20" s="4">
        <f ca="1">$B20*('Updated Population'!F$15/'Updated Population'!$B$15)*('Total Trip Tables Sup #1'!F174/'Total Trip Tables Sup #1'!$B174)</f>
        <v>10.917876131882188</v>
      </c>
      <c r="G20" s="4">
        <f ca="1">$B20*('Updated Population'!G$15/'Updated Population'!$B$15)*('Total Trip Tables Sup #1'!G174/'Total Trip Tables Sup #1'!$B174)</f>
        <v>11.776846300876656</v>
      </c>
      <c r="H20" s="4">
        <f ca="1">$B20*('Updated Population'!H$15/'Updated Population'!$B$15)*('Total Trip Tables Sup #1'!H174/'Total Trip Tables Sup #1'!$B174)</f>
        <v>12.55482024195716</v>
      </c>
      <c r="I20" s="1">
        <f ca="1">$B20*('Updated Population'!I$15/'Updated Population'!$B$15)*('Total Trip Tables Sup #1'!I174/'Total Trip Tables Sup #1'!$B174)</f>
        <v>13.224099028912692</v>
      </c>
      <c r="J20" s="1">
        <f ca="1">$B20*('Updated Population'!J$15/'Updated Population'!$B$15)*('Total Trip Tables Sup #1'!J174/'Total Trip Tables Sup #1'!$B174)</f>
        <v>14.073704198793664</v>
      </c>
      <c r="K20" s="1">
        <f ca="1">$B20*('Updated Population'!K$15/'Updated Population'!$B$15)*('Total Trip Tables Sup #1'!K174/'Total Trip Tables Sup #1'!$B174)</f>
        <v>14.956942839038561</v>
      </c>
    </row>
    <row r="21" spans="1:11" x14ac:dyDescent="0.2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$B21*('Updated Population'!C$15/'Updated Population'!$B$15)*('Total Trip Tables Sup #1'!C175/'Total Trip Tables Sup #1'!$B175)</f>
        <v>4.5991943718536135</v>
      </c>
      <c r="D21" s="4">
        <f ca="1">$B21*('Updated Population'!D$15/'Updated Population'!$B$15)*('Total Trip Tables Sup #1'!D175/'Total Trip Tables Sup #1'!$B175)</f>
        <v>4.9704193743888947</v>
      </c>
      <c r="E21" s="4">
        <f ca="1">$B21*('Updated Population'!E$15/'Updated Population'!$B$15)*('Total Trip Tables Sup #1'!E175/'Total Trip Tables Sup #1'!$B175)</f>
        <v>5.2321813222909235</v>
      </c>
      <c r="F21" s="4">
        <f ca="1">$B21*('Updated Population'!F$15/'Updated Population'!$B$15)*('Total Trip Tables Sup #1'!F175/'Total Trip Tables Sup #1'!$B175)</f>
        <v>5.4205860649957325</v>
      </c>
      <c r="G21" s="4">
        <f ca="1">$B21*('Updated Population'!G$15/'Updated Population'!$B$15)*('Total Trip Tables Sup #1'!G175/'Total Trip Tables Sup #1'!$B175)</f>
        <v>5.4770501245550127</v>
      </c>
      <c r="H21" s="4">
        <f ca="1">$B21*('Updated Population'!H$15/'Updated Population'!$B$15)*('Total Trip Tables Sup #1'!H175/'Total Trip Tables Sup #1'!$B175)</f>
        <v>5.474300367671832</v>
      </c>
      <c r="I21" s="1">
        <f ca="1">$B21*('Updated Population'!I$15/'Updated Population'!$B$15)*('Total Trip Tables Sup #1'!I175/'Total Trip Tables Sup #1'!$B175)</f>
        <v>5.7661271751366971</v>
      </c>
      <c r="J21" s="1">
        <f ca="1">$B21*('Updated Population'!J$15/'Updated Population'!$B$15)*('Total Trip Tables Sup #1'!J175/'Total Trip Tables Sup #1'!$B175)</f>
        <v>6.1365820127385975</v>
      </c>
      <c r="K21" s="1">
        <f ca="1">$B21*('Updated Population'!K$15/'Updated Population'!$B$15)*('Total Trip Tables Sup #1'!K175/'Total Trip Tables Sup #1'!$B175)</f>
        <v>6.5217021116211011</v>
      </c>
    </row>
    <row r="22" spans="1:11" x14ac:dyDescent="0.2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12.59448115</v>
      </c>
      <c r="D22" s="4">
        <f ca="1">OFFSET(Auckland_Reference,44,5)</f>
        <v>12.675712211</v>
      </c>
      <c r="E22" s="4">
        <f ca="1">OFFSET(Auckland_Reference,45,5)</f>
        <v>13.266622479</v>
      </c>
      <c r="F22" s="4">
        <f ca="1">OFFSET(Auckland_Reference,46,5)</f>
        <v>13.645572839</v>
      </c>
      <c r="G22" s="4">
        <f ca="1">OFFSET(Auckland_Reference,47,5)</f>
        <v>13.862134079</v>
      </c>
      <c r="H22" s="4">
        <f ca="1">OFFSET(Auckland_Reference,48,5)</f>
        <v>13.964401064</v>
      </c>
      <c r="I22" s="1">
        <f ca="1">OFFSET(Auckland_Reference,48,5)*('Updated Population'!I15/'Updated Population'!H15)</f>
        <v>14.708822507282846</v>
      </c>
      <c r="J22" s="1">
        <f ca="1">OFFSET(Auckland_Reference,48,5)*('Updated Population'!J15/'Updated Population'!H15)</f>
        <v>15.653816311225693</v>
      </c>
      <c r="K22" s="1">
        <f ca="1">OFFSET(Auckland_Reference,48,5)*('Updated Population'!K15/'Updated Population'!H15)</f>
        <v>16.636219752286749</v>
      </c>
    </row>
    <row r="23" spans="1:11" x14ac:dyDescent="0.2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62.495851436000002</v>
      </c>
      <c r="D23" s="4">
        <f ca="1">OFFSET(Auckland_Reference,51,5)</f>
        <v>60.680366450000001</v>
      </c>
      <c r="E23" s="4">
        <f ca="1">OFFSET(Auckland_Reference,52,5)</f>
        <v>60.382540472000002</v>
      </c>
      <c r="F23" s="4">
        <f ca="1">OFFSET(Auckland_Reference,53,5)</f>
        <v>59.022287951999999</v>
      </c>
      <c r="G23" s="4">
        <f ca="1">OFFSET(Auckland_Reference,54,5)</f>
        <v>57.884490976000002</v>
      </c>
      <c r="H23" s="4">
        <f ca="1">OFFSET(Auckland_Reference,55,5)</f>
        <v>56.194005267000001</v>
      </c>
      <c r="I23" s="1">
        <f ca="1">OFFSET(Auckland_Reference,55,5)*('Updated Population'!I15/'Updated Population'!H15)</f>
        <v>59.189624077501392</v>
      </c>
      <c r="J23" s="1">
        <f ca="1">OFFSET(Auckland_Reference,55,5)*('Updated Population'!J15/'Updated Population'!H15)</f>
        <v>62.992364098550006</v>
      </c>
      <c r="K23" s="1">
        <f ca="1">OFFSET(Auckland_Reference,55,5)*('Updated Population'!K15/'Updated Population'!H15)</f>
        <v>66.945643862450666</v>
      </c>
    </row>
    <row r="24" spans="1:11" x14ac:dyDescent="0.2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$B24*('Updated Population'!C$15/'Updated Population'!$B$15)*('Total Trip Tables Sup #1'!C178/'Total Trip Tables Sup #1'!$B178)</f>
        <v>5.7234142970247746</v>
      </c>
      <c r="D24" s="4">
        <f ca="1">$B24*('Updated Population'!D$15/'Updated Population'!$B$15)*('Total Trip Tables Sup #1'!D178/'Total Trip Tables Sup #1'!$B178)</f>
        <v>6.4159924612047288</v>
      </c>
      <c r="E24" s="4">
        <f ca="1">$B24*('Updated Population'!E$15/'Updated Population'!$B$15)*('Total Trip Tables Sup #1'!E178/'Total Trip Tables Sup #1'!$B178)</f>
        <v>7.0975123140621976</v>
      </c>
      <c r="F24" s="4">
        <f ca="1">$B24*('Updated Population'!F$15/'Updated Population'!$B$15)*('Total Trip Tables Sup #1'!F178/'Total Trip Tables Sup #1'!$B178)</f>
        <v>7.6449120437870377</v>
      </c>
      <c r="G24" s="4">
        <f ca="1">$B24*('Updated Population'!G$15/'Updated Population'!$B$15)*('Total Trip Tables Sup #1'!G178/'Total Trip Tables Sup #1'!$B178)</f>
        <v>8.3083473841260762</v>
      </c>
      <c r="H24" s="4">
        <f ca="1">$B24*('Updated Population'!H$15/'Updated Population'!$B$15)*('Total Trip Tables Sup #1'!H178/'Total Trip Tables Sup #1'!$B178)</f>
        <v>8.8482398307567038</v>
      </c>
      <c r="I24" s="1">
        <f ca="1">$B24*('Updated Population'!I$15/'Updated Population'!$B$15)*('Total Trip Tables Sup #1'!I178/'Total Trip Tables Sup #1'!$B178)</f>
        <v>9.3199263309608096</v>
      </c>
      <c r="J24" s="1">
        <f ca="1">$B24*('Updated Population'!J$15/'Updated Population'!$B$15)*('Total Trip Tables Sup #1'!J178/'Total Trip Tables Sup #1'!$B178)</f>
        <v>9.9187011568587362</v>
      </c>
      <c r="K24" s="1">
        <f ca="1">$B24*('Updated Population'!K$15/'Updated Population'!$B$15)*('Total Trip Tables Sup #1'!K178/'Total Trip Tables Sup #1'!$B178)</f>
        <v>10.541179787859827</v>
      </c>
    </row>
    <row r="25" spans="1:11" x14ac:dyDescent="0.2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$B25*('Updated Population'!C$15/'Updated Population'!$B$15)*('Total Trip Tables Sup #1'!C179/'Total Trip Tables Sup #1'!$B179)</f>
        <v>2.5585055804174419</v>
      </c>
      <c r="D25" s="4">
        <f ca="1">$B25*('Updated Population'!D$15/'Updated Population'!$B$15)*('Total Trip Tables Sup #1'!D179/'Total Trip Tables Sup #1'!$B179)</f>
        <v>2.8773994074134368</v>
      </c>
      <c r="E25" s="4">
        <f ca="1">$B25*('Updated Population'!E$15/'Updated Population'!$B$15)*('Total Trip Tables Sup #1'!E179/'Total Trip Tables Sup #1'!$B179)</f>
        <v>3.1202032815007068</v>
      </c>
      <c r="F25" s="4">
        <f ca="1">$B25*('Updated Population'!F$15/'Updated Population'!$B$15)*('Total Trip Tables Sup #1'!F179/'Total Trip Tables Sup #1'!$B179)</f>
        <v>3.3193275580910302</v>
      </c>
      <c r="G25" s="4">
        <f ca="1">$B25*('Updated Population'!G$15/'Updated Population'!$B$15)*('Total Trip Tables Sup #1'!G179/'Total Trip Tables Sup #1'!$B179)</f>
        <v>3.4740992853023678</v>
      </c>
      <c r="H25" s="4">
        <f ca="1">$B25*('Updated Population'!H$15/'Updated Population'!$B$15)*('Total Trip Tables Sup #1'!H179/'Total Trip Tables Sup #1'!$B179)</f>
        <v>3.5529293962437913</v>
      </c>
      <c r="I25" s="1">
        <f ca="1">$B25*('Updated Population'!I$15/'Updated Population'!$B$15)*('Total Trip Tables Sup #1'!I179/'Total Trip Tables Sup #1'!$B179)</f>
        <v>3.7423307760030928</v>
      </c>
      <c r="J25" s="1">
        <f ca="1">$B25*('Updated Population'!J$15/'Updated Population'!$B$15)*('Total Trip Tables Sup #1'!J179/'Total Trip Tables Sup #1'!$B179)</f>
        <v>3.9827633051111508</v>
      </c>
      <c r="K25" s="1">
        <f ca="1">$B25*('Updated Population'!K$15/'Updated Population'!$B$15)*('Total Trip Tables Sup #1'!K179/'Total Trip Tables Sup #1'!$B179)</f>
        <v>4.232713879340583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$B27*('Updated Population'!C$26/'Updated Population'!$B$26)*('Total Trip Tables Sup #1'!C170/'Total Trip Tables Sup #1'!$B170)</f>
        <v>78.125909168972271</v>
      </c>
      <c r="D27" s="4">
        <f ca="1">$B27*('Updated Population'!D$26/'Updated Population'!$B$26)*('Total Trip Tables Sup #1'!D170/'Total Trip Tables Sup #1'!$B170)</f>
        <v>84.948723577555668</v>
      </c>
      <c r="E27" s="4">
        <f ca="1">$B27*('Updated Population'!E$26/'Updated Population'!$B$26)*('Total Trip Tables Sup #1'!E170/'Total Trip Tables Sup #1'!$B170)</f>
        <v>89.739352069251922</v>
      </c>
      <c r="F27" s="4">
        <f ca="1">$B27*('Updated Population'!F$26/'Updated Population'!$B$26)*('Total Trip Tables Sup #1'!F170/'Total Trip Tables Sup #1'!$B170)</f>
        <v>93.665194412478954</v>
      </c>
      <c r="G27" s="4">
        <f ca="1">$B27*('Updated Population'!G$26/'Updated Population'!$B$26)*('Total Trip Tables Sup #1'!G170/'Total Trip Tables Sup #1'!$B170)</f>
        <v>97.159125447953727</v>
      </c>
      <c r="H27" s="4">
        <f ca="1">$B27*('Updated Population'!H$26/'Updated Population'!$B$26)*('Total Trip Tables Sup #1'!H170/'Total Trip Tables Sup #1'!$B170)</f>
        <v>99.970508976209544</v>
      </c>
      <c r="I27" s="1">
        <f ca="1">$B27*('Updated Population'!I$26/'Updated Population'!$B$26)*('Total Trip Tables Sup #1'!I170/'Total Trip Tables Sup #1'!$B170)</f>
        <v>105.29978806499517</v>
      </c>
      <c r="J27" s="1">
        <f ca="1">$B27*('Updated Population'!J$26/'Updated Population'!$B$26)*('Total Trip Tables Sup #1'!J170/'Total Trip Tables Sup #1'!$B170)</f>
        <v>112.06495551661446</v>
      </c>
      <c r="K27" s="1">
        <f ca="1">$B27*('Updated Population'!K$26/'Updated Population'!$B$26)*('Total Trip Tables Sup #1'!K170/'Total Trip Tables Sup #1'!$B170)</f>
        <v>119.0979368505609</v>
      </c>
    </row>
    <row r="28" spans="1:11" x14ac:dyDescent="0.2">
      <c r="A28" t="str">
        <f ca="1">OFFSET(Waikato_Reference,7,2)</f>
        <v>Cyclist</v>
      </c>
      <c r="B28" s="4">
        <f ca="1">OFFSET(Waikato_Reference,7,5)</f>
        <v>5.8956498267999997</v>
      </c>
      <c r="C28" s="4">
        <f ca="1">$B28*('Updated Population'!C$26/'Updated Population'!$B$26)*('Total Trip Tables Sup #1'!C171/'Total Trip Tables Sup #1'!$B171)</f>
        <v>6.4759060790925238</v>
      </c>
      <c r="D28" s="4">
        <f ca="1">$B28*('Updated Population'!D$26/'Updated Population'!$B$26)*('Total Trip Tables Sup #1'!D171/'Total Trip Tables Sup #1'!$B171)</f>
        <v>7.1361848837581077</v>
      </c>
      <c r="E28" s="4">
        <f ca="1">$B28*('Updated Population'!E$26/'Updated Population'!$B$26)*('Total Trip Tables Sup #1'!E171/'Total Trip Tables Sup #1'!$B171)</f>
        <v>7.4391976715097989</v>
      </c>
      <c r="F28" s="4">
        <f ca="1">$B28*('Updated Population'!F$26/'Updated Population'!$B$26)*('Total Trip Tables Sup #1'!F171/'Total Trip Tables Sup #1'!$B171)</f>
        <v>7.7500583640223839</v>
      </c>
      <c r="G28" s="4">
        <f ca="1">$B28*('Updated Population'!G$26/'Updated Population'!$B$26)*('Total Trip Tables Sup #1'!G171/'Total Trip Tables Sup #1'!$B171)</f>
        <v>8.0613980523885882</v>
      </c>
      <c r="H28" s="4">
        <f ca="1">$B28*('Updated Population'!H$26/'Updated Population'!$B$26)*('Total Trip Tables Sup #1'!H171/'Total Trip Tables Sup #1'!$B171)</f>
        <v>8.3640972640879969</v>
      </c>
      <c r="I28" s="1">
        <f ca="1">$B28*('Updated Population'!I$26/'Updated Population'!$B$26)*('Total Trip Tables Sup #1'!I171/'Total Trip Tables Sup #1'!$B171)</f>
        <v>8.8099748444120181</v>
      </c>
      <c r="J28" s="1">
        <f ca="1">$B28*('Updated Population'!J$26/'Updated Population'!$B$26)*('Total Trip Tables Sup #1'!J171/'Total Trip Tables Sup #1'!$B171)</f>
        <v>9.3759869529094537</v>
      </c>
      <c r="K28" s="1">
        <f ca="1">$B28*('Updated Population'!K$26/'Updated Population'!$B$26)*('Total Trip Tables Sup #1'!K171/'Total Trip Tables Sup #1'!$B171)</f>
        <v>9.9644058830125513</v>
      </c>
    </row>
    <row r="29" spans="1:11" x14ac:dyDescent="0.2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$B29*('Updated Population'!C$26/'Updated Population'!$B$26)*('Total Trip Tables Sup #1'!C172/'Total Trip Tables Sup #1'!$B172)</f>
        <v>358.90648107735689</v>
      </c>
      <c r="D29" s="4">
        <f ca="1">$B29*('Updated Population'!D$26/'Updated Population'!$B$26)*('Total Trip Tables Sup #1'!D172/'Total Trip Tables Sup #1'!$B172)</f>
        <v>397.441201674311</v>
      </c>
      <c r="E29" s="4">
        <f ca="1">$B29*('Updated Population'!E$26/'Updated Population'!$B$26)*('Total Trip Tables Sup #1'!E172/'Total Trip Tables Sup #1'!$B172)</f>
        <v>434.14510622818648</v>
      </c>
      <c r="F29" s="4">
        <f ca="1">$B29*('Updated Population'!F$26/'Updated Population'!$B$26)*('Total Trip Tables Sup #1'!F172/'Total Trip Tables Sup #1'!$B172)</f>
        <v>467.90103443415597</v>
      </c>
      <c r="G29" s="4">
        <f ca="1">$B29*('Updated Population'!G$26/'Updated Population'!$B$26)*('Total Trip Tables Sup #1'!G172/'Total Trip Tables Sup #1'!$B172)</f>
        <v>497.16102608246928</v>
      </c>
      <c r="H29" s="4">
        <f ca="1">$B29*('Updated Population'!H$26/'Updated Population'!$B$26)*('Total Trip Tables Sup #1'!H172/'Total Trip Tables Sup #1'!$B172)</f>
        <v>522.95963745601341</v>
      </c>
      <c r="I29" s="1">
        <f ca="1">$B29*('Updated Population'!I$26/'Updated Population'!$B$26)*('Total Trip Tables Sup #1'!I172/'Total Trip Tables Sup #1'!$B172)</f>
        <v>550.83783762438986</v>
      </c>
      <c r="J29" s="1">
        <f ca="1">$B29*('Updated Population'!J$26/'Updated Population'!$B$26)*('Total Trip Tables Sup #1'!J172/'Total Trip Tables Sup #1'!$B172)</f>
        <v>586.2273695379464</v>
      </c>
      <c r="K29" s="1">
        <f ca="1">$B29*('Updated Population'!K$26/'Updated Population'!$B$26)*('Total Trip Tables Sup #1'!K172/'Total Trip Tables Sup #1'!$B172)</f>
        <v>623.01787312046588</v>
      </c>
    </row>
    <row r="30" spans="1:11" x14ac:dyDescent="0.2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$B30*('Updated Population'!C$26/'Updated Population'!$B$26)*('Total Trip Tables Sup #1'!C173/'Total Trip Tables Sup #1'!$B173)</f>
        <v>155.56246038602364</v>
      </c>
      <c r="D30" s="4">
        <f ca="1">$B30*('Updated Population'!D$26/'Updated Population'!$B$26)*('Total Trip Tables Sup #1'!D173/'Total Trip Tables Sup #1'!$B173)</f>
        <v>169.10663992311797</v>
      </c>
      <c r="E30" s="4">
        <f ca="1">$B30*('Updated Population'!E$26/'Updated Population'!$B$26)*('Total Trip Tables Sup #1'!E173/'Total Trip Tables Sup #1'!$B173)</f>
        <v>181.24212922331787</v>
      </c>
      <c r="F30" s="4">
        <f ca="1">$B30*('Updated Population'!F$26/'Updated Population'!$B$26)*('Total Trip Tables Sup #1'!F173/'Total Trip Tables Sup #1'!$B173)</f>
        <v>192.63158034499267</v>
      </c>
      <c r="G30" s="4">
        <f ca="1">$B30*('Updated Population'!G$26/'Updated Population'!$B$26)*('Total Trip Tables Sup #1'!G173/'Total Trip Tables Sup #1'!$B173)</f>
        <v>202.8783650170891</v>
      </c>
      <c r="H30" s="4">
        <f ca="1">$B30*('Updated Population'!H$26/'Updated Population'!$B$26)*('Total Trip Tables Sup #1'!H173/'Total Trip Tables Sup #1'!$B173)</f>
        <v>212.05154959894023</v>
      </c>
      <c r="I30" s="1">
        <f ca="1">$B30*('Updated Population'!I$26/'Updated Population'!$B$26)*('Total Trip Tables Sup #1'!I173/'Total Trip Tables Sup #1'!$B173)</f>
        <v>223.35570219949514</v>
      </c>
      <c r="J30" s="1">
        <f ca="1">$B30*('Updated Population'!J$26/'Updated Population'!$B$26)*('Total Trip Tables Sup #1'!J173/'Total Trip Tables Sup #1'!$B173)</f>
        <v>237.70557653847223</v>
      </c>
      <c r="K30" s="1">
        <f ca="1">$B30*('Updated Population'!K$26/'Updated Population'!$B$26)*('Total Trip Tables Sup #1'!K173/'Total Trip Tables Sup #1'!$B173)</f>
        <v>252.62352189492395</v>
      </c>
    </row>
    <row r="31" spans="1:11" x14ac:dyDescent="0.2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$B31*('Updated Population'!C$26/'Updated Population'!$B$26)*('Total Trip Tables Sup #1'!C174/'Total Trip Tables Sup #1'!$B174)</f>
        <v>0.86193364205224554</v>
      </c>
      <c r="D31" s="4">
        <f ca="1">$B31*('Updated Population'!D$26/'Updated Population'!$B$26)*('Total Trip Tables Sup #1'!D174/'Total Trip Tables Sup #1'!$B174)</f>
        <v>1.0122268936835428</v>
      </c>
      <c r="E31" s="4">
        <f ca="1">$B31*('Updated Population'!E$26/'Updated Population'!$B$26)*('Total Trip Tables Sup #1'!E174/'Total Trip Tables Sup #1'!$B174)</f>
        <v>1.1386100258309133</v>
      </c>
      <c r="F31" s="4">
        <f ca="1">$B31*('Updated Population'!F$26/'Updated Population'!$B$26)*('Total Trip Tables Sup #1'!F174/'Total Trip Tables Sup #1'!$B174)</f>
        <v>1.2529348019795994</v>
      </c>
      <c r="G31" s="4">
        <f ca="1">$B31*('Updated Population'!G$26/'Updated Population'!$B$26)*('Total Trip Tables Sup #1'!G174/'Total Trip Tables Sup #1'!$B174)</f>
        <v>1.3515101664181703</v>
      </c>
      <c r="H31" s="4">
        <f ca="1">$B31*('Updated Population'!H$26/'Updated Population'!$B$26)*('Total Trip Tables Sup #1'!H174/'Total Trip Tables Sup #1'!$B174)</f>
        <v>1.4407904086592911</v>
      </c>
      <c r="I31" s="1">
        <f ca="1">$B31*('Updated Population'!I$26/'Updated Population'!$B$26)*('Total Trip Tables Sup #1'!I174/'Total Trip Tables Sup #1'!$B174)</f>
        <v>1.5175968016128178</v>
      </c>
      <c r="J31" s="1">
        <f ca="1">$B31*('Updated Population'!J$26/'Updated Population'!$B$26)*('Total Trip Tables Sup #1'!J174/'Total Trip Tables Sup #1'!$B174)</f>
        <v>1.6150974393217516</v>
      </c>
      <c r="K31" s="1">
        <f ca="1">$B31*('Updated Population'!K$26/'Updated Population'!$B$26)*('Total Trip Tables Sup #1'!K174/'Total Trip Tables Sup #1'!$B174)</f>
        <v>1.7164578520474811</v>
      </c>
    </row>
    <row r="32" spans="1:11" x14ac:dyDescent="0.2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$B32*('Updated Population'!C$26/'Updated Population'!$B$26)*('Total Trip Tables Sup #1'!C175/'Total Trip Tables Sup #1'!$B175)</f>
        <v>2.0868821734434193</v>
      </c>
      <c r="D32" s="4">
        <f ca="1">$B32*('Updated Population'!D$26/'Updated Population'!$B$26)*('Total Trip Tables Sup #1'!D175/'Total Trip Tables Sup #1'!$B175)</f>
        <v>2.2553253348954412</v>
      </c>
      <c r="E32" s="4">
        <f ca="1">$B32*('Updated Population'!E$26/'Updated Population'!$B$26)*('Total Trip Tables Sup #1'!E175/'Total Trip Tables Sup #1'!$B175)</f>
        <v>2.3740996894010133</v>
      </c>
      <c r="F32" s="4">
        <f ca="1">$B32*('Updated Population'!F$26/'Updated Population'!$B$26)*('Total Trip Tables Sup #1'!F175/'Total Trip Tables Sup #1'!$B175)</f>
        <v>2.4595882482992955</v>
      </c>
      <c r="G32" s="4">
        <f ca="1">$B32*('Updated Population'!G$26/'Updated Population'!$B$26)*('Total Trip Tables Sup #1'!G175/'Total Trip Tables Sup #1'!$B175)</f>
        <v>2.4852087874214588</v>
      </c>
      <c r="H32" s="4">
        <f ca="1">$B32*('Updated Population'!H$26/'Updated Population'!$B$26)*('Total Trip Tables Sup #1'!H175/'Total Trip Tables Sup #1'!$B175)</f>
        <v>2.4839610865945634</v>
      </c>
      <c r="I32" s="1">
        <f ca="1">$B32*('Updated Population'!I$26/'Updated Population'!$B$26)*('Total Trip Tables Sup #1'!I175/'Total Trip Tables Sup #1'!$B175)</f>
        <v>2.616377356269612</v>
      </c>
      <c r="J32" s="1">
        <f ca="1">$B32*('Updated Population'!J$26/'Updated Population'!$B$26)*('Total Trip Tables Sup #1'!J175/'Total Trip Tables Sup #1'!$B175)</f>
        <v>2.7844710557637051</v>
      </c>
      <c r="K32" s="1">
        <f ca="1">$B32*('Updated Population'!K$26/'Updated Population'!$B$26)*('Total Trip Tables Sup #1'!K175/'Total Trip Tables Sup #1'!$B175)</f>
        <v>2.9592191103167345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Trip Tables Sup #1'!C176/'Total Trip Tables Sup #1'!$B176)</f>
        <v>0</v>
      </c>
      <c r="D33" s="4">
        <f ca="1">$B33*('Updated Population'!D$26/'Updated Population'!$B$26)*('Total Trip Tables Sup #1'!D176/'Total Trip Tables Sup #1'!$B176)</f>
        <v>0</v>
      </c>
      <c r="E33" s="4">
        <f ca="1">$B33*('Updated Population'!E$26/'Updated Population'!$B$26)*('Total Trip Tables Sup #1'!E176/'Total Trip Tables Sup #1'!$B176)</f>
        <v>0</v>
      </c>
      <c r="F33" s="4">
        <f ca="1">$B33*('Updated Population'!F$26/'Updated Population'!$B$26)*('Total Trip Tables Sup #1'!F176/'Total Trip Tables Sup #1'!$B176)</f>
        <v>0</v>
      </c>
      <c r="G33" s="4">
        <f ca="1">$B33*('Updated Population'!G$26/'Updated Population'!$B$26)*('Total Trip Tables Sup #1'!G176/'Total Trip Tables Sup #1'!$B176)</f>
        <v>0</v>
      </c>
      <c r="H33" s="4">
        <f ca="1">$B33*('Updated Population'!H$26/'Updated Population'!$B$26)*('Total Trip Tables Sup #1'!H176/'Total Trip Tables Sup #1'!$B176)</f>
        <v>0</v>
      </c>
      <c r="I33" s="1">
        <f ca="1">$B33*('Updated Population'!I$26/'Updated Population'!$B$26)*('Total Trip Tables Sup #1'!I176/'Total Trip Tables Sup #1'!$B176)</f>
        <v>0</v>
      </c>
      <c r="J33" s="1">
        <f ca="1">$B33*('Updated Population'!J$26/'Updated Population'!$B$26)*('Total Trip Tables Sup #1'!J176/'Total Trip Tables Sup #1'!$B176)</f>
        <v>0</v>
      </c>
      <c r="K33" s="1">
        <f ca="1">$B33*('Updated Population'!K$26/'Updated Population'!$B$26)*('Total Trip Tables Sup #1'!K176/'Total Trip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OFFSET(Waikato_Reference,49,5)</f>
        <v>5.7199103379</v>
      </c>
      <c r="C34" s="4">
        <f ca="1">$B34*('Updated Population'!C$26/'Updated Population'!$B$26)*('Total Trip Tables Sup #1'!C177/'Total Trip Tables Sup #1'!$B177)</f>
        <v>5.9214946522874197</v>
      </c>
      <c r="D34" s="4">
        <f ca="1">$B34*('Updated Population'!D$26/'Updated Population'!$B$26)*('Total Trip Tables Sup #1'!D177/'Total Trip Tables Sup #1'!$B177)</f>
        <v>6.449214766682231</v>
      </c>
      <c r="E34" s="4">
        <f ca="1">$B34*('Updated Population'!E$26/'Updated Population'!$B$26)*('Total Trip Tables Sup #1'!E177/'Total Trip Tables Sup #1'!$B177)</f>
        <v>6.8410674376471929</v>
      </c>
      <c r="F34" s="4">
        <f ca="1">$B34*('Updated Population'!F$26/'Updated Population'!$B$26)*('Total Trip Tables Sup #1'!F177/'Total Trip Tables Sup #1'!$B177)</f>
        <v>7.1937923254153189</v>
      </c>
      <c r="G34" s="4">
        <f ca="1">$B34*('Updated Population'!G$26/'Updated Population'!$B$26)*('Total Trip Tables Sup #1'!G177/'Total Trip Tables Sup #1'!$B177)</f>
        <v>7.5956080127857222</v>
      </c>
      <c r="H34" s="4">
        <f ca="1">$B34*('Updated Population'!H$26/'Updated Population'!$B$26)*('Total Trip Tables Sup #1'!H177/'Total Trip Tables Sup #1'!$B177)</f>
        <v>7.9820569428115977</v>
      </c>
      <c r="I34" s="1">
        <f ca="1">$B34*('Updated Population'!I$26/'Updated Population'!$B$26)*('Total Trip Tables Sup #1'!I177/'Total Trip Tables Sup #1'!$B177)</f>
        <v>8.4075685220408793</v>
      </c>
      <c r="J34" s="1">
        <f ca="1">$B34*('Updated Population'!J$26/'Updated Population'!$B$26)*('Total Trip Tables Sup #1'!J177/'Total Trip Tables Sup #1'!$B177)</f>
        <v>8.9477273386708074</v>
      </c>
      <c r="K34" s="1">
        <f ca="1">$B34*('Updated Population'!K$26/'Updated Population'!$B$26)*('Total Trip Tables Sup #1'!K177/'Total Trip Tables Sup #1'!$B177)</f>
        <v>9.5092695180614388</v>
      </c>
    </row>
    <row r="35" spans="1:11" x14ac:dyDescent="0.2">
      <c r="A35" t="str">
        <f ca="1">OFFSET(Waikato_Reference,56,2)</f>
        <v>Local Ferry</v>
      </c>
      <c r="B35" s="4">
        <f ca="1">OFFSET(Waikato_Reference,56,5)</f>
        <v>0.2446181519</v>
      </c>
      <c r="C35" s="4">
        <f ca="1">$B35*('Updated Population'!C$26/'Updated Population'!$B$26)*('Total Trip Tables Sup #1'!C178/'Total Trip Tables Sup #1'!$B178)</f>
        <v>0.3249412389972221</v>
      </c>
      <c r="D35" s="4">
        <f ca="1">$B35*('Updated Population'!D$26/'Updated Population'!$B$26)*('Total Trip Tables Sup #1'!D178/'Total Trip Tables Sup #1'!$B178)</f>
        <v>0.36426168569073564</v>
      </c>
      <c r="E35" s="4">
        <f ca="1">$B35*('Updated Population'!E$26/'Updated Population'!$B$26)*('Total Trip Tables Sup #1'!E178/'Total Trip Tables Sup #1'!$B178)</f>
        <v>0.4029543075936845</v>
      </c>
      <c r="F35" s="4">
        <f ca="1">$B35*('Updated Population'!F$26/'Updated Population'!$B$26)*('Total Trip Tables Sup #1'!F178/'Total Trip Tables Sup #1'!$B178)</f>
        <v>0.43403239091468354</v>
      </c>
      <c r="G35" s="4">
        <f ca="1">$B35*('Updated Population'!G$26/'Updated Population'!$B$26)*('Total Trip Tables Sup #1'!G178/'Total Trip Tables Sup #1'!$B178)</f>
        <v>0.47169828233833527</v>
      </c>
      <c r="H35" s="4">
        <f ca="1">$B35*('Updated Population'!H$26/'Updated Population'!$B$26)*('Total Trip Tables Sup #1'!H178/'Total Trip Tables Sup #1'!$B178)</f>
        <v>0.50235014701718506</v>
      </c>
      <c r="I35" s="1">
        <f ca="1">$B35*('Updated Population'!I$26/'Updated Population'!$B$26)*('Total Trip Tables Sup #1'!I178/'Total Trip Tables Sup #1'!$B178)</f>
        <v>0.52912968591484288</v>
      </c>
      <c r="J35" s="1">
        <f ca="1">$B35*('Updated Population'!J$26/'Updated Population'!$B$26)*('Total Trip Tables Sup #1'!J178/'Total Trip Tables Sup #1'!$B178)</f>
        <v>0.56312453998451262</v>
      </c>
      <c r="K35" s="1">
        <f ca="1">$B35*('Updated Population'!K$26/'Updated Population'!$B$26)*('Total Trip Tables Sup #1'!K178/'Total Trip Tables Sup #1'!$B178)</f>
        <v>0.59846515436427794</v>
      </c>
    </row>
    <row r="36" spans="1:11" x14ac:dyDescent="0.2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$B36*('Updated Population'!C$26/'Updated Population'!$B$26)*('Total Trip Tables Sup #1'!C179/'Total Trip Tables Sup #1'!$B179)</f>
        <v>2.1782937283094479</v>
      </c>
      <c r="D36" s="4">
        <f ca="1">$B36*('Updated Population'!D$26/'Updated Population'!$B$26)*('Total Trip Tables Sup #1'!D179/'Total Trip Tables Sup #1'!$B179)</f>
        <v>2.4497976986969721</v>
      </c>
      <c r="E36" s="4">
        <f ca="1">$B36*('Updated Population'!E$26/'Updated Population'!$B$26)*('Total Trip Tables Sup #1'!E179/'Total Trip Tables Sup #1'!$B179)</f>
        <v>2.6565192162037836</v>
      </c>
      <c r="F36" s="4">
        <f ca="1">$B36*('Updated Population'!F$26/'Updated Population'!$B$26)*('Total Trip Tables Sup #1'!F179/'Total Trip Tables Sup #1'!$B179)</f>
        <v>2.8260522303862596</v>
      </c>
      <c r="G36" s="4">
        <f ca="1">$B36*('Updated Population'!G$26/'Updated Population'!$B$26)*('Total Trip Tables Sup #1'!G179/'Total Trip Tables Sup #1'!$B179)</f>
        <v>2.9578237947262016</v>
      </c>
      <c r="H36" s="4">
        <f ca="1">$B36*('Updated Population'!H$26/'Updated Population'!$B$26)*('Total Trip Tables Sup #1'!H179/'Total Trip Tables Sup #1'!$B179)</f>
        <v>3.0249391989605843</v>
      </c>
      <c r="I36" s="1">
        <f ca="1">$B36*('Updated Population'!I$26/'Updated Population'!$B$26)*('Total Trip Tables Sup #1'!I179/'Total Trip Tables Sup #1'!$B179)</f>
        <v>3.1861942068920222</v>
      </c>
      <c r="J36" s="1">
        <f ca="1">$B36*('Updated Population'!J$26/'Updated Population'!$B$26)*('Total Trip Tables Sup #1'!J179/'Total Trip Tables Sup #1'!$B179)</f>
        <v>3.3908967778952919</v>
      </c>
      <c r="K36" s="1">
        <f ca="1">$B36*('Updated Population'!K$26/'Updated Population'!$B$26)*('Total Trip Tables Sup #1'!K179/'Total Trip Tables Sup #1'!$B179)</f>
        <v>3.6037029458390344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OFFSET(BOP_Reference,0,5)</f>
        <v>43.402809341999998</v>
      </c>
      <c r="C38" s="4">
        <f ca="1">$B38*('Updated Population'!C$37/'Updated Population'!$B$37)*('Total Trip Tables Sup #1'!C170/'Total Trip Tables Sup #1'!$B170)</f>
        <v>49.365608530034692</v>
      </c>
      <c r="D38" s="4">
        <f ca="1">$B38*('Updated Population'!D$37/'Updated Population'!$B$37)*('Total Trip Tables Sup #1'!D170/'Total Trip Tables Sup #1'!$B170)</f>
        <v>53.676756889777224</v>
      </c>
      <c r="E38" s="4">
        <f ca="1">$B38*('Updated Population'!E$37/'Updated Population'!$B$37)*('Total Trip Tables Sup #1'!E170/'Total Trip Tables Sup #1'!$B170)</f>
        <v>56.703822984104747</v>
      </c>
      <c r="F38" s="4">
        <f ca="1">$B38*('Updated Population'!F$37/'Updated Population'!$B$37)*('Total Trip Tables Sup #1'!F170/'Total Trip Tables Sup #1'!$B170)</f>
        <v>59.184454548304814</v>
      </c>
      <c r="G38" s="4">
        <f ca="1">$B38*('Updated Population'!G$37/'Updated Population'!$B$37)*('Total Trip Tables Sup #1'!G170/'Total Trip Tables Sup #1'!$B170)</f>
        <v>61.392173262401862</v>
      </c>
      <c r="H38" s="4">
        <f ca="1">$B38*('Updated Population'!H$37/'Updated Population'!$B$37)*('Total Trip Tables Sup #1'!H170/'Total Trip Tables Sup #1'!$B170)</f>
        <v>63.168609020525288</v>
      </c>
      <c r="I38" s="1">
        <f ca="1">$B38*('Updated Population'!I$37/'Updated Population'!$B$37)*('Total Trip Tables Sup #1'!I170/'Total Trip Tables Sup #1'!$B170)</f>
        <v>66.536033579710761</v>
      </c>
      <c r="J38" s="1">
        <f ca="1">$B38*('Updated Population'!J$37/'Updated Population'!$B$37)*('Total Trip Tables Sup #1'!J170/'Total Trip Tables Sup #1'!$B170)</f>
        <v>70.810756416336716</v>
      </c>
      <c r="K38" s="1">
        <f ca="1">$B38*('Updated Population'!K$37/'Updated Population'!$B$37)*('Total Trip Tables Sup #1'!K170/'Total Trip Tables Sup #1'!$B170)</f>
        <v>75.254703463144665</v>
      </c>
    </row>
    <row r="39" spans="1:11" x14ac:dyDescent="0.2">
      <c r="A39" t="str">
        <f ca="1">OFFSET(BOP_Reference,7,2)</f>
        <v>Cyclist</v>
      </c>
      <c r="B39" s="4">
        <f ca="1">OFFSET(BOP_Reference,7,5)</f>
        <v>5.1579391552000002</v>
      </c>
      <c r="C39" s="4">
        <f ca="1">$B39*('Updated Population'!C$37/'Updated Population'!$B$37)*('Total Trip Tables Sup #1'!C171/'Total Trip Tables Sup #1'!$B171)</f>
        <v>5.6655891228327793</v>
      </c>
      <c r="D39" s="4">
        <f ca="1">$B39*('Updated Population'!D$37/'Updated Population'!$B$37)*('Total Trip Tables Sup #1'!D171/'Total Trip Tables Sup #1'!$B171)</f>
        <v>6.2432485836189331</v>
      </c>
      <c r="E39" s="4">
        <f ca="1">$B39*('Updated Population'!E$37/'Updated Population'!$B$37)*('Total Trip Tables Sup #1'!E171/'Total Trip Tables Sup #1'!$B171)</f>
        <v>6.5083459975403199</v>
      </c>
      <c r="F39" s="4">
        <f ca="1">$B39*('Updated Population'!F$37/'Updated Population'!$B$37)*('Total Trip Tables Sup #1'!F171/'Total Trip Tables Sup #1'!$B171)</f>
        <v>6.7803093238618128</v>
      </c>
      <c r="G39" s="4">
        <f ca="1">$B39*('Updated Population'!G$37/'Updated Population'!$B$37)*('Total Trip Tables Sup #1'!G171/'Total Trip Tables Sup #1'!$B171)</f>
        <v>7.0526917102599942</v>
      </c>
      <c r="H39" s="4">
        <f ca="1">$B39*('Updated Population'!H$37/'Updated Population'!$B$37)*('Total Trip Tables Sup #1'!H171/'Total Trip Tables Sup #1'!$B171)</f>
        <v>7.3175147852627349</v>
      </c>
      <c r="I39" s="1">
        <f ca="1">$B39*('Updated Population'!I$37/'Updated Population'!$B$37)*('Total Trip Tables Sup #1'!I171/'Total Trip Tables Sup #1'!$B171)</f>
        <v>7.7076006108361605</v>
      </c>
      <c r="J39" s="1">
        <f ca="1">$B39*('Updated Population'!J$37/'Updated Population'!$B$37)*('Total Trip Tables Sup #1'!J171/'Total Trip Tables Sup #1'!$B171)</f>
        <v>8.202788775415609</v>
      </c>
      <c r="K39" s="1">
        <f ca="1">$B39*('Updated Population'!K$37/'Updated Population'!$B$37)*('Total Trip Tables Sup #1'!K171/'Total Trip Tables Sup #1'!$B171)</f>
        <v>8.7175800415866842</v>
      </c>
    </row>
    <row r="40" spans="1:11" x14ac:dyDescent="0.2">
      <c r="A40" t="str">
        <f ca="1">OFFSET(BOP_Reference,14,2)</f>
        <v>Light Vehicle Driver</v>
      </c>
      <c r="B40" s="4">
        <f ca="1">OFFSET(BOP_Reference,14,5)</f>
        <v>178.59124365</v>
      </c>
      <c r="C40" s="4">
        <f ca="1">$B40*('Updated Population'!C$37/'Updated Population'!$B$37)*('Total Trip Tables Sup #1'!C172/'Total Trip Tables Sup #1'!$B172)</f>
        <v>209.87050622942502</v>
      </c>
      <c r="D40" s="4">
        <f ca="1">$B40*('Updated Population'!D$37/'Updated Population'!$B$37)*('Total Trip Tables Sup #1'!D172/'Total Trip Tables Sup #1'!$B172)</f>
        <v>232.40367780887362</v>
      </c>
      <c r="E40" s="4">
        <f ca="1">$B40*('Updated Population'!E$37/'Updated Population'!$B$37)*('Total Trip Tables Sup #1'!E172/'Total Trip Tables Sup #1'!$B172)</f>
        <v>253.86628000595695</v>
      </c>
      <c r="F40" s="4">
        <f ca="1">$B40*('Updated Population'!F$37/'Updated Population'!$B$37)*('Total Trip Tables Sup #1'!F172/'Total Trip Tables Sup #1'!$B172)</f>
        <v>273.60505351476985</v>
      </c>
      <c r="G40" s="4">
        <f ca="1">$B40*('Updated Population'!G$37/'Updated Population'!$B$37)*('Total Trip Tables Sup #1'!G172/'Total Trip Tables Sup #1'!$B172)</f>
        <v>290.71482885531799</v>
      </c>
      <c r="H40" s="4">
        <f ca="1">$B40*('Updated Population'!H$37/'Updated Population'!$B$37)*('Total Trip Tables Sup #1'!H172/'Total Trip Tables Sup #1'!$B172)</f>
        <v>305.80056264515986</v>
      </c>
      <c r="I40" s="1">
        <f ca="1">$B40*('Updated Population'!I$37/'Updated Population'!$B$37)*('Total Trip Tables Sup #1'!I172/'Total Trip Tables Sup #1'!$B172)</f>
        <v>322.10233564335022</v>
      </c>
      <c r="J40" s="1">
        <f ca="1">$B40*('Updated Population'!J$37/'Updated Population'!$B$37)*('Total Trip Tables Sup #1'!J172/'Total Trip Tables Sup #1'!$B172)</f>
        <v>342.79635865353845</v>
      </c>
      <c r="K40" s="1">
        <f ca="1">$B40*('Updated Population'!K$37/'Updated Population'!$B$37)*('Total Trip Tables Sup #1'!K172/'Total Trip Tables Sup #1'!$B172)</f>
        <v>364.30959961848669</v>
      </c>
    </row>
    <row r="41" spans="1:11" x14ac:dyDescent="0.2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$B41*('Updated Population'!C$37/'Updated Population'!$B$37)*('Total Trip Tables Sup #1'!C173/'Total Trip Tables Sup #1'!$B173)</f>
        <v>110.42520490939417</v>
      </c>
      <c r="D41" s="4">
        <f ca="1">$B41*('Updated Population'!D$37/'Updated Population'!$B$37)*('Total Trip Tables Sup #1'!D173/'Total Trip Tables Sup #1'!$B173)</f>
        <v>120.03947043979227</v>
      </c>
      <c r="E41" s="4">
        <f ca="1">$B41*('Updated Population'!E$37/'Updated Population'!$B$37)*('Total Trip Tables Sup #1'!E173/'Total Trip Tables Sup #1'!$B173)</f>
        <v>128.65378451868381</v>
      </c>
      <c r="F41" s="4">
        <f ca="1">$B41*('Updated Population'!F$37/'Updated Population'!$B$37)*('Total Trip Tables Sup #1'!F173/'Total Trip Tables Sup #1'!$B173)</f>
        <v>136.73852726957352</v>
      </c>
      <c r="G41" s="4">
        <f ca="1">$B41*('Updated Population'!G$37/'Updated Population'!$B$37)*('Total Trip Tables Sup #1'!G173/'Total Trip Tables Sup #1'!$B173)</f>
        <v>144.01215417333228</v>
      </c>
      <c r="H41" s="4">
        <f ca="1">$B41*('Updated Population'!H$37/'Updated Population'!$B$37)*('Total Trip Tables Sup #1'!H173/'Total Trip Tables Sup #1'!$B173)</f>
        <v>150.52369162657772</v>
      </c>
      <c r="I41" s="1">
        <f ca="1">$B41*('Updated Population'!I$37/'Updated Population'!$B$37)*('Total Trip Tables Sup #1'!I173/'Total Trip Tables Sup #1'!$B173)</f>
        <v>158.54788566507398</v>
      </c>
      <c r="J41" s="1">
        <f ca="1">$B41*('Updated Population'!J$37/'Updated Population'!$B$37)*('Total Trip Tables Sup #1'!J173/'Total Trip Tables Sup #1'!$B173)</f>
        <v>168.73406946785963</v>
      </c>
      <c r="K41" s="1">
        <f ca="1">$B41*('Updated Population'!K$37/'Updated Population'!$B$37)*('Total Trip Tables Sup #1'!K173/'Total Trip Tables Sup #1'!$B173)</f>
        <v>179.32349553328413</v>
      </c>
    </row>
    <row r="42" spans="1:11" x14ac:dyDescent="0.2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$B42*('Updated Population'!C$37/'Updated Population'!$B$37)*('Total Trip Tables Sup #1'!C174/'Total Trip Tables Sup #1'!$B174)</f>
        <v>0.19392913764334649</v>
      </c>
      <c r="D42" s="4">
        <f ca="1">$B42*('Updated Population'!D$37/'Updated Population'!$B$37)*('Total Trip Tables Sup #1'!D174/'Total Trip Tables Sup #1'!$B174)</f>
        <v>0.22774408494378526</v>
      </c>
      <c r="E42" s="4">
        <f ca="1">$B42*('Updated Population'!E$37/'Updated Population'!$B$37)*('Total Trip Tables Sup #1'!E174/'Total Trip Tables Sup #1'!$B174)</f>
        <v>0.25617941990953547</v>
      </c>
      <c r="F42" s="4">
        <f ca="1">$B42*('Updated Population'!F$37/'Updated Population'!$B$37)*('Total Trip Tables Sup #1'!F174/'Total Trip Tables Sup #1'!$B174)</f>
        <v>0.28190170776106299</v>
      </c>
      <c r="G42" s="4">
        <f ca="1">$B42*('Updated Population'!G$37/'Updated Population'!$B$37)*('Total Trip Tables Sup #1'!G174/'Total Trip Tables Sup #1'!$B174)</f>
        <v>0.30408048636510315</v>
      </c>
      <c r="H42" s="4">
        <f ca="1">$B42*('Updated Population'!H$37/'Updated Population'!$B$37)*('Total Trip Tables Sup #1'!H174/'Total Trip Tables Sup #1'!$B174)</f>
        <v>0.32416792644365167</v>
      </c>
      <c r="I42" s="1">
        <f ca="1">$B42*('Updated Population'!I$37/'Updated Population'!$B$37)*('Total Trip Tables Sup #1'!I174/'Total Trip Tables Sup #1'!$B174)</f>
        <v>0.34144883627739347</v>
      </c>
      <c r="J42" s="1">
        <f ca="1">$B42*('Updated Population'!J$37/'Updated Population'!$B$37)*('Total Trip Tables Sup #1'!J174/'Total Trip Tables Sup #1'!$B174)</f>
        <v>0.36338580876352333</v>
      </c>
      <c r="K42" s="1">
        <f ca="1">$B42*('Updated Population'!K$37/'Updated Population'!$B$37)*('Total Trip Tables Sup #1'!K174/'Total Trip Tables Sup #1'!$B174)</f>
        <v>0.38619120406550056</v>
      </c>
    </row>
    <row r="43" spans="1:11" x14ac:dyDescent="0.2">
      <c r="A43" t="str">
        <f ca="1">OFFSET(BOP_Reference,35,2)</f>
        <v>Motorcyclist</v>
      </c>
      <c r="B43" s="4">
        <f ca="1">OFFSET(BOP_Reference,35,5)</f>
        <v>0.90641599910000004</v>
      </c>
      <c r="C43" s="4">
        <f ca="1">$B43*('Updated Population'!C$37/'Updated Population'!$B$37)*('Total Trip Tables Sup #1'!C175/'Total Trip Tables Sup #1'!$B175)</f>
        <v>1.0125726009986713</v>
      </c>
      <c r="D43" s="4">
        <f ca="1">$B43*('Updated Population'!D$37/'Updated Population'!$B$37)*('Total Trip Tables Sup #1'!D175/'Total Trip Tables Sup #1'!$B175)</f>
        <v>1.0943026249944596</v>
      </c>
      <c r="E43" s="4">
        <f ca="1">$B43*('Updated Population'!E$37/'Updated Population'!$B$37)*('Total Trip Tables Sup #1'!E175/'Total Trip Tables Sup #1'!$B175)</f>
        <v>1.1519329304348473</v>
      </c>
      <c r="F43" s="4">
        <f ca="1">$B43*('Updated Population'!F$37/'Updated Population'!$B$37)*('Total Trip Tables Sup #1'!F175/'Total Trip Tables Sup #1'!$B175)</f>
        <v>1.1934126907877907</v>
      </c>
      <c r="G43" s="4">
        <f ca="1">$B43*('Updated Population'!G$37/'Updated Population'!$B$37)*('Total Trip Tables Sup #1'!G175/'Total Trip Tables Sup #1'!$B175)</f>
        <v>1.2058439896258613</v>
      </c>
      <c r="H43" s="4">
        <f ca="1">$B43*('Updated Population'!H$37/'Updated Population'!$B$37)*('Total Trip Tables Sup #1'!H175/'Total Trip Tables Sup #1'!$B175)</f>
        <v>1.2052385947992463</v>
      </c>
      <c r="I43" s="1">
        <f ca="1">$B43*('Updated Population'!I$37/'Updated Population'!$B$37)*('Total Trip Tables Sup #1'!I175/'Total Trip Tables Sup #1'!$B175)</f>
        <v>1.2694880710301768</v>
      </c>
      <c r="J43" s="1">
        <f ca="1">$B43*('Updated Population'!J$37/'Updated Population'!$B$37)*('Total Trip Tables Sup #1'!J175/'Total Trip Tables Sup #1'!$B175)</f>
        <v>1.351048533175184</v>
      </c>
      <c r="K43" s="1">
        <f ca="1">$B43*('Updated Population'!K$37/'Updated Population'!$B$37)*('Total Trip Tables Sup #1'!K175/'Total Trip Tables Sup #1'!$B175)</f>
        <v>1.4358377437832053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Trip Tables Sup #1'!C176/'Total Trip Tables Sup #1'!$B176)</f>
        <v>0</v>
      </c>
      <c r="D44" s="4">
        <f ca="1">$B44*('Updated Population'!D$37/'Updated Population'!$B$37)*('Total Trip Tables Sup #1'!D176/'Total Trip Tables Sup #1'!$B176)</f>
        <v>0</v>
      </c>
      <c r="E44" s="4">
        <f ca="1">$B44*('Updated Population'!E$37/'Updated Population'!$B$37)*('Total Trip Tables Sup #1'!E176/'Total Trip Tables Sup #1'!$B176)</f>
        <v>0</v>
      </c>
      <c r="F44" s="4">
        <f ca="1">$B44*('Updated Population'!F$37/'Updated Population'!$B$37)*('Total Trip Tables Sup #1'!F176/'Total Trip Tables Sup #1'!$B176)</f>
        <v>0</v>
      </c>
      <c r="G44" s="4">
        <f ca="1">$B44*('Updated Population'!G$37/'Updated Population'!$B$37)*('Total Trip Tables Sup #1'!G176/'Total Trip Tables Sup #1'!$B176)</f>
        <v>0</v>
      </c>
      <c r="H44" s="4">
        <f ca="1">$B44*('Updated Population'!H$37/'Updated Population'!$B$37)*('Total Trip Tables Sup #1'!H176/'Total Trip Tables Sup #1'!$B176)</f>
        <v>0</v>
      </c>
      <c r="I44" s="1">
        <f ca="1">$B44*('Updated Population'!I$37/'Updated Population'!$B$37)*('Total Trip Tables Sup #1'!I176/'Total Trip Tables Sup #1'!$B176)</f>
        <v>0</v>
      </c>
      <c r="J44" s="1">
        <f ca="1">$B44*('Updated Population'!J$37/'Updated Population'!$B$37)*('Total Trip Tables Sup #1'!J176/'Total Trip Tables Sup #1'!$B176)</f>
        <v>0</v>
      </c>
      <c r="K44" s="1">
        <f ca="1">$B44*('Updated Population'!K$37/'Updated Population'!$B$37)*('Total Trip Tables Sup #1'!K176/'Total Trip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OFFSET(BOP_Reference,42,5)</f>
        <v>7.4672006229000001</v>
      </c>
      <c r="C45" s="4">
        <f ca="1">$B45*('Updated Population'!C$37/'Updated Population'!$B$37)*('Total Trip Tables Sup #1'!C177/'Total Trip Tables Sup #1'!$B177)</f>
        <v>7.7303639294970834</v>
      </c>
      <c r="D45" s="4">
        <f ca="1">$B45*('Updated Population'!D$37/'Updated Population'!$B$37)*('Total Trip Tables Sup #1'!D177/'Total Trip Tables Sup #1'!$B177)</f>
        <v>8.4192894080689289</v>
      </c>
      <c r="E45" s="4">
        <f ca="1">$B45*('Updated Population'!E$37/'Updated Population'!$B$37)*('Total Trip Tables Sup #1'!E177/'Total Trip Tables Sup #1'!$B177)</f>
        <v>8.9308433199067938</v>
      </c>
      <c r="F45" s="4">
        <f ca="1">$B45*('Updated Population'!F$37/'Updated Population'!$B$37)*('Total Trip Tables Sup #1'!F177/'Total Trip Tables Sup #1'!$B177)</f>
        <v>9.3913168843615615</v>
      </c>
      <c r="G45" s="4">
        <f ca="1">$B45*('Updated Population'!G$37/'Updated Population'!$B$37)*('Total Trip Tables Sup #1'!G177/'Total Trip Tables Sup #1'!$B177)</f>
        <v>9.9158772662162278</v>
      </c>
      <c r="H45" s="4">
        <f ca="1">$B45*('Updated Population'!H$37/'Updated Population'!$B$37)*('Total Trip Tables Sup #1'!H177/'Total Trip Tables Sup #1'!$B177)</f>
        <v>10.420376728714395</v>
      </c>
      <c r="I45" s="1">
        <f ca="1">$B45*('Updated Population'!I$37/'Updated Population'!$B$37)*('Total Trip Tables Sup #1'!I177/'Total Trip Tables Sup #1'!$B177)</f>
        <v>10.975871507787904</v>
      </c>
      <c r="J45" s="1">
        <f ca="1">$B45*('Updated Population'!J$37/'Updated Population'!$B$37)*('Total Trip Tables Sup #1'!J177/'Total Trip Tables Sup #1'!$B177)</f>
        <v>11.681035402626991</v>
      </c>
      <c r="K45" s="1">
        <f ca="1">$B45*('Updated Population'!K$37/'Updated Population'!$B$37)*('Total Trip Tables Sup #1'!K177/'Total Trip Tables Sup #1'!$B177)</f>
        <v>12.414114745487776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Trip Tables Sup #1'!C178/'Total Trip Tables Sup #1'!$B178)</f>
        <v>0</v>
      </c>
      <c r="D46" s="4">
        <f ca="1">$B46*('Updated Population'!D$37/'Updated Population'!$B$37)*('Total Trip Tables Sup #1'!D178/'Total Trip Tables Sup #1'!$B178)</f>
        <v>0</v>
      </c>
      <c r="E46" s="4">
        <f ca="1">$B46*('Updated Population'!E$37/'Updated Population'!$B$37)*('Total Trip Tables Sup #1'!E178/'Total Trip Tables Sup #1'!$B178)</f>
        <v>0</v>
      </c>
      <c r="F46" s="4">
        <f ca="1">$B46*('Updated Population'!F$37/'Updated Population'!$B$37)*('Total Trip Tables Sup #1'!F178/'Total Trip Tables Sup #1'!$B178)</f>
        <v>0</v>
      </c>
      <c r="G46" s="4">
        <f ca="1">$B46*('Updated Population'!G$37/'Updated Population'!$B$37)*('Total Trip Tables Sup #1'!G178/'Total Trip Tables Sup #1'!$B178)</f>
        <v>0</v>
      </c>
      <c r="H46" s="4">
        <f ca="1">$B46*('Updated Population'!H$37/'Updated Population'!$B$37)*('Total Trip Tables Sup #1'!H178/'Total Trip Tables Sup #1'!$B178)</f>
        <v>0</v>
      </c>
      <c r="I46" s="1">
        <f ca="1">$B46*('Updated Population'!I$37/'Updated Population'!$B$37)*('Total Trip Tables Sup #1'!I178/'Total Trip Tables Sup #1'!$B178)</f>
        <v>0</v>
      </c>
      <c r="J46" s="1">
        <f ca="1">$B46*('Updated Population'!J$37/'Updated Population'!$B$37)*('Total Trip Tables Sup #1'!J178/'Total Trip Tables Sup #1'!$B178)</f>
        <v>0</v>
      </c>
      <c r="K46" s="1">
        <f ca="1">$B46*('Updated Population'!K$37/'Updated Population'!$B$37)*('Total Trip Tables Sup #1'!K178/'Total Trip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$B47*('Updated Population'!C$37/'Updated Population'!$B$37)*('Total Trip Tables Sup #1'!C179/'Total Trip Tables Sup #1'!$B179)</f>
        <v>0.69150927844805499</v>
      </c>
      <c r="D47" s="4">
        <f ca="1">$B47*('Updated Population'!D$37/'Updated Population'!$B$37)*('Total Trip Tables Sup #1'!D179/'Total Trip Tables Sup #1'!$B179)</f>
        <v>0.77769945207728741</v>
      </c>
      <c r="E47" s="4">
        <f ca="1">$B47*('Updated Population'!E$37/'Updated Population'!$B$37)*('Total Trip Tables Sup #1'!E179/'Total Trip Tables Sup #1'!$B179)</f>
        <v>0.84332414059060556</v>
      </c>
      <c r="F47" s="4">
        <f ca="1">$B47*('Updated Population'!F$37/'Updated Population'!$B$37)*('Total Trip Tables Sup #1'!F179/'Total Trip Tables Sup #1'!$B179)</f>
        <v>0.89714316912053305</v>
      </c>
      <c r="G47" s="4">
        <f ca="1">$B47*('Updated Population'!G$37/'Updated Population'!$B$37)*('Total Trip Tables Sup #1'!G179/'Total Trip Tables Sup #1'!$B179)</f>
        <v>0.9389746531818689</v>
      </c>
      <c r="H47" s="4">
        <f ca="1">$B47*('Updated Population'!H$37/'Updated Population'!$B$37)*('Total Trip Tables Sup #1'!H179/'Total Trip Tables Sup #1'!$B179)</f>
        <v>0.96028074434473831</v>
      </c>
      <c r="I47" s="1">
        <f ca="1">$B47*('Updated Population'!I$37/'Updated Population'!$B$37)*('Total Trip Tables Sup #1'!I179/'Total Trip Tables Sup #1'!$B179)</f>
        <v>1.0114718820373327</v>
      </c>
      <c r="J47" s="1">
        <f ca="1">$B47*('Updated Population'!J$37/'Updated Population'!$B$37)*('Total Trip Tables Sup #1'!J179/'Total Trip Tables Sup #1'!$B179)</f>
        <v>1.0764556467754294</v>
      </c>
      <c r="K47" s="1">
        <f ca="1">$B47*('Updated Population'!K$37/'Updated Population'!$B$37)*('Total Trip Tables Sup #1'!K179/'Total Trip Tables Sup #1'!$B179)</f>
        <v>1.1440119353198031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OFFSET(Gisborne_Reference,0,5)</f>
        <v>12.564280467</v>
      </c>
      <c r="C49" s="4">
        <f ca="1">$B49*('Updated Population'!C$48/'Updated Population'!$B$48)*('Total Trip Tables Sup #1'!C170/'Total Trip Tables Sup #1'!$B170)</f>
        <v>12.565579971424793</v>
      </c>
      <c r="D49" s="4">
        <f ca="1">$B49*('Updated Population'!D$48/'Updated Population'!$B$48)*('Total Trip Tables Sup #1'!D170/'Total Trip Tables Sup #1'!$B170)</f>
        <v>12.382424916517655</v>
      </c>
      <c r="E49" s="4">
        <f ca="1">$B49*('Updated Population'!E$48/'Updated Population'!$B$48)*('Total Trip Tables Sup #1'!E170/'Total Trip Tables Sup #1'!$B170)</f>
        <v>12.016550906261322</v>
      </c>
      <c r="F49" s="4">
        <f ca="1">$B49*('Updated Population'!F$48/'Updated Population'!$B$48)*('Total Trip Tables Sup #1'!F170/'Total Trip Tables Sup #1'!$B170)</f>
        <v>11.563411284099427</v>
      </c>
      <c r="G49" s="4">
        <f ca="1">$B49*('Updated Population'!G$48/'Updated Population'!$B$48)*('Total Trip Tables Sup #1'!G170/'Total Trip Tables Sup #1'!$B170)</f>
        <v>11.070229837294161</v>
      </c>
      <c r="H49" s="4">
        <f ca="1">$B49*('Updated Population'!H$48/'Updated Population'!$B$48)*('Total Trip Tables Sup #1'!H170/'Total Trip Tables Sup #1'!$B170)</f>
        <v>10.538528589564541</v>
      </c>
      <c r="I49" s="1">
        <f ca="1">$B49*('Updated Population'!I$48/'Updated Population'!$B$48)*('Total Trip Tables Sup #1'!I170/'Total Trip Tables Sup #1'!$B170)</f>
        <v>10.439619261404237</v>
      </c>
      <c r="J49" s="1">
        <f ca="1">$B49*('Updated Population'!J$48/'Updated Population'!$B$48)*('Total Trip Tables Sup #1'!J170/'Total Trip Tables Sup #1'!$B170)</f>
        <v>10.308719029996025</v>
      </c>
      <c r="K49" s="1">
        <f ca="1">$B49*('Updated Population'!K$48/'Updated Population'!$B$48)*('Total Trip Tables Sup #1'!K170/'Total Trip Tables Sup #1'!$B170)</f>
        <v>10.157583812327964</v>
      </c>
    </row>
    <row r="50" spans="1:11" x14ac:dyDescent="0.2">
      <c r="A50" t="str">
        <f ca="1">OFFSET(Gisborne_Reference,7,2)</f>
        <v>Cyclist</v>
      </c>
      <c r="B50" s="4">
        <f ca="1">OFFSET(Gisborne_Reference,7,5)</f>
        <v>1.1119455742</v>
      </c>
      <c r="C50" s="4">
        <f ca="1">$B50*('Updated Population'!C$48/'Updated Population'!$B$48)*('Total Trip Tables Sup #1'!C171/'Total Trip Tables Sup #1'!$B171)</f>
        <v>1.0739662996802</v>
      </c>
      <c r="D50" s="4">
        <f ca="1">$B50*('Updated Population'!D$48/'Updated Population'!$B$48)*('Total Trip Tables Sup #1'!D171/'Total Trip Tables Sup #1'!$B171)</f>
        <v>1.0725501226146794</v>
      </c>
      <c r="E50" s="4">
        <f ca="1">$B50*('Updated Population'!E$48/'Updated Population'!$B$48)*('Total Trip Tables Sup #1'!E171/'Total Trip Tables Sup #1'!$B171)</f>
        <v>1.0271305766666161</v>
      </c>
      <c r="F50" s="4">
        <f ca="1">$B50*('Updated Population'!F$48/'Updated Population'!$B$48)*('Total Trip Tables Sup #1'!F171/'Total Trip Tables Sup #1'!$B171)</f>
        <v>0.98654151365396181</v>
      </c>
      <c r="G50" s="4">
        <f ca="1">$B50*('Updated Population'!G$48/'Updated Population'!$B$48)*('Total Trip Tables Sup #1'!G171/'Total Trip Tables Sup #1'!$B171)</f>
        <v>0.94707869030684499</v>
      </c>
      <c r="H50" s="4">
        <f ca="1">$B50*('Updated Population'!H$48/'Updated Population'!$B$48)*('Total Trip Tables Sup #1'!H171/'Total Trip Tables Sup #1'!$B171)</f>
        <v>0.9091379930472594</v>
      </c>
      <c r="I50" s="1">
        <f ca="1">$B50*('Updated Population'!I$48/'Updated Population'!$B$48)*('Total Trip Tables Sup #1'!I171/'Total Trip Tables Sup #1'!$B171)</f>
        <v>0.90060528116693561</v>
      </c>
      <c r="J50" s="1">
        <f ca="1">$B50*('Updated Population'!J$48/'Updated Population'!$B$48)*('Total Trip Tables Sup #1'!J171/'Total Trip Tables Sup #1'!$B171)</f>
        <v>0.88931277741174086</v>
      </c>
      <c r="K50" s="1">
        <f ca="1">$B50*('Updated Population'!K$48/'Updated Population'!$B$48)*('Total Trip Tables Sup #1'!K171/'Total Trip Tables Sup #1'!$B171)</f>
        <v>0.87627464146119083</v>
      </c>
    </row>
    <row r="51" spans="1:11" x14ac:dyDescent="0.2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$B51*('Updated Population'!C$48/'Updated Population'!$B$48)*('Total Trip Tables Sup #1'!C172/'Total Trip Tables Sup #1'!$B172)</f>
        <v>29.734810718463805</v>
      </c>
      <c r="D51" s="4">
        <f ca="1">$B51*('Updated Population'!D$48/'Updated Population'!$B$48)*('Total Trip Tables Sup #1'!D172/'Total Trip Tables Sup #1'!$B172)</f>
        <v>29.841328683774933</v>
      </c>
      <c r="E51" s="4">
        <f ca="1">$B51*('Updated Population'!E$48/'Updated Population'!$B$48)*('Total Trip Tables Sup #1'!E172/'Total Trip Tables Sup #1'!$B172)</f>
        <v>29.945270075284174</v>
      </c>
      <c r="F51" s="4">
        <f ca="1">$B51*('Updated Population'!F$48/'Updated Population'!$B$48)*('Total Trip Tables Sup #1'!F172/'Total Trip Tables Sup #1'!$B172)</f>
        <v>29.754877220183374</v>
      </c>
      <c r="G51" s="4">
        <f ca="1">$B51*('Updated Population'!G$48/'Updated Population'!$B$48)*('Total Trip Tables Sup #1'!G172/'Total Trip Tables Sup #1'!$B172)</f>
        <v>29.178740370367322</v>
      </c>
      <c r="H51" s="4">
        <f ca="1">$B51*('Updated Population'!H$48/'Updated Population'!$B$48)*('Total Trip Tables Sup #1'!H172/'Total Trip Tables Sup #1'!$B172)</f>
        <v>28.397013572649907</v>
      </c>
      <c r="I51" s="1">
        <f ca="1">$B51*('Updated Population'!I$48/'Updated Population'!$B$48)*('Total Trip Tables Sup #1'!I172/'Total Trip Tables Sup #1'!$B172)</f>
        <v>28.130493487767183</v>
      </c>
      <c r="J51" s="1">
        <f ca="1">$B51*('Updated Population'!J$48/'Updated Population'!$B$48)*('Total Trip Tables Sup #1'!J172/'Total Trip Tables Sup #1'!$B172)</f>
        <v>27.777771035446577</v>
      </c>
      <c r="K51" s="1">
        <f ca="1">$B51*('Updated Population'!K$48/'Updated Population'!$B$48)*('Total Trip Tables Sup #1'!K172/'Total Trip Tables Sup #1'!$B172)</f>
        <v>27.370523591844709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$B52*('Updated Population'!C$48/'Updated Population'!$B$48)*('Total Trip Tables Sup #1'!C173/'Total Trip Tables Sup #1'!$B173)</f>
        <v>18.482198643823676</v>
      </c>
      <c r="D52" s="4">
        <f ca="1">$B52*('Updated Population'!D$48/'Updated Population'!$B$48)*('Total Trip Tables Sup #1'!D173/'Total Trip Tables Sup #1'!$B173)</f>
        <v>18.208362131826913</v>
      </c>
      <c r="E52" s="4">
        <f ca="1">$B52*('Updated Population'!E$48/'Updated Population'!$B$48)*('Total Trip Tables Sup #1'!E173/'Total Trip Tables Sup #1'!$B173)</f>
        <v>17.927405126558373</v>
      </c>
      <c r="F52" s="4">
        <f ca="1">$B52*('Updated Population'!F$48/'Updated Population'!$B$48)*('Total Trip Tables Sup #1'!F173/'Total Trip Tables Sup #1'!$B173)</f>
        <v>17.566959403398805</v>
      </c>
      <c r="G52" s="4">
        <f ca="1">$B52*('Updated Population'!G$48/'Updated Population'!$B$48)*('Total Trip Tables Sup #1'!G173/'Total Trip Tables Sup #1'!$B173)</f>
        <v>17.075371184705034</v>
      </c>
      <c r="H52" s="4">
        <f ca="1">$B52*('Updated Population'!H$48/'Updated Population'!$B$48)*('Total Trip Tables Sup #1'!H173/'Total Trip Tables Sup #1'!$B173)</f>
        <v>16.512426651210912</v>
      </c>
      <c r="I52" s="1">
        <f ca="1">$B52*('Updated Population'!I$48/'Updated Population'!$B$48)*('Total Trip Tables Sup #1'!I173/'Total Trip Tables Sup #1'!$B173)</f>
        <v>16.357449320885618</v>
      </c>
      <c r="J52" s="1">
        <f ca="1">$B52*('Updated Population'!J$48/'Updated Population'!$B$48)*('Total Trip Tables Sup #1'!J173/'Total Trip Tables Sup #1'!$B173)</f>
        <v>16.15234663967308</v>
      </c>
      <c r="K52" s="1">
        <f ca="1">$B52*('Updated Population'!K$48/'Updated Population'!$B$48)*('Total Trip Tables Sup #1'!K173/'Total Trip Tables Sup #1'!$B173)</f>
        <v>15.915538514615674</v>
      </c>
    </row>
    <row r="53" spans="1:11" x14ac:dyDescent="0.2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$B53*('Updated Population'!C$48/'Updated Population'!$B$48)*('Total Trip Tables Sup #1'!C174/'Total Trip Tables Sup #1'!$B174)</f>
        <v>2.4891188878527194E-2</v>
      </c>
      <c r="D53" s="4">
        <f ca="1">$B53*('Updated Population'!D$48/'Updated Population'!$B$48)*('Total Trip Tables Sup #1'!D174/'Total Trip Tables Sup #1'!$B174)</f>
        <v>2.6491775842716277E-2</v>
      </c>
      <c r="E53" s="4">
        <f ca="1">$B53*('Updated Population'!E$48/'Updated Population'!$B$48)*('Total Trip Tables Sup #1'!E174/'Total Trip Tables Sup #1'!$B174)</f>
        <v>2.7375134328309802E-2</v>
      </c>
      <c r="F53" s="4">
        <f ca="1">$B53*('Updated Population'!F$48/'Updated Population'!$B$48)*('Total Trip Tables Sup #1'!F174/'Total Trip Tables Sup #1'!$B174)</f>
        <v>2.777285716919255E-2</v>
      </c>
      <c r="G53" s="4">
        <f ca="1">$B53*('Updated Population'!G$48/'Updated Population'!$B$48)*('Total Trip Tables Sup #1'!G174/'Total Trip Tables Sup #1'!$B174)</f>
        <v>2.764882704925813E-2</v>
      </c>
      <c r="H53" s="4">
        <f ca="1">$B53*('Updated Population'!H$48/'Updated Population'!$B$48)*('Total Trip Tables Sup #1'!H174/'Total Trip Tables Sup #1'!$B174)</f>
        <v>2.7270508606150573E-2</v>
      </c>
      <c r="I53" s="1">
        <f ca="1">$B53*('Updated Population'!I$48/'Updated Population'!$B$48)*('Total Trip Tables Sup #1'!I174/'Total Trip Tables Sup #1'!$B174)</f>
        <v>2.7014561330219188E-2</v>
      </c>
      <c r="J53" s="1">
        <f ca="1">$B53*('Updated Population'!J$48/'Updated Population'!$B$48)*('Total Trip Tables Sup #1'!J174/'Total Trip Tables Sup #1'!$B174)</f>
        <v>2.6675831320917928E-2</v>
      </c>
      <c r="K53" s="1">
        <f ca="1">$B53*('Updated Population'!K$48/'Updated Population'!$B$48)*('Total Trip Tables Sup #1'!K174/'Total Trip Tables Sup #1'!$B174)</f>
        <v>2.6284739317980199E-2</v>
      </c>
    </row>
    <row r="54" spans="1:11" x14ac:dyDescent="0.2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$B54*('Updated Population'!C$48/'Updated Population'!$B$48)*('Total Trip Tables Sup #1'!C175/'Total Trip Tables Sup #1'!$B175)</f>
        <v>0.19716556422114059</v>
      </c>
      <c r="D54" s="4">
        <f ca="1">$B54*('Updated Population'!D$48/'Updated Population'!$B$48)*('Total Trip Tables Sup #1'!D175/'Total Trip Tables Sup #1'!$B175)</f>
        <v>0.19310953880612855</v>
      </c>
      <c r="E54" s="4">
        <f ca="1">$B54*('Updated Population'!E$48/'Updated Population'!$B$48)*('Total Trip Tables Sup #1'!E175/'Total Trip Tables Sup #1'!$B175)</f>
        <v>0.18674179748970224</v>
      </c>
      <c r="F54" s="4">
        <f ca="1">$B54*('Updated Population'!F$48/'Updated Population'!$B$48)*('Total Trip Tables Sup #1'!F175/'Total Trip Tables Sup #1'!$B175)</f>
        <v>0.17836754127475787</v>
      </c>
      <c r="G54" s="4">
        <f ca="1">$B54*('Updated Population'!G$48/'Updated Population'!$B$48)*('Total Trip Tables Sup #1'!G175/'Total Trip Tables Sup #1'!$B175)</f>
        <v>0.16633421917104471</v>
      </c>
      <c r="H54" s="4">
        <f ca="1">$B54*('Updated Population'!H$48/'Updated Population'!$B$48)*('Total Trip Tables Sup #1'!H175/'Total Trip Tables Sup #1'!$B175)</f>
        <v>0.15381494881947683</v>
      </c>
      <c r="I54" s="1">
        <f ca="1">$B54*('Updated Population'!I$48/'Updated Population'!$B$48)*('Total Trip Tables Sup #1'!I175/'Total Trip Tables Sup #1'!$B175)</f>
        <v>0.15237131908317658</v>
      </c>
      <c r="J54" s="1">
        <f ca="1">$B54*('Updated Population'!J$48/'Updated Population'!$B$48)*('Total Trip Tables Sup #1'!J175/'Total Trip Tables Sup #1'!$B175)</f>
        <v>0.15046076655932147</v>
      </c>
      <c r="K54" s="1">
        <f ca="1">$B54*('Updated Population'!K$48/'Updated Population'!$B$48)*('Total Trip Tables Sup #1'!K175/'Total Trip Tables Sup #1'!$B175)</f>
        <v>0.14825487457232692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Trip Tables Sup #1'!C176/'Total Trip Tables Sup #1'!$B176)</f>
        <v>0</v>
      </c>
      <c r="D55" s="4">
        <f ca="1">$B55*('Updated Population'!D$48/'Updated Population'!$B$48)*('Total Trip Tables Sup #1'!D176/'Total Trip Tables Sup #1'!$B176)</f>
        <v>0</v>
      </c>
      <c r="E55" s="4">
        <f ca="1">$B55*('Updated Population'!E$48/'Updated Population'!$B$48)*('Total Trip Tables Sup #1'!E176/'Total Trip Tables Sup #1'!$B176)</f>
        <v>0</v>
      </c>
      <c r="F55" s="4">
        <f ca="1">$B55*('Updated Population'!F$48/'Updated Population'!$B$48)*('Total Trip Tables Sup #1'!F176/'Total Trip Tables Sup #1'!$B176)</f>
        <v>0</v>
      </c>
      <c r="G55" s="4">
        <f ca="1">$B55*('Updated Population'!G$48/'Updated Population'!$B$48)*('Total Trip Tables Sup #1'!G176/'Total Trip Tables Sup #1'!$B176)</f>
        <v>0</v>
      </c>
      <c r="H55" s="4">
        <f ca="1">$B55*('Updated Population'!H$48/'Updated Population'!$B$48)*('Total Trip Tables Sup #1'!H176/'Total Trip Tables Sup #1'!$B176)</f>
        <v>0</v>
      </c>
      <c r="I55" s="1">
        <f ca="1">$B55*('Updated Population'!I$48/'Updated Population'!$B$48)*('Total Trip Tables Sup #1'!I176/'Total Trip Tables Sup #1'!$B176)</f>
        <v>0</v>
      </c>
      <c r="J55" s="1">
        <f ca="1">$B55*('Updated Population'!J$48/'Updated Population'!$B$48)*('Total Trip Tables Sup #1'!J176/'Total Trip Tables Sup #1'!$B176)</f>
        <v>0</v>
      </c>
      <c r="K55" s="1">
        <f ca="1">$B55*('Updated Population'!K$48/'Updated Population'!$B$48)*('Total Trip Tables Sup #1'!K176/'Total Trip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$B56*('Updated Population'!C$48/'Updated Population'!$B$48)*('Total Trip Tables Sup #1'!C177/'Total Trip Tables Sup #1'!$B177)</f>
        <v>0.35880019424179327</v>
      </c>
      <c r="D56" s="4">
        <f ca="1">$B56*('Updated Population'!D$48/'Updated Population'!$B$48)*('Total Trip Tables Sup #1'!D177/'Total Trip Tables Sup #1'!$B177)</f>
        <v>0.35415188626074057</v>
      </c>
      <c r="E56" s="4">
        <f ca="1">$B56*('Updated Population'!E$48/'Updated Population'!$B$48)*('Total Trip Tables Sup #1'!E177/'Total Trip Tables Sup #1'!$B177)</f>
        <v>0.34510769786976492</v>
      </c>
      <c r="F56" s="4">
        <f ca="1">$B56*('Updated Population'!F$48/'Updated Population'!$B$48)*('Total Trip Tables Sup #1'!F177/'Total Trip Tables Sup #1'!$B177)</f>
        <v>0.33457963576664235</v>
      </c>
      <c r="G56" s="4">
        <f ca="1">$B56*('Updated Population'!G$48/'Updated Population'!$B$48)*('Total Trip Tables Sup #1'!G177/'Total Trip Tables Sup #1'!$B177)</f>
        <v>0.32603892958219433</v>
      </c>
      <c r="H56" s="4">
        <f ca="1">$B56*('Updated Population'!H$48/'Updated Population'!$B$48)*('Total Trip Tables Sup #1'!H177/'Total Trip Tables Sup #1'!$B177)</f>
        <v>0.31699818119542783</v>
      </c>
      <c r="I56" s="1">
        <f ca="1">$B56*('Updated Population'!I$48/'Updated Population'!$B$48)*('Total Trip Tables Sup #1'!I177/'Total Trip Tables Sup #1'!$B177)</f>
        <v>0.31402299572588094</v>
      </c>
      <c r="J56" s="1">
        <f ca="1">$B56*('Updated Population'!J$48/'Updated Population'!$B$48)*('Total Trip Tables Sup #1'!J177/'Total Trip Tables Sup #1'!$B177)</f>
        <v>0.31008552618999591</v>
      </c>
      <c r="K56" s="1">
        <f ca="1">$B56*('Updated Population'!K$48/'Updated Population'!$B$48)*('Total Trip Tables Sup #1'!K177/'Total Trip Tables Sup #1'!$B177)</f>
        <v>0.30553938972434247</v>
      </c>
    </row>
    <row r="57" spans="1:11" x14ac:dyDescent="0.2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$B57*('Updated Population'!C$48/'Updated Population'!$B$48)*('Total Trip Tables Sup #1'!C178/'Total Trip Tables Sup #1'!$B178)</f>
        <v>1.8281034223124801E-2</v>
      </c>
      <c r="D57" s="4">
        <f ca="1">$B57*('Updated Population'!D$48/'Updated Population'!$B$48)*('Total Trip Tables Sup #1'!D178/'Total Trip Tables Sup #1'!$B178)</f>
        <v>1.857251911844273E-2</v>
      </c>
      <c r="E57" s="4">
        <f ca="1">$B57*('Updated Population'!E$48/'Updated Population'!$B$48)*('Total Trip Tables Sup #1'!E178/'Total Trip Tables Sup #1'!$B178)</f>
        <v>1.8873879556595044E-2</v>
      </c>
      <c r="F57" s="4">
        <f ca="1">$B57*('Updated Population'!F$48/'Updated Population'!$B$48)*('Total Trip Tables Sup #1'!F178/'Total Trip Tables Sup #1'!$B178)</f>
        <v>1.8742967431489222E-2</v>
      </c>
      <c r="G57" s="4">
        <f ca="1">$B57*('Updated Population'!G$48/'Updated Population'!$B$48)*('Total Trip Tables Sup #1'!G178/'Total Trip Tables Sup #1'!$B178)</f>
        <v>1.8799478885769334E-2</v>
      </c>
      <c r="H57" s="4">
        <f ca="1">$B57*('Updated Population'!H$48/'Updated Population'!$B$48)*('Total Trip Tables Sup #1'!H178/'Total Trip Tables Sup #1'!$B178)</f>
        <v>1.8523501462252911E-2</v>
      </c>
      <c r="I57" s="1">
        <f ca="1">$B57*('Updated Population'!I$48/'Updated Population'!$B$48)*('Total Trip Tables Sup #1'!I178/'Total Trip Tables Sup #1'!$B178)</f>
        <v>1.8349649195379333E-2</v>
      </c>
      <c r="J57" s="1">
        <f ca="1">$B57*('Updated Population'!J$48/'Updated Population'!$B$48)*('Total Trip Tables Sup #1'!J178/'Total Trip Tables Sup #1'!$B178)</f>
        <v>1.8119566731087281E-2</v>
      </c>
      <c r="K57" s="1">
        <f ca="1">$B57*('Updated Population'!K$48/'Updated Population'!$B$48)*('Total Trip Tables Sup #1'!K178/'Total Trip Tables Sup #1'!$B178)</f>
        <v>1.7853917366313109E-2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$B58*('Updated Population'!C$48/'Updated Population'!$B$48)*('Total Trip Tables Sup #1'!C179/'Total Trip Tables Sup #1'!$B179)</f>
        <v>3.1833730530761516E-2</v>
      </c>
      <c r="D58" s="4">
        <f ca="1">$B58*('Updated Population'!D$48/'Updated Population'!$B$48)*('Total Trip Tables Sup #1'!D179/'Total Trip Tables Sup #1'!$B179)</f>
        <v>3.244611539522671E-2</v>
      </c>
      <c r="E58" s="4">
        <f ca="1">$B58*('Updated Population'!E$48/'Updated Population'!$B$48)*('Total Trip Tables Sup #1'!E179/'Total Trip Tables Sup #1'!$B179)</f>
        <v>3.2321648527541047E-2</v>
      </c>
      <c r="F58" s="4">
        <f ca="1">$B58*('Updated Population'!F$48/'Updated Population'!$B$48)*('Total Trip Tables Sup #1'!F179/'Total Trip Tables Sup #1'!$B179)</f>
        <v>3.1700897542381916E-2</v>
      </c>
      <c r="G58" s="4">
        <f ca="1">$B58*('Updated Population'!G$48/'Updated Population'!$B$48)*('Total Trip Tables Sup #1'!G179/'Total Trip Tables Sup #1'!$B179)</f>
        <v>3.0621677591488594E-2</v>
      </c>
      <c r="H58" s="4">
        <f ca="1">$B58*('Updated Population'!H$48/'Updated Population'!$B$48)*('Total Trip Tables Sup #1'!H179/'Total Trip Tables Sup #1'!$B179)</f>
        <v>2.89739939508687E-2</v>
      </c>
      <c r="I58" s="1">
        <f ca="1">$B58*('Updated Population'!I$48/'Updated Population'!$B$48)*('Total Trip Tables Sup #1'!I179/'Total Trip Tables Sup #1'!$B179)</f>
        <v>2.8702058618393648E-2</v>
      </c>
      <c r="J58" s="1">
        <f ca="1">$B58*('Updated Population'!J$48/'Updated Population'!$B$48)*('Total Trip Tables Sup #1'!J179/'Total Trip Tables Sup #1'!$B179)</f>
        <v>2.8342169428858741E-2</v>
      </c>
      <c r="K58" s="1">
        <f ca="1">$B58*('Updated Population'!K$48/'Updated Population'!$B$48)*('Total Trip Tables Sup #1'!K179/'Total Trip Tables Sup #1'!$B179)</f>
        <v>2.7926647390344384E-2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$B60*('Updated Population'!C$59/'Updated Population'!$B$59)*('Total Trip Tables Sup #1'!C170/'Total Trip Tables Sup #1'!$B170)</f>
        <v>26.7131826334324</v>
      </c>
      <c r="D60" s="4">
        <f ca="1">$B60*('Updated Population'!D$59/'Updated Population'!$B$59)*('Total Trip Tables Sup #1'!D170/'Total Trip Tables Sup #1'!$B170)</f>
        <v>26.363948849379646</v>
      </c>
      <c r="E60" s="4">
        <f ca="1">$B60*('Updated Population'!E$59/'Updated Population'!$B$59)*('Total Trip Tables Sup #1'!E170/'Total Trip Tables Sup #1'!$B170)</f>
        <v>25.655439420669236</v>
      </c>
      <c r="F60" s="4">
        <f ca="1">$B60*('Updated Population'!F$59/'Updated Population'!$B$59)*('Total Trip Tables Sup #1'!F170/'Total Trip Tables Sup #1'!$B170)</f>
        <v>24.728512929276572</v>
      </c>
      <c r="G60" s="4">
        <f ca="1">$B60*('Updated Population'!G$59/'Updated Population'!$B$59)*('Total Trip Tables Sup #1'!G170/'Total Trip Tables Sup #1'!$B170)</f>
        <v>23.748708154837121</v>
      </c>
      <c r="H60" s="4">
        <f ca="1">$B60*('Updated Population'!H$59/'Updated Population'!$B$59)*('Total Trip Tables Sup #1'!H170/'Total Trip Tables Sup #1'!$B170)</f>
        <v>22.664364764190008</v>
      </c>
      <c r="I60" s="1">
        <f ca="1">$B60*('Updated Population'!I$59/'Updated Population'!$B$59)*('Total Trip Tables Sup #1'!I170/'Total Trip Tables Sup #1'!$B170)</f>
        <v>22.507561910925549</v>
      </c>
      <c r="J60" s="1">
        <f ca="1">$B60*('Updated Population'!J$59/'Updated Population'!$B$59)*('Total Trip Tables Sup #1'!J170/'Total Trip Tables Sup #1'!$B170)</f>
        <v>22.280694123930136</v>
      </c>
      <c r="K60" s="1">
        <f ca="1">$B60*('Updated Population'!K$59/'Updated Population'!$B$59)*('Total Trip Tables Sup #1'!K170/'Total Trip Tables Sup #1'!$B170)</f>
        <v>22.008713067710758</v>
      </c>
    </row>
    <row r="61" spans="1:11" x14ac:dyDescent="0.2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$B61*('Updated Population'!C$59/'Updated Population'!$B$59)*('Total Trip Tables Sup #1'!C171/'Total Trip Tables Sup #1'!$B171)</f>
        <v>3.0932337561143641</v>
      </c>
      <c r="D61" s="4">
        <f ca="1">$B61*('Updated Population'!D$59/'Updated Population'!$B$59)*('Total Trip Tables Sup #1'!D171/'Total Trip Tables Sup #1'!$B171)</f>
        <v>3.0938649068078856</v>
      </c>
      <c r="E61" s="4">
        <f ca="1">$B61*('Updated Population'!E$59/'Updated Population'!$B$59)*('Total Trip Tables Sup #1'!E171/'Total Trip Tables Sup #1'!$B171)</f>
        <v>2.9710111195690287</v>
      </c>
      <c r="F61" s="4">
        <f ca="1">$B61*('Updated Population'!F$59/'Updated Population'!$B$59)*('Total Trip Tables Sup #1'!F171/'Total Trip Tables Sup #1'!$B171)</f>
        <v>2.8582906268603976</v>
      </c>
      <c r="G61" s="4">
        <f ca="1">$B61*('Updated Population'!G$59/'Updated Population'!$B$59)*('Total Trip Tables Sup #1'!G171/'Total Trip Tables Sup #1'!$B171)</f>
        <v>2.7526336211139113</v>
      </c>
      <c r="H61" s="4">
        <f ca="1">$B61*('Updated Population'!H$59/'Updated Population'!$B$59)*('Total Trip Tables Sup #1'!H171/'Total Trip Tables Sup #1'!$B171)</f>
        <v>2.6489415340124856</v>
      </c>
      <c r="I61" s="1">
        <f ca="1">$B61*('Updated Population'!I$59/'Updated Population'!$B$59)*('Total Trip Tables Sup #1'!I171/'Total Trip Tables Sup #1'!$B171)</f>
        <v>2.6306148968009198</v>
      </c>
      <c r="J61" s="1">
        <f ca="1">$B61*('Updated Population'!J$59/'Updated Population'!$B$59)*('Total Trip Tables Sup #1'!J171/'Total Trip Tables Sup #1'!$B171)</f>
        <v>2.6040992847396822</v>
      </c>
      <c r="K61" s="1">
        <f ca="1">$B61*('Updated Population'!K$59/'Updated Population'!$B$59)*('Total Trip Tables Sup #1'!K171/'Total Trip Tables Sup #1'!$B171)</f>
        <v>2.572310971950857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$B62*('Updated Population'!C$59/'Updated Population'!$B$59)*('Total Trip Tables Sup #1'!C172/'Total Trip Tables Sup #1'!$B172)</f>
        <v>115.61711572438176</v>
      </c>
      <c r="D62" s="4">
        <f ca="1">$B62*('Updated Population'!D$59/'Updated Population'!$B$59)*('Total Trip Tables Sup #1'!D172/'Total Trip Tables Sup #1'!$B172)</f>
        <v>116.20819915503834</v>
      </c>
      <c r="E62" s="4">
        <f ca="1">$B62*('Updated Population'!E$59/'Updated Population'!$B$59)*('Total Trip Tables Sup #1'!E172/'Total Trip Tables Sup #1'!$B172)</f>
        <v>116.93424584266897</v>
      </c>
      <c r="F62" s="4">
        <f ca="1">$B62*('Updated Population'!F$59/'Updated Population'!$B$59)*('Total Trip Tables Sup #1'!F172/'Total Trip Tables Sup #1'!$B172)</f>
        <v>116.38152617121563</v>
      </c>
      <c r="G62" s="4">
        <f ca="1">$B62*('Updated Population'!G$59/'Updated Population'!$B$59)*('Total Trip Tables Sup #1'!G172/'Total Trip Tables Sup #1'!$B172)</f>
        <v>114.48899691473501</v>
      </c>
      <c r="H62" s="4">
        <f ca="1">$B62*('Updated Population'!H$59/'Updated Population'!$B$59)*('Total Trip Tables Sup #1'!H172/'Total Trip Tables Sup #1'!$B172)</f>
        <v>111.69920958772015</v>
      </c>
      <c r="I62" s="1">
        <f ca="1">$B62*('Updated Population'!I$59/'Updated Population'!$B$59)*('Total Trip Tables Sup #1'!I172/'Total Trip Tables Sup #1'!$B172)</f>
        <v>110.92642133828227</v>
      </c>
      <c r="J62" s="1">
        <f ca="1">$B62*('Updated Population'!J$59/'Updated Population'!$B$59)*('Total Trip Tables Sup #1'!J172/'Total Trip Tables Sup #1'!$B172)</f>
        <v>109.80832459248944</v>
      </c>
      <c r="K62" s="1">
        <f ca="1">$B62*('Updated Population'!K$59/'Updated Population'!$B$59)*('Total Trip Tables Sup #1'!K172/'Total Trip Tables Sup #1'!$B172)</f>
        <v>108.46789130355214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$B63*('Updated Population'!C$59/'Updated Population'!$B$59)*('Total Trip Tables Sup #1'!C173/'Total Trip Tables Sup #1'!$B173)</f>
        <v>57.909447412106289</v>
      </c>
      <c r="D63" s="4">
        <f ca="1">$B63*('Updated Population'!D$59/'Updated Population'!$B$59)*('Total Trip Tables Sup #1'!D173/'Total Trip Tables Sup #1'!$B173)</f>
        <v>57.138433751303602</v>
      </c>
      <c r="E63" s="4">
        <f ca="1">$B63*('Updated Population'!E$59/'Updated Population'!$B$59)*('Total Trip Tables Sup #1'!E173/'Total Trip Tables Sup #1'!$B173)</f>
        <v>56.411773314701975</v>
      </c>
      <c r="F63" s="4">
        <f ca="1">$B63*('Updated Population'!F$59/'Updated Population'!$B$59)*('Total Trip Tables Sup #1'!F173/'Total Trip Tables Sup #1'!$B173)</f>
        <v>55.36831635253548</v>
      </c>
      <c r="G63" s="4">
        <f ca="1">$B63*('Updated Population'!G$59/'Updated Population'!$B$59)*('Total Trip Tables Sup #1'!G173/'Total Trip Tables Sup #1'!$B173)</f>
        <v>53.989113730725087</v>
      </c>
      <c r="H63" s="4">
        <f ca="1">$B63*('Updated Population'!H$59/'Updated Population'!$B$59)*('Total Trip Tables Sup #1'!H173/'Total Trip Tables Sup #1'!$B173)</f>
        <v>52.339210446759054</v>
      </c>
      <c r="I63" s="1">
        <f ca="1">$B63*('Updated Population'!I$59/'Updated Population'!$B$59)*('Total Trip Tables Sup #1'!I173/'Total Trip Tables Sup #1'!$B173)</f>
        <v>51.97710289946842</v>
      </c>
      <c r="J63" s="1">
        <f ca="1">$B63*('Updated Population'!J$59/'Updated Population'!$B$59)*('Total Trip Tables Sup #1'!J173/'Total Trip Tables Sup #1'!$B173)</f>
        <v>51.453193186106212</v>
      </c>
      <c r="K63" s="1">
        <f ca="1">$B63*('Updated Population'!K$59/'Updated Population'!$B$59)*('Total Trip Tables Sup #1'!K173/'Total Trip Tables Sup #1'!$B173)</f>
        <v>50.825102618066559</v>
      </c>
    </row>
    <row r="64" spans="1:11" x14ac:dyDescent="0.2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$B64*('Updated Population'!C$59/'Updated Population'!$B$59)*('Total Trip Tables Sup #1'!C174/'Total Trip Tables Sup #1'!$B174)</f>
        <v>0.35887450801090837</v>
      </c>
      <c r="D64" s="4">
        <f ca="1">$B64*('Updated Population'!D$59/'Updated Population'!$B$59)*('Total Trip Tables Sup #1'!D174/'Total Trip Tables Sup #1'!$B174)</f>
        <v>0.38253370229055245</v>
      </c>
      <c r="E64" s="4">
        <f ca="1">$B64*('Updated Population'!E$59/'Updated Population'!$B$59)*('Total Trip Tables Sup #1'!E174/'Total Trip Tables Sup #1'!$B174)</f>
        <v>0.39637819967322269</v>
      </c>
      <c r="F64" s="4">
        <f ca="1">$B64*('Updated Population'!F$59/'Updated Population'!$B$59)*('Total Trip Tables Sup #1'!F174/'Total Trip Tables Sup #1'!$B174)</f>
        <v>0.40279721887820452</v>
      </c>
      <c r="G64" s="4">
        <f ca="1">$B64*('Updated Population'!G$59/'Updated Population'!$B$59)*('Total Trip Tables Sup #1'!G174/'Total Trip Tables Sup #1'!$B174)</f>
        <v>0.40226656745674272</v>
      </c>
      <c r="H64" s="4">
        <f ca="1">$B64*('Updated Population'!H$59/'Updated Population'!$B$59)*('Total Trip Tables Sup #1'!H174/'Total Trip Tables Sup #1'!$B174)</f>
        <v>0.39775045567853379</v>
      </c>
      <c r="I64" s="1">
        <f ca="1">$B64*('Updated Population'!I$59/'Updated Population'!$B$59)*('Total Trip Tables Sup #1'!I174/'Total Trip Tables Sup #1'!$B174)</f>
        <v>0.3949986288796562</v>
      </c>
      <c r="J64" s="1">
        <f ca="1">$B64*('Updated Population'!J$59/'Updated Population'!$B$59)*('Total Trip Tables Sup #1'!J174/'Total Trip Tables Sup #1'!$B174)</f>
        <v>0.39101719076766556</v>
      </c>
      <c r="K64" s="1">
        <f ca="1">$B64*('Updated Population'!K$59/'Updated Population'!$B$59)*('Total Trip Tables Sup #1'!K174/'Total Trip Tables Sup #1'!$B174)</f>
        <v>0.38624403298571375</v>
      </c>
    </row>
    <row r="65" spans="1:11" x14ac:dyDescent="0.2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$B65*('Updated Population'!C$59/'Updated Population'!$B$59)*('Total Trip Tables Sup #1'!C175/'Total Trip Tables Sup #1'!$B175)</f>
        <v>0.64323799245486712</v>
      </c>
      <c r="D65" s="4">
        <f ca="1">$B65*('Updated Population'!D$59/'Updated Population'!$B$59)*('Total Trip Tables Sup #1'!D175/'Total Trip Tables Sup #1'!$B175)</f>
        <v>0.63096607731058185</v>
      </c>
      <c r="E65" s="4">
        <f ca="1">$B65*('Updated Population'!E$59/'Updated Population'!$B$59)*('Total Trip Tables Sup #1'!E175/'Total Trip Tables Sup #1'!$B175)</f>
        <v>0.61184115883089818</v>
      </c>
      <c r="F65" s="4">
        <f ca="1">$B65*('Updated Population'!F$59/'Updated Population'!$B$59)*('Total Trip Tables Sup #1'!F175/'Total Trip Tables Sup #1'!$B175)</f>
        <v>0.58536315195859723</v>
      </c>
      <c r="G65" s="4">
        <f ca="1">$B65*('Updated Population'!G$59/'Updated Population'!$B$59)*('Total Trip Tables Sup #1'!G175/'Total Trip Tables Sup #1'!$B175)</f>
        <v>0.54759879492135022</v>
      </c>
      <c r="H65" s="4">
        <f ca="1">$B65*('Updated Population'!H$59/'Updated Population'!$B$59)*('Total Trip Tables Sup #1'!H175/'Total Trip Tables Sup #1'!$B175)</f>
        <v>0.50764445356197019</v>
      </c>
      <c r="I65" s="1">
        <f ca="1">$B65*('Updated Population'!I$59/'Updated Population'!$B$59)*('Total Trip Tables Sup #1'!I175/'Total Trip Tables Sup #1'!$B175)</f>
        <v>0.5041323278266765</v>
      </c>
      <c r="J65" s="1">
        <f ca="1">$B65*('Updated Population'!J$59/'Updated Population'!$B$59)*('Total Trip Tables Sup #1'!J175/'Total Trip Tables Sup #1'!$B175)</f>
        <v>0.49905086293858636</v>
      </c>
      <c r="K65" s="1">
        <f ca="1">$B65*('Updated Population'!K$59/'Updated Population'!$B$59)*('Total Trip Tables Sup #1'!K175/'Total Trip Tables Sup #1'!$B175)</f>
        <v>0.492958935099433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Trip Tables Sup #1'!C176/'Total Trip Tables Sup #1'!$B176)</f>
        <v>0</v>
      </c>
      <c r="D66" s="4">
        <f ca="1">$B66*('Updated Population'!D$59/'Updated Population'!$B$59)*('Total Trip Tables Sup #1'!D176/'Total Trip Tables Sup #1'!$B176)</f>
        <v>0</v>
      </c>
      <c r="E66" s="4">
        <f ca="1">$B66*('Updated Population'!E$59/'Updated Population'!$B$59)*('Total Trip Tables Sup #1'!E176/'Total Trip Tables Sup #1'!$B176)</f>
        <v>0</v>
      </c>
      <c r="F66" s="4">
        <f ca="1">$B66*('Updated Population'!F$59/'Updated Population'!$B$59)*('Total Trip Tables Sup #1'!F176/'Total Trip Tables Sup #1'!$B176)</f>
        <v>0</v>
      </c>
      <c r="G66" s="4">
        <f ca="1">$B66*('Updated Population'!G$59/'Updated Population'!$B$59)*('Total Trip Tables Sup #1'!G176/'Total Trip Tables Sup #1'!$B176)</f>
        <v>0</v>
      </c>
      <c r="H66" s="4">
        <f ca="1">$B66*('Updated Population'!H$59/'Updated Population'!$B$59)*('Total Trip Tables Sup #1'!H176/'Total Trip Tables Sup #1'!$B176)</f>
        <v>0</v>
      </c>
      <c r="I66" s="1">
        <f ca="1">$B66*('Updated Population'!I$59/'Updated Population'!$B$59)*('Total Trip Tables Sup #1'!I176/'Total Trip Tables Sup #1'!$B176)</f>
        <v>0</v>
      </c>
      <c r="J66" s="1">
        <f ca="1">$B66*('Updated Population'!J$59/'Updated Population'!$B$59)*('Total Trip Tables Sup #1'!J176/'Total Trip Tables Sup #1'!$B176)</f>
        <v>0</v>
      </c>
      <c r="K66" s="1">
        <f ca="1">$B66*('Updated Population'!K$59/'Updated Population'!$B$59)*('Total Trip Tables Sup #1'!K176/'Total Trip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$B67*('Updated Population'!C$59/'Updated Population'!$B$59)*('Total Trip Tables Sup #1'!C177/'Total Trip Tables Sup #1'!$B177)</f>
        <v>4.142910399837084</v>
      </c>
      <c r="D67" s="4">
        <f ca="1">$B67*('Updated Population'!D$59/'Updated Population'!$B$59)*('Total Trip Tables Sup #1'!D177/'Total Trip Tables Sup #1'!$B177)</f>
        <v>4.0954732422044362</v>
      </c>
      <c r="E67" s="4">
        <f ca="1">$B67*('Updated Population'!E$59/'Updated Population'!$B$59)*('Total Trip Tables Sup #1'!E177/'Total Trip Tables Sup #1'!$B177)</f>
        <v>4.0018798914701614</v>
      </c>
      <c r="F67" s="4">
        <f ca="1">$B67*('Updated Population'!F$59/'Updated Population'!$B$59)*('Total Trip Tables Sup #1'!F177/'Total Trip Tables Sup #1'!$B177)</f>
        <v>3.8861656450577895</v>
      </c>
      <c r="G67" s="4">
        <f ca="1">$B67*('Updated Population'!G$59/'Updated Population'!$B$59)*('Total Trip Tables Sup #1'!G177/'Total Trip Tables Sup #1'!$B177)</f>
        <v>3.7989413426522431</v>
      </c>
      <c r="H67" s="4">
        <f ca="1">$B67*('Updated Population'!H$59/'Updated Population'!$B$59)*('Total Trip Tables Sup #1'!H177/'Total Trip Tables Sup #1'!$B177)</f>
        <v>3.7027988483274661</v>
      </c>
      <c r="I67" s="1">
        <f ca="1">$B67*('Updated Population'!I$59/'Updated Population'!$B$59)*('Total Trip Tables Sup #1'!I177/'Total Trip Tables Sup #1'!$B177)</f>
        <v>3.6771811250635218</v>
      </c>
      <c r="J67" s="1">
        <f ca="1">$B67*('Updated Population'!J$59/'Updated Population'!$B$59)*('Total Trip Tables Sup #1'!J177/'Total Trip Tables Sup #1'!$B177)</f>
        <v>3.6401165177317298</v>
      </c>
      <c r="K67" s="1">
        <f ca="1">$B67*('Updated Population'!K$59/'Updated Population'!$B$59)*('Total Trip Tables Sup #1'!K177/'Total Trip Tables Sup #1'!$B177)</f>
        <v>3.5956815136089926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Trip Tables Sup #1'!C178/'Total Trip Tables Sup #1'!$B178)</f>
        <v>0</v>
      </c>
      <c r="D68" s="4">
        <f ca="1">$B68*('Updated Population'!D$59/'Updated Population'!$B$59)*('Total Trip Tables Sup #1'!D178/'Total Trip Tables Sup #1'!$B178)</f>
        <v>0</v>
      </c>
      <c r="E68" s="4">
        <f ca="1">$B68*('Updated Population'!E$59/'Updated Population'!$B$59)*('Total Trip Tables Sup #1'!E178/'Total Trip Tables Sup #1'!$B178)</f>
        <v>0</v>
      </c>
      <c r="F68" s="4">
        <f ca="1">$B68*('Updated Population'!F$59/'Updated Population'!$B$59)*('Total Trip Tables Sup #1'!F178/'Total Trip Tables Sup #1'!$B178)</f>
        <v>0</v>
      </c>
      <c r="G68" s="4">
        <f ca="1">$B68*('Updated Population'!G$59/'Updated Population'!$B$59)*('Total Trip Tables Sup #1'!G178/'Total Trip Tables Sup #1'!$B178)</f>
        <v>0</v>
      </c>
      <c r="H68" s="4">
        <f ca="1">$B68*('Updated Population'!H$59/'Updated Population'!$B$59)*('Total Trip Tables Sup #1'!H178/'Total Trip Tables Sup #1'!$B178)</f>
        <v>0</v>
      </c>
      <c r="I68" s="1">
        <f ca="1">$B68*('Updated Population'!I$59/'Updated Population'!$B$59)*('Total Trip Tables Sup #1'!I178/'Total Trip Tables Sup #1'!$B178)</f>
        <v>0</v>
      </c>
      <c r="J68" s="1">
        <f ca="1">$B68*('Updated Population'!J$59/'Updated Population'!$B$59)*('Total Trip Tables Sup #1'!J178/'Total Trip Tables Sup #1'!$B178)</f>
        <v>0</v>
      </c>
      <c r="K68" s="1">
        <f ca="1">$B68*('Updated Population'!K$59/'Updated Population'!$B$59)*('Total Trip Tables Sup #1'!K178/'Total Trip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$B69*('Updated Population'!C$59/'Updated Population'!$B$59)*('Total Trip Tables Sup #1'!C179/'Total Trip Tables Sup #1'!$B179)</f>
        <v>0.50242569390627878</v>
      </c>
      <c r="D69" s="4">
        <f ca="1">$B69*('Updated Population'!D$59/'Updated Population'!$B$59)*('Total Trip Tables Sup #1'!D179/'Total Trip Tables Sup #1'!$B179)</f>
        <v>0.51287162964731114</v>
      </c>
      <c r="E69" s="4">
        <f ca="1">$B69*('Updated Population'!E$59/'Updated Population'!$B$59)*('Total Trip Tables Sup #1'!E179/'Total Trip Tables Sup #1'!$B179)</f>
        <v>0.51231177840129494</v>
      </c>
      <c r="F69" s="4">
        <f ca="1">$B69*('Updated Population'!F$59/'Updated Population'!$B$59)*('Total Trip Tables Sup #1'!F179/'Total Trip Tables Sup #1'!$B179)</f>
        <v>0.50329752720159082</v>
      </c>
      <c r="G69" s="4">
        <f ca="1">$B69*('Updated Population'!G$59/'Updated Population'!$B$59)*('Total Trip Tables Sup #1'!G179/'Total Trip Tables Sup #1'!$B179)</f>
        <v>0.48770088410209556</v>
      </c>
      <c r="H69" s="4">
        <f ca="1">$B69*('Updated Population'!H$59/'Updated Population'!$B$59)*('Total Trip Tables Sup #1'!H179/'Total Trip Tables Sup #1'!$B179)</f>
        <v>0.46260801045898559</v>
      </c>
      <c r="I69" s="1">
        <f ca="1">$B69*('Updated Population'!I$59/'Updated Population'!$B$59)*('Total Trip Tables Sup #1'!I179/'Total Trip Tables Sup #1'!$B179)</f>
        <v>0.45940746825373585</v>
      </c>
      <c r="J69" s="1">
        <f ca="1">$B69*('Updated Population'!J$59/'Updated Population'!$B$59)*('Total Trip Tables Sup #1'!J179/'Total Trip Tables Sup #1'!$B179)</f>
        <v>0.4547768131848145</v>
      </c>
      <c r="K69" s="1">
        <f ca="1">$B69*('Updated Population'!K$59/'Updated Population'!$B$59)*('Total Trip Tables Sup #1'!K179/'Total Trip Tables Sup #1'!$B179)</f>
        <v>0.44922533990906749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$B71*('Updated Population'!C$70/'Updated Population'!$B$70)*('Total Trip Tables Sup #1'!C170/'Total Trip Tables Sup #1'!$B170)</f>
        <v>23.683731016138193</v>
      </c>
      <c r="D71" s="4">
        <f ca="1">$B71*('Updated Population'!D$70/'Updated Population'!$B$70)*('Total Trip Tables Sup #1'!D170/'Total Trip Tables Sup #1'!$B170)</f>
        <v>23.567439541263006</v>
      </c>
      <c r="E71" s="4">
        <f ca="1">$B71*('Updated Population'!E$70/'Updated Population'!$B$70)*('Total Trip Tables Sup #1'!E170/'Total Trip Tables Sup #1'!$B170)</f>
        <v>23.150006150322575</v>
      </c>
      <c r="F71" s="4">
        <f ca="1">$B71*('Updated Population'!F$70/'Updated Population'!$B$70)*('Total Trip Tables Sup #1'!F170/'Total Trip Tables Sup #1'!$B170)</f>
        <v>22.549992417507145</v>
      </c>
      <c r="G71" s="4">
        <f ca="1">$B71*('Updated Population'!G$70/'Updated Population'!$B$70)*('Total Trip Tables Sup #1'!G170/'Total Trip Tables Sup #1'!$B170)</f>
        <v>21.918975316760989</v>
      </c>
      <c r="H71" s="4">
        <f ca="1">$B71*('Updated Population'!H$70/'Updated Population'!$B$70)*('Total Trip Tables Sup #1'!H170/'Total Trip Tables Sup #1'!$B170)</f>
        <v>21.20238591468495</v>
      </c>
      <c r="I71" s="1">
        <f ca="1">$B71*('Updated Population'!I$70/'Updated Population'!$B$70)*('Total Trip Tables Sup #1'!I170/'Total Trip Tables Sup #1'!$B170)</f>
        <v>21.34177633350922</v>
      </c>
      <c r="J71" s="1">
        <f ca="1">$B71*('Updated Population'!J$70/'Updated Population'!$B$70)*('Total Trip Tables Sup #1'!J170/'Total Trip Tables Sup #1'!$B170)</f>
        <v>21.413701971853609</v>
      </c>
      <c r="K71" s="1">
        <f ca="1">$B71*('Updated Population'!K$70/'Updated Population'!$B$70)*('Total Trip Tables Sup #1'!K170/'Total Trip Tables Sup #1'!$B170)</f>
        <v>21.439695490285658</v>
      </c>
    </row>
    <row r="72" spans="1:11" x14ac:dyDescent="0.2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$B72*('Updated Population'!C$70/'Updated Population'!$B$70)*('Total Trip Tables Sup #1'!C171/'Total Trip Tables Sup #1'!$B171)</f>
        <v>2.1207013866750066</v>
      </c>
      <c r="D72" s="4">
        <f ca="1">$B72*('Updated Population'!D$70/'Updated Population'!$B$70)*('Total Trip Tables Sup #1'!D171/'Total Trip Tables Sup #1'!$B171)</f>
        <v>2.1386788785863335</v>
      </c>
      <c r="E72" s="4">
        <f ca="1">$B72*('Updated Population'!E$70/'Updated Population'!$B$70)*('Total Trip Tables Sup #1'!E171/'Total Trip Tables Sup #1'!$B171)</f>
        <v>2.0730903171652946</v>
      </c>
      <c r="F72" s="4">
        <f ca="1">$B72*('Updated Population'!F$70/'Updated Population'!$B$70)*('Total Trip Tables Sup #1'!F171/'Total Trip Tables Sup #1'!$B171)</f>
        <v>2.0155662499003695</v>
      </c>
      <c r="G72" s="4">
        <f ca="1">$B72*('Updated Population'!G$70/'Updated Population'!$B$70)*('Total Trip Tables Sup #1'!G171/'Total Trip Tables Sup #1'!$B171)</f>
        <v>1.9645856158221608</v>
      </c>
      <c r="H72" s="4">
        <f ca="1">$B72*('Updated Population'!H$70/'Updated Population'!$B$70)*('Total Trip Tables Sup #1'!H171/'Total Trip Tables Sup #1'!$B171)</f>
        <v>1.916266244730674</v>
      </c>
      <c r="I72" s="1">
        <f ca="1">$B72*('Updated Population'!I$70/'Updated Population'!$B$70)*('Total Trip Tables Sup #1'!I171/'Total Trip Tables Sup #1'!$B171)</f>
        <v>1.9288643153207776</v>
      </c>
      <c r="J72" s="1">
        <f ca="1">$B72*('Updated Population'!J$70/'Updated Population'!$B$70)*('Total Trip Tables Sup #1'!J171/'Total Trip Tables Sup #1'!$B171)</f>
        <v>1.9353649362152685</v>
      </c>
      <c r="K72" s="1">
        <f ca="1">$B72*('Updated Population'!K$70/'Updated Population'!$B$70)*('Total Trip Tables Sup #1'!K171/'Total Trip Tables Sup #1'!$B171)</f>
        <v>1.937714223797975</v>
      </c>
    </row>
    <row r="73" spans="1:11" x14ac:dyDescent="0.2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$B73*('Updated Population'!C$70/'Updated Population'!$B$70)*('Total Trip Tables Sup #1'!C172/'Total Trip Tables Sup #1'!$B172)</f>
        <v>95.32662993230565</v>
      </c>
      <c r="D73" s="4">
        <f ca="1">$B73*('Updated Population'!D$70/'Updated Population'!$B$70)*('Total Trip Tables Sup #1'!D172/'Total Trip Tables Sup #1'!$B172)</f>
        <v>96.606496973706783</v>
      </c>
      <c r="E73" s="4">
        <f ca="1">$B73*('Updated Population'!E$70/'Updated Population'!$B$70)*('Total Trip Tables Sup #1'!E172/'Total Trip Tables Sup #1'!$B172)</f>
        <v>98.125299291850993</v>
      </c>
      <c r="F73" s="4">
        <f ca="1">$B73*('Updated Population'!F$70/'Updated Population'!$B$70)*('Total Trip Tables Sup #1'!F172/'Total Trip Tables Sup #1'!$B172)</f>
        <v>98.696117758200685</v>
      </c>
      <c r="G73" s="4">
        <f ca="1">$B73*('Updated Population'!G$70/'Updated Population'!$B$70)*('Total Trip Tables Sup #1'!G172/'Total Trip Tables Sup #1'!$B172)</f>
        <v>98.267889674865927</v>
      </c>
      <c r="H73" s="4">
        <f ca="1">$B73*('Updated Population'!H$70/'Updated Population'!$B$70)*('Total Trip Tables Sup #1'!H172/'Total Trip Tables Sup #1'!$B172)</f>
        <v>97.175974827052286</v>
      </c>
      <c r="I73" s="1">
        <f ca="1">$B73*('Updated Population'!I$70/'Updated Population'!$B$70)*('Total Trip Tables Sup #1'!I172/'Total Trip Tables Sup #1'!$B172)</f>
        <v>97.814836881790072</v>
      </c>
      <c r="J73" s="1">
        <f ca="1">$B73*('Updated Population'!J$70/'Updated Population'!$B$70)*('Total Trip Tables Sup #1'!J172/'Total Trip Tables Sup #1'!$B172)</f>
        <v>98.144490537246526</v>
      </c>
      <c r="K73" s="1">
        <f ca="1">$B73*('Updated Population'!K$70/'Updated Population'!$B$70)*('Total Trip Tables Sup #1'!K172/'Total Trip Tables Sup #1'!$B172)</f>
        <v>98.263625501725684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$B74*('Updated Population'!C$70/'Updated Population'!$B$70)*('Total Trip Tables Sup #1'!C173/'Total Trip Tables Sup #1'!$B173)</f>
        <v>45.451896985451398</v>
      </c>
      <c r="D74" s="4">
        <f ca="1">$B74*('Updated Population'!D$70/'Updated Population'!$B$70)*('Total Trip Tables Sup #1'!D173/'Total Trip Tables Sup #1'!$B173)</f>
        <v>45.217690724074821</v>
      </c>
      <c r="E74" s="4">
        <f ca="1">$B74*('Updated Population'!E$70/'Updated Population'!$B$70)*('Total Trip Tables Sup #1'!E173/'Total Trip Tables Sup #1'!$B173)</f>
        <v>45.062938848517973</v>
      </c>
      <c r="F74" s="4">
        <f ca="1">$B74*('Updated Population'!F$70/'Updated Population'!$B$70)*('Total Trip Tables Sup #1'!F173/'Total Trip Tables Sup #1'!$B173)</f>
        <v>44.697972458790915</v>
      </c>
      <c r="G74" s="4">
        <f ca="1">$B74*('Updated Population'!G$70/'Updated Population'!$B$70)*('Total Trip Tables Sup #1'!G173/'Total Trip Tables Sup #1'!$B173)</f>
        <v>44.112793568307843</v>
      </c>
      <c r="H74" s="4">
        <f ca="1">$B74*('Updated Population'!H$70/'Updated Population'!$B$70)*('Total Trip Tables Sup #1'!H173/'Total Trip Tables Sup #1'!$B173)</f>
        <v>43.345743528581529</v>
      </c>
      <c r="I74" s="1">
        <f ca="1">$B74*('Updated Population'!I$70/'Updated Population'!$B$70)*('Total Trip Tables Sup #1'!I173/'Total Trip Tables Sup #1'!$B173)</f>
        <v>43.630710577526415</v>
      </c>
      <c r="J74" s="1">
        <f ca="1">$B74*('Updated Population'!J$70/'Updated Population'!$B$70)*('Total Trip Tables Sup #1'!J173/'Total Trip Tables Sup #1'!$B173)</f>
        <v>43.777753947331611</v>
      </c>
      <c r="K74" s="1">
        <f ca="1">$B74*('Updated Population'!K$70/'Updated Population'!$B$70)*('Total Trip Tables Sup #1'!K173/'Total Trip Tables Sup #1'!$B173)</f>
        <v>43.830894588573344</v>
      </c>
    </row>
    <row r="75" spans="1:11" x14ac:dyDescent="0.2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$B75*('Updated Population'!C$70/'Updated Population'!$B$70)*('Total Trip Tables Sup #1'!C174/'Total Trip Tables Sup #1'!$B174)</f>
        <v>0.62599705977514819</v>
      </c>
      <c r="D75" s="4">
        <f ca="1">$B75*('Updated Population'!D$70/'Updated Population'!$B$70)*('Total Trip Tables Sup #1'!D174/'Total Trip Tables Sup #1'!$B174)</f>
        <v>0.67278583883835585</v>
      </c>
      <c r="E75" s="4">
        <f ca="1">$B75*('Updated Population'!E$70/'Updated Population'!$B$70)*('Total Trip Tables Sup #1'!E174/'Total Trip Tables Sup #1'!$B174)</f>
        <v>0.70369847617114711</v>
      </c>
      <c r="F75" s="4">
        <f ca="1">$B75*('Updated Population'!F$70/'Updated Population'!$B$70)*('Total Trip Tables Sup #1'!F174/'Total Trip Tables Sup #1'!$B174)</f>
        <v>0.72267005536774331</v>
      </c>
      <c r="G75" s="4">
        <f ca="1">$B75*('Updated Population'!G$70/'Updated Population'!$B$70)*('Total Trip Tables Sup #1'!G174/'Total Trip Tables Sup #1'!$B174)</f>
        <v>0.73046496915285175</v>
      </c>
      <c r="H75" s="4">
        <f ca="1">$B75*('Updated Population'!H$70/'Updated Population'!$B$70)*('Total Trip Tables Sup #1'!H174/'Total Trip Tables Sup #1'!$B174)</f>
        <v>0.73207751194144466</v>
      </c>
      <c r="I75" s="1">
        <f ca="1">$B75*('Updated Population'!I$70/'Updated Population'!$B$70)*('Total Trip Tables Sup #1'!I174/'Total Trip Tables Sup #1'!$B174)</f>
        <v>0.73689039438835224</v>
      </c>
      <c r="J75" s="1">
        <f ca="1">$B75*('Updated Population'!J$70/'Updated Population'!$B$70)*('Total Trip Tables Sup #1'!J174/'Total Trip Tables Sup #1'!$B174)</f>
        <v>0.73937384802304384</v>
      </c>
      <c r="K75" s="1">
        <f ca="1">$B75*('Updated Population'!K$70/'Updated Population'!$B$70)*('Total Trip Tables Sup #1'!K174/'Total Trip Tables Sup #1'!$B174)</f>
        <v>0.74027135410452505</v>
      </c>
    </row>
    <row r="76" spans="1:11" x14ac:dyDescent="0.2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$B76*('Updated Population'!C$70/'Updated Population'!$B$70)*('Total Trip Tables Sup #1'!C175/'Total Trip Tables Sup #1'!$B175)</f>
        <v>1.0896183781635731</v>
      </c>
      <c r="D76" s="4">
        <f ca="1">$B76*('Updated Population'!D$70/'Updated Population'!$B$70)*('Total Trip Tables Sup #1'!D175/'Total Trip Tables Sup #1'!$B175)</f>
        <v>1.0776710028282031</v>
      </c>
      <c r="E76" s="4">
        <f ca="1">$B76*('Updated Population'!E$70/'Updated Population'!$B$70)*('Total Trip Tables Sup #1'!E175/'Total Trip Tables Sup #1'!$B175)</f>
        <v>1.0548448507668569</v>
      </c>
      <c r="F76" s="4">
        <f ca="1">$B76*('Updated Population'!F$70/'Updated Population'!$B$70)*('Total Trip Tables Sup #1'!F175/'Total Trip Tables Sup #1'!$B175)</f>
        <v>1.0198869281036913</v>
      </c>
      <c r="G76" s="4">
        <f ca="1">$B76*('Updated Population'!G$70/'Updated Population'!$B$70)*('Total Trip Tables Sup #1'!G175/'Total Trip Tables Sup #1'!$B175)</f>
        <v>0.96565275973560138</v>
      </c>
      <c r="H76" s="4">
        <f ca="1">$B76*('Updated Population'!H$70/'Updated Population'!$B$70)*('Total Trip Tables Sup #1'!H175/'Total Trip Tables Sup #1'!$B175)</f>
        <v>0.90735883972694809</v>
      </c>
      <c r="I76" s="1">
        <f ca="1">$B76*('Updated Population'!I$70/'Updated Population'!$B$70)*('Total Trip Tables Sup #1'!I175/'Total Trip Tables Sup #1'!$B175)</f>
        <v>0.91332407067795363</v>
      </c>
      <c r="J76" s="1">
        <f ca="1">$B76*('Updated Population'!J$70/'Updated Population'!$B$70)*('Total Trip Tables Sup #1'!J175/'Total Trip Tables Sup #1'!$B175)</f>
        <v>0.91640213764727452</v>
      </c>
      <c r="K76" s="1">
        <f ca="1">$B76*('Updated Population'!K$70/'Updated Population'!$B$70)*('Total Trip Tables Sup #1'!K175/'Total Trip Tables Sup #1'!$B175)</f>
        <v>0.91751453362100266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Trip Tables Sup #1'!C176/'Total Trip Tables Sup #1'!$B176)</f>
        <v>0</v>
      </c>
      <c r="D77" s="4">
        <f ca="1">$B77*('Updated Population'!D$70/'Updated Population'!$B$70)*('Total Trip Tables Sup #1'!D176/'Total Trip Tables Sup #1'!$B176)</f>
        <v>0</v>
      </c>
      <c r="E77" s="4">
        <f ca="1">$B77*('Updated Population'!E$70/'Updated Population'!$B$70)*('Total Trip Tables Sup #1'!E176/'Total Trip Tables Sup #1'!$B176)</f>
        <v>0</v>
      </c>
      <c r="F77" s="4">
        <f ca="1">$B77*('Updated Population'!F$70/'Updated Population'!$B$70)*('Total Trip Tables Sup #1'!F176/'Total Trip Tables Sup #1'!$B176)</f>
        <v>0</v>
      </c>
      <c r="G77" s="4">
        <f ca="1">$B77*('Updated Population'!G$70/'Updated Population'!$B$70)*('Total Trip Tables Sup #1'!G176/'Total Trip Tables Sup #1'!$B176)</f>
        <v>0</v>
      </c>
      <c r="H77" s="4">
        <f ca="1">$B77*('Updated Population'!H$70/'Updated Population'!$B$70)*('Total Trip Tables Sup #1'!H176/'Total Trip Tables Sup #1'!$B176)</f>
        <v>0</v>
      </c>
      <c r="I77" s="1">
        <f ca="1">$B77*('Updated Population'!I$70/'Updated Population'!$B$70)*('Total Trip Tables Sup #1'!I176/'Total Trip Tables Sup #1'!$B176)</f>
        <v>0</v>
      </c>
      <c r="J77" s="1">
        <f ca="1">$B77*('Updated Population'!J$70/'Updated Population'!$B$70)*('Total Trip Tables Sup #1'!J176/'Total Trip Tables Sup #1'!$B176)</f>
        <v>0</v>
      </c>
      <c r="K77" s="1">
        <f ca="1">$B77*('Updated Population'!K$70/'Updated Population'!$B$70)*('Total Trip Tables Sup #1'!K176/'Total Trip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OFFSET(Taranaki_Reference,49,5)</f>
        <v>1.2787514622</v>
      </c>
      <c r="C78" s="4">
        <f ca="1">$B78*('Updated Population'!C$70/'Updated Population'!$B$70)*('Total Trip Tables Sup #1'!C177/'Total Trip Tables Sup #1'!$B177)</f>
        <v>1.1826495621053217</v>
      </c>
      <c r="D78" s="4">
        <f ca="1">$B78*('Updated Population'!D$70/'Updated Population'!$B$70)*('Total Trip Tables Sup #1'!D177/'Total Trip Tables Sup #1'!$B177)</f>
        <v>1.1787781632371266</v>
      </c>
      <c r="E78" s="4">
        <f ca="1">$B78*('Updated Population'!E$70/'Updated Population'!$B$70)*('Total Trip Tables Sup #1'!E177/'Total Trip Tables Sup #1'!$B177)</f>
        <v>1.1626841472833134</v>
      </c>
      <c r="F78" s="4">
        <f ca="1">$B78*('Updated Population'!F$70/'Updated Population'!$B$70)*('Total Trip Tables Sup #1'!F177/'Total Trip Tables Sup #1'!$B177)</f>
        <v>1.1410265653360687</v>
      </c>
      <c r="G78" s="4">
        <f ca="1">$B78*('Updated Population'!G$70/'Updated Population'!$B$70)*('Total Trip Tables Sup #1'!G177/'Total Trip Tables Sup #1'!$B177)</f>
        <v>1.128934883876785</v>
      </c>
      <c r="H78" s="4">
        <f ca="1">$B78*('Updated Population'!H$70/'Updated Population'!$B$70)*('Total Trip Tables Sup #1'!H177/'Total Trip Tables Sup #1'!$B177)</f>
        <v>1.1153145085352998</v>
      </c>
      <c r="I78" s="1">
        <f ca="1">$B78*('Updated Population'!I$70/'Updated Population'!$B$70)*('Total Trip Tables Sup #1'!I177/'Total Trip Tables Sup #1'!$B177)</f>
        <v>1.1226468982527156</v>
      </c>
      <c r="J78" s="1">
        <f ca="1">$B78*('Updated Population'!J$70/'Updated Population'!$B$70)*('Total Trip Tables Sup #1'!J177/'Total Trip Tables Sup #1'!$B177)</f>
        <v>1.1264304209328495</v>
      </c>
      <c r="K78" s="1">
        <f ca="1">$B78*('Updated Population'!K$70/'Updated Population'!$B$70)*('Total Trip Tables Sup #1'!K177/'Total Trip Tables Sup #1'!$B177)</f>
        <v>1.1277977646059529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Trip Tables Sup #1'!C178/'Total Trip Tables Sup #1'!$B178)</f>
        <v>0</v>
      </c>
      <c r="D79" s="4">
        <f ca="1">$B79*('Updated Population'!D$70/'Updated Population'!$B$70)*('Total Trip Tables Sup #1'!D178/'Total Trip Tables Sup #1'!$B178)</f>
        <v>0</v>
      </c>
      <c r="E79" s="4">
        <f ca="1">$B79*('Updated Population'!E$70/'Updated Population'!$B$70)*('Total Trip Tables Sup #1'!E178/'Total Trip Tables Sup #1'!$B178)</f>
        <v>0</v>
      </c>
      <c r="F79" s="4">
        <f ca="1">$B79*('Updated Population'!F$70/'Updated Population'!$B$70)*('Total Trip Tables Sup #1'!F178/'Total Trip Tables Sup #1'!$B178)</f>
        <v>0</v>
      </c>
      <c r="G79" s="4">
        <f ca="1">$B79*('Updated Population'!G$70/'Updated Population'!$B$70)*('Total Trip Tables Sup #1'!G178/'Total Trip Tables Sup #1'!$B178)</f>
        <v>0</v>
      </c>
      <c r="H79" s="4">
        <f ca="1">$B79*('Updated Population'!H$70/'Updated Population'!$B$70)*('Total Trip Tables Sup #1'!H178/'Total Trip Tables Sup #1'!$B178)</f>
        <v>0</v>
      </c>
      <c r="I79" s="1">
        <f ca="1">$B79*('Updated Population'!I$70/'Updated Population'!$B$70)*('Total Trip Tables Sup #1'!I178/'Total Trip Tables Sup #1'!$B178)</f>
        <v>0</v>
      </c>
      <c r="J79" s="1">
        <f ca="1">$B79*('Updated Population'!J$70/'Updated Population'!$B$70)*('Total Trip Tables Sup #1'!J178/'Total Trip Tables Sup #1'!$B178)</f>
        <v>0</v>
      </c>
      <c r="K79" s="1">
        <f ca="1">$B79*('Updated Population'!K$70/'Updated Population'!$B$70)*('Total Trip Tables Sup #1'!K178/'Total Trip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$B80*('Updated Population'!C$70/'Updated Population'!$B$70)*('Total Trip Tables Sup #1'!C179/'Total Trip Tables Sup #1'!$B179)</f>
        <v>0.18037463013463279</v>
      </c>
      <c r="D80" s="4">
        <f ca="1">$B80*('Updated Population'!D$70/'Updated Population'!$B$70)*('Total Trip Tables Sup #1'!D179/'Total Trip Tables Sup #1'!$B179)</f>
        <v>0.18564777270960117</v>
      </c>
      <c r="E80" s="4">
        <f ca="1">$B80*('Updated Population'!E$70/'Updated Population'!$B$70)*('Total Trip Tables Sup #1'!E179/'Total Trip Tables Sup #1'!$B179)</f>
        <v>0.18719106700394106</v>
      </c>
      <c r="F80" s="4">
        <f ca="1">$B80*('Updated Population'!F$70/'Updated Population'!$B$70)*('Total Trip Tables Sup #1'!F179/'Total Trip Tables Sup #1'!$B179)</f>
        <v>0.18584561663230817</v>
      </c>
      <c r="G80" s="4">
        <f ca="1">$B80*('Updated Population'!G$70/'Updated Population'!$B$70)*('Total Trip Tables Sup #1'!G179/'Total Trip Tables Sup #1'!$B179)</f>
        <v>0.18226904825560528</v>
      </c>
      <c r="H80" s="4">
        <f ca="1">$B80*('Updated Population'!H$70/'Updated Population'!$B$70)*('Total Trip Tables Sup #1'!H179/'Total Trip Tables Sup #1'!$B179)</f>
        <v>0.17524008633254468</v>
      </c>
      <c r="I80" s="1">
        <f ca="1">$B80*('Updated Population'!I$70/'Updated Population'!$B$70)*('Total Trip Tables Sup #1'!I179/'Total Trip Tables Sup #1'!$B179)</f>
        <v>0.17639216370378885</v>
      </c>
      <c r="J80" s="1">
        <f ca="1">$B80*('Updated Population'!J$70/'Updated Population'!$B$70)*('Total Trip Tables Sup #1'!J179/'Total Trip Tables Sup #1'!$B179)</f>
        <v>0.17698663713351095</v>
      </c>
      <c r="K80" s="1">
        <f ca="1">$B80*('Updated Population'!K$70/'Updated Population'!$B$70)*('Total Trip Tables Sup #1'!K179/'Total Trip Tables Sup #1'!$B179)</f>
        <v>0.17720147646491677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$B82*('Updated Population'!C$81/'Updated Population'!$B$81)*('Total Trip Tables Sup #1'!C170/'Total Trip Tables Sup #1'!$B170)</f>
        <v>39.866603204248143</v>
      </c>
      <c r="D82" s="4">
        <f ca="1">$B82*('Updated Population'!D$81/'Updated Population'!$B$81)*('Total Trip Tables Sup #1'!D170/'Total Trip Tables Sup #1'!$B170)</f>
        <v>39.227312930250164</v>
      </c>
      <c r="E82" s="4">
        <f ca="1">$B82*('Updated Population'!E$81/'Updated Population'!$B$81)*('Total Trip Tables Sup #1'!E170/'Total Trip Tables Sup #1'!$B170)</f>
        <v>38.057335823295602</v>
      </c>
      <c r="F82" s="4">
        <f ca="1">$B82*('Updated Population'!F$81/'Updated Population'!$B$81)*('Total Trip Tables Sup #1'!F170/'Total Trip Tables Sup #1'!$B170)</f>
        <v>36.60970567078116</v>
      </c>
      <c r="G82" s="4">
        <f ca="1">$B82*('Updated Population'!G$81/'Updated Population'!$B$81)*('Total Trip Tables Sup #1'!G170/'Total Trip Tables Sup #1'!$B170)</f>
        <v>35.104003528298207</v>
      </c>
      <c r="H82" s="4">
        <f ca="1">$B82*('Updated Population'!H$81/'Updated Population'!$B$81)*('Total Trip Tables Sup #1'!H170/'Total Trip Tables Sup #1'!$B170)</f>
        <v>33.456724931801311</v>
      </c>
      <c r="I82" s="1">
        <f ca="1">$B82*('Updated Population'!I$81/'Updated Population'!$B$81)*('Total Trip Tables Sup #1'!I170/'Total Trip Tables Sup #1'!$B170)</f>
        <v>33.181158383969922</v>
      </c>
      <c r="J82" s="1">
        <f ca="1">$B82*('Updated Population'!J$81/'Updated Population'!$B$81)*('Total Trip Tables Sup #1'!J170/'Total Trip Tables Sup #1'!$B170)</f>
        <v>32.803110148472285</v>
      </c>
      <c r="K82" s="1">
        <f ca="1">$B82*('Updated Population'!K$81/'Updated Population'!$B$81)*('Total Trip Tables Sup #1'!K170/'Total Trip Tables Sup #1'!$B170)</f>
        <v>32.359676382016708</v>
      </c>
    </row>
    <row r="83" spans="1:11" x14ac:dyDescent="0.2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$B83*('Updated Population'!C$81/'Updated Population'!$B$81)*('Total Trip Tables Sup #1'!C171/'Total Trip Tables Sup #1'!$B171)</f>
        <v>4.5512007661913998</v>
      </c>
      <c r="D83" s="4">
        <f ca="1">$B83*('Updated Population'!D$81/'Updated Population'!$B$81)*('Total Trip Tables Sup #1'!D171/'Total Trip Tables Sup #1'!$B171)</f>
        <v>4.5384661297820816</v>
      </c>
      <c r="E83" s="4">
        <f ca="1">$B83*('Updated Population'!E$81/'Updated Population'!$B$81)*('Total Trip Tables Sup #1'!E171/'Total Trip Tables Sup #1'!$B171)</f>
        <v>4.3450307559424308</v>
      </c>
      <c r="F83" s="4">
        <f ca="1">$B83*('Updated Population'!F$81/'Updated Population'!$B$81)*('Total Trip Tables Sup #1'!F171/'Total Trip Tables Sup #1'!$B171)</f>
        <v>4.1719036963858631</v>
      </c>
      <c r="G83" s="4">
        <f ca="1">$B83*('Updated Population'!G$81/'Updated Population'!$B$81)*('Total Trip Tables Sup #1'!G171/'Total Trip Tables Sup #1'!$B171)</f>
        <v>4.0113884695883941</v>
      </c>
      <c r="H83" s="4">
        <f ca="1">$B83*('Updated Population'!H$81/'Updated Population'!$B$81)*('Total Trip Tables Sup #1'!H171/'Total Trip Tables Sup #1'!$B171)</f>
        <v>3.8551554990901602</v>
      </c>
      <c r="I83" s="1">
        <f ca="1">$B83*('Updated Population'!I$81/'Updated Population'!$B$81)*('Total Trip Tables Sup #1'!I171/'Total Trip Tables Sup #1'!$B171)</f>
        <v>3.8234024839817486</v>
      </c>
      <c r="J83" s="1">
        <f ca="1">$B83*('Updated Population'!J$81/'Updated Population'!$B$81)*('Total Trip Tables Sup #1'!J171/'Total Trip Tables Sup #1'!$B171)</f>
        <v>3.7798406967186224</v>
      </c>
      <c r="K83" s="1">
        <f ca="1">$B83*('Updated Population'!K$81/'Updated Population'!$B$81)*('Total Trip Tables Sup #1'!K171/'Total Trip Tables Sup #1'!$B171)</f>
        <v>3.7287446576795902</v>
      </c>
    </row>
    <row r="84" spans="1:11" x14ac:dyDescent="0.2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$B84*('Updated Population'!C$81/'Updated Population'!$B$81)*('Total Trip Tables Sup #1'!C172/'Total Trip Tables Sup #1'!$B172)</f>
        <v>186.13527585360887</v>
      </c>
      <c r="D84" s="4">
        <f ca="1">$B84*('Updated Population'!D$81/'Updated Population'!$B$81)*('Total Trip Tables Sup #1'!D172/'Total Trip Tables Sup #1'!$B172)</f>
        <v>186.5253342078407</v>
      </c>
      <c r="E84" s="4">
        <f ca="1">$B84*('Updated Population'!E$81/'Updated Population'!$B$81)*('Total Trip Tables Sup #1'!E172/'Total Trip Tables Sup #1'!$B172)</f>
        <v>187.12146118838643</v>
      </c>
      <c r="F84" s="4">
        <f ca="1">$B84*('Updated Population'!F$81/'Updated Population'!$B$81)*('Total Trip Tables Sup #1'!F172/'Total Trip Tables Sup #1'!$B172)</f>
        <v>185.86826326709686</v>
      </c>
      <c r="G84" s="4">
        <f ca="1">$B84*('Updated Population'!G$81/'Updated Population'!$B$81)*('Total Trip Tables Sup #1'!G172/'Total Trip Tables Sup #1'!$B172)</f>
        <v>182.55904930737179</v>
      </c>
      <c r="H84" s="4">
        <f ca="1">$B84*('Updated Population'!H$81/'Updated Population'!$B$81)*('Total Trip Tables Sup #1'!H172/'Total Trip Tables Sup #1'!$B172)</f>
        <v>177.8741880315703</v>
      </c>
      <c r="I84" s="1">
        <f ca="1">$B84*('Updated Population'!I$81/'Updated Population'!$B$81)*('Total Trip Tables Sup #1'!I172/'Total Trip Tables Sup #1'!$B172)</f>
        <v>176.40912604346221</v>
      </c>
      <c r="J84" s="1">
        <f ca="1">$B84*('Updated Population'!J$81/'Updated Population'!$B$81)*('Total Trip Tables Sup #1'!J172/'Total Trip Tables Sup #1'!$B172)</f>
        <v>174.39921553778709</v>
      </c>
      <c r="K84" s="1">
        <f ca="1">$B84*('Updated Population'!K$81/'Updated Population'!$B$81)*('Total Trip Tables Sup #1'!K172/'Total Trip Tables Sup #1'!$B172)</f>
        <v>172.04167990586711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$B85*('Updated Population'!C$81/'Updated Population'!$B$81)*('Total Trip Tables Sup #1'!C173/'Total Trip Tables Sup #1'!$B173)</f>
        <v>83.330559533168184</v>
      </c>
      <c r="D85" s="4">
        <f ca="1">$B85*('Updated Population'!D$81/'Updated Population'!$B$81)*('Total Trip Tables Sup #1'!D173/'Total Trip Tables Sup #1'!$B173)</f>
        <v>81.974298358628204</v>
      </c>
      <c r="E85" s="4">
        <f ca="1">$B85*('Updated Population'!E$81/'Updated Population'!$B$81)*('Total Trip Tables Sup #1'!E173/'Total Trip Tables Sup #1'!$B173)</f>
        <v>80.686328485598267</v>
      </c>
      <c r="F85" s="4">
        <f ca="1">$B85*('Updated Population'!F$81/'Updated Population'!$B$81)*('Total Trip Tables Sup #1'!F173/'Total Trip Tables Sup #1'!$B173)</f>
        <v>79.037069880662898</v>
      </c>
      <c r="G85" s="4">
        <f ca="1">$B85*('Updated Population'!G$81/'Updated Population'!$B$81)*('Total Trip Tables Sup #1'!G173/'Total Trip Tables Sup #1'!$B173)</f>
        <v>76.947432656757854</v>
      </c>
      <c r="H85" s="4">
        <f ca="1">$B85*('Updated Population'!H$81/'Updated Population'!$B$81)*('Total Trip Tables Sup #1'!H173/'Total Trip Tables Sup #1'!$B173)</f>
        <v>74.496920126107241</v>
      </c>
      <c r="I85" s="1">
        <f ca="1">$B85*('Updated Population'!I$81/'Updated Population'!$B$81)*('Total Trip Tables Sup #1'!I173/'Total Trip Tables Sup #1'!$B173)</f>
        <v>73.883325724830115</v>
      </c>
      <c r="J85" s="1">
        <f ca="1">$B85*('Updated Population'!J$81/'Updated Population'!$B$81)*('Total Trip Tables Sup #1'!J173/'Total Trip Tables Sup #1'!$B173)</f>
        <v>73.041538931260447</v>
      </c>
      <c r="K85" s="1">
        <f ca="1">$B85*('Updated Population'!K$81/'Updated Population'!$B$81)*('Total Trip Tables Sup #1'!K173/'Total Trip Tables Sup #1'!$B173)</f>
        <v>72.054160461066544</v>
      </c>
    </row>
    <row r="86" spans="1:11" x14ac:dyDescent="0.2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$B86*('Updated Population'!C$81/'Updated Population'!$B$81)*('Total Trip Tables Sup #1'!C174/'Total Trip Tables Sup #1'!$B174)</f>
        <v>1.1038937401023472</v>
      </c>
      <c r="D86" s="4">
        <f ca="1">$B86*('Updated Population'!D$81/'Updated Population'!$B$81)*('Total Trip Tables Sup #1'!D174/'Total Trip Tables Sup #1'!$B174)</f>
        <v>1.1731373544009256</v>
      </c>
      <c r="E86" s="4">
        <f ca="1">$B86*('Updated Population'!E$81/'Updated Population'!$B$81)*('Total Trip Tables Sup #1'!E174/'Total Trip Tables Sup #1'!$B174)</f>
        <v>1.2119082613672589</v>
      </c>
      <c r="F86" s="4">
        <f ca="1">$B86*('Updated Population'!F$81/'Updated Population'!$B$81)*('Total Trip Tables Sup #1'!F174/'Total Trip Tables Sup #1'!$B174)</f>
        <v>1.229095872836897</v>
      </c>
      <c r="G86" s="4">
        <f ca="1">$B86*('Updated Population'!G$81/'Updated Population'!$B$81)*('Total Trip Tables Sup #1'!G174/'Total Trip Tables Sup #1'!$B174)</f>
        <v>1.225551762598589</v>
      </c>
      <c r="H86" s="4">
        <f ca="1">$B86*('Updated Population'!H$81/'Updated Population'!$B$81)*('Total Trip Tables Sup #1'!H174/'Total Trip Tables Sup #1'!$B174)</f>
        <v>1.2101845960109561</v>
      </c>
      <c r="I86" s="1">
        <f ca="1">$B86*('Updated Population'!I$81/'Updated Population'!$B$81)*('Total Trip Tables Sup #1'!I174/'Total Trip Tables Sup #1'!$B174)</f>
        <v>1.2002169021604301</v>
      </c>
      <c r="J86" s="1">
        <f ca="1">$B86*('Updated Population'!J$81/'Updated Population'!$B$81)*('Total Trip Tables Sup #1'!J174/'Total Trip Tables Sup #1'!$B174)</f>
        <v>1.1865422776393224</v>
      </c>
      <c r="K86" s="1">
        <f ca="1">$B86*('Updated Population'!K$81/'Updated Population'!$B$81)*('Total Trip Tables Sup #1'!K174/'Total Trip Tables Sup #1'!$B174)</f>
        <v>1.1705025512581673</v>
      </c>
    </row>
    <row r="87" spans="1:11" x14ac:dyDescent="0.2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$B87*('Updated Population'!C$81/'Updated Population'!$B$81)*('Total Trip Tables Sup #1'!C175/'Total Trip Tables Sup #1'!$B175)</f>
        <v>0.78225895077516627</v>
      </c>
      <c r="D87" s="4">
        <f ca="1">$B87*('Updated Population'!D$81/'Updated Population'!$B$81)*('Total Trip Tables Sup #1'!D175/'Total Trip Tables Sup #1'!$B175)</f>
        <v>0.76503158111427316</v>
      </c>
      <c r="E87" s="4">
        <f ca="1">$B87*('Updated Population'!E$81/'Updated Population'!$B$81)*('Total Trip Tables Sup #1'!E175/'Total Trip Tables Sup #1'!$B175)</f>
        <v>0.73959312740015204</v>
      </c>
      <c r="F87" s="4">
        <f ca="1">$B87*('Updated Population'!F$81/'Updated Population'!$B$81)*('Total Trip Tables Sup #1'!F175/'Total Trip Tables Sup #1'!$B175)</f>
        <v>0.70618562104629456</v>
      </c>
      <c r="G87" s="4">
        <f ca="1">$B87*('Updated Population'!G$81/'Updated Population'!$B$81)*('Total Trip Tables Sup #1'!G175/'Total Trip Tables Sup #1'!$B175)</f>
        <v>0.65959050589205892</v>
      </c>
      <c r="H87" s="4">
        <f ca="1">$B87*('Updated Population'!H$81/'Updated Population'!$B$81)*('Total Trip Tables Sup #1'!H175/'Total Trip Tables Sup #1'!$B175)</f>
        <v>0.61065339107211924</v>
      </c>
      <c r="I87" s="1">
        <f ca="1">$B87*('Updated Population'!I$81/'Updated Population'!$B$81)*('Total Trip Tables Sup #1'!I175/'Total Trip Tables Sup #1'!$B175)</f>
        <v>0.60562374016509568</v>
      </c>
      <c r="J87" s="1">
        <f ca="1">$B87*('Updated Population'!J$81/'Updated Population'!$B$81)*('Total Trip Tables Sup #1'!J175/'Total Trip Tables Sup #1'!$B175)</f>
        <v>0.59872358967319761</v>
      </c>
      <c r="K87" s="1">
        <f ca="1">$B87*('Updated Population'!K$81/'Updated Population'!$B$81)*('Total Trip Tables Sup #1'!K175/'Total Trip Tables Sup #1'!$B175)</f>
        <v>0.59063002003199838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Trip Tables Sup #1'!C176/'Total Trip Tables Sup #1'!$B176)</f>
        <v>0</v>
      </c>
      <c r="D88" s="4">
        <f ca="1">$B88*('Updated Population'!D$81/'Updated Population'!$B$81)*('Total Trip Tables Sup #1'!D176/'Total Trip Tables Sup #1'!$B176)</f>
        <v>0</v>
      </c>
      <c r="E88" s="4">
        <f ca="1">$B88*('Updated Population'!E$81/'Updated Population'!$B$81)*('Total Trip Tables Sup #1'!E176/'Total Trip Tables Sup #1'!$B176)</f>
        <v>0</v>
      </c>
      <c r="F88" s="4">
        <f ca="1">$B88*('Updated Population'!F$81/'Updated Population'!$B$81)*('Total Trip Tables Sup #1'!F176/'Total Trip Tables Sup #1'!$B176)</f>
        <v>0</v>
      </c>
      <c r="G88" s="4">
        <f ca="1">$B88*('Updated Population'!G$81/'Updated Population'!$B$81)*('Total Trip Tables Sup #1'!G176/'Total Trip Tables Sup #1'!$B176)</f>
        <v>0</v>
      </c>
      <c r="H88" s="4">
        <f ca="1">$B88*('Updated Population'!H$81/'Updated Population'!$B$81)*('Total Trip Tables Sup #1'!H176/'Total Trip Tables Sup #1'!$B176)</f>
        <v>0</v>
      </c>
      <c r="I88" s="1">
        <f ca="1">$B88*('Updated Population'!I$81/'Updated Population'!$B$81)*('Total Trip Tables Sup #1'!I176/'Total Trip Tables Sup #1'!$B176)</f>
        <v>0</v>
      </c>
      <c r="J88" s="1">
        <f ca="1">$B88*('Updated Population'!J$81/'Updated Population'!$B$81)*('Total Trip Tables Sup #1'!J176/'Total Trip Tables Sup #1'!$B176)</f>
        <v>0</v>
      </c>
      <c r="K88" s="1">
        <f ca="1">$B88*('Updated Population'!K$81/'Updated Population'!$B$81)*('Total Trip Tables Sup #1'!K176/'Total Trip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OFFSET(Manawatu_Reference,42,5)</f>
        <v>5.2110099151</v>
      </c>
      <c r="C89" s="4">
        <f ca="1">$B89*('Updated Population'!C$81/'Updated Population'!$B$81)*('Total Trip Tables Sup #1'!C177/'Total Trip Tables Sup #1'!$B177)</f>
        <v>4.7817366314863134</v>
      </c>
      <c r="D89" s="4">
        <f ca="1">$B89*('Updated Population'!D$81/'Updated Population'!$B$81)*('Total Trip Tables Sup #1'!D177/'Total Trip Tables Sup #1'!$B177)</f>
        <v>4.7127966802040948</v>
      </c>
      <c r="E89" s="4">
        <f ca="1">$B89*('Updated Population'!E$81/'Updated Population'!$B$81)*('Total Trip Tables Sup #1'!E177/'Total Trip Tables Sup #1'!$B177)</f>
        <v>4.591128902238184</v>
      </c>
      <c r="F89" s="4">
        <f ca="1">$B89*('Updated Population'!F$81/'Updated Population'!$B$81)*('Total Trip Tables Sup #1'!F177/'Total Trip Tables Sup #1'!$B177)</f>
        <v>4.4495496416709974</v>
      </c>
      <c r="G89" s="4">
        <f ca="1">$B89*('Updated Population'!G$81/'Updated Population'!$B$81)*('Total Trip Tables Sup #1'!G177/'Total Trip Tables Sup #1'!$B177)</f>
        <v>4.3428592897055571</v>
      </c>
      <c r="H89" s="4">
        <f ca="1">$B89*('Updated Population'!H$81/'Updated Population'!$B$81)*('Total Trip Tables Sup #1'!H177/'Total Trip Tables Sup #1'!$B177)</f>
        <v>4.2273334480893707</v>
      </c>
      <c r="I89" s="1">
        <f ca="1">$B89*('Updated Population'!I$81/'Updated Population'!$B$81)*('Total Trip Tables Sup #1'!I177/'Total Trip Tables Sup #1'!$B177)</f>
        <v>4.1925149867128706</v>
      </c>
      <c r="J89" s="1">
        <f ca="1">$B89*('Updated Population'!J$81/'Updated Population'!$B$81)*('Total Trip Tables Sup #1'!J177/'Total Trip Tables Sup #1'!$B177)</f>
        <v>4.1447477305284108</v>
      </c>
      <c r="K89" s="1">
        <f ca="1">$B89*('Updated Population'!K$81/'Updated Population'!$B$81)*('Total Trip Tables Sup #1'!K177/'Total Trip Tables Sup #1'!$B177)</f>
        <v>4.0887188634838623</v>
      </c>
    </row>
    <row r="90" spans="1:11" x14ac:dyDescent="0.2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$B90*('Updated Population'!C$81/'Updated Population'!$B$81)*('Total Trip Tables Sup #1'!C178/'Total Trip Tables Sup #1'!$B178)</f>
        <v>0.12582319898905844</v>
      </c>
      <c r="D90" s="4">
        <f ca="1">$B90*('Updated Population'!D$81/'Updated Population'!$B$81)*('Total Trip Tables Sup #1'!D178/'Total Trip Tables Sup #1'!$B178)</f>
        <v>0.12764004151423286</v>
      </c>
      <c r="E90" s="4">
        <f ca="1">$B90*('Updated Population'!E$81/'Updated Population'!$B$81)*('Total Trip Tables Sup #1'!E178/'Total Trip Tables Sup #1'!$B178)</f>
        <v>0.12967402674521933</v>
      </c>
      <c r="F90" s="4">
        <f ca="1">$B90*('Updated Population'!F$81/'Updated Population'!$B$81)*('Total Trip Tables Sup #1'!F178/'Total Trip Tables Sup #1'!$B178)</f>
        <v>0.12873062595020249</v>
      </c>
      <c r="G90" s="4">
        <f ca="1">$B90*('Updated Population'!G$81/'Updated Population'!$B$81)*('Total Trip Tables Sup #1'!G178/'Total Trip Tables Sup #1'!$B178)</f>
        <v>0.12932398804157752</v>
      </c>
      <c r="H90" s="4">
        <f ca="1">$B90*('Updated Population'!H$81/'Updated Population'!$B$81)*('Total Trip Tables Sup #1'!H178/'Total Trip Tables Sup #1'!$B178)</f>
        <v>0.127573302299862</v>
      </c>
      <c r="I90" s="1">
        <f ca="1">$B90*('Updated Population'!I$81/'Updated Population'!$B$81)*('Total Trip Tables Sup #1'!I178/'Total Trip Tables Sup #1'!$B178)</f>
        <v>0.12652254390728523</v>
      </c>
      <c r="J90" s="1">
        <f ca="1">$B90*('Updated Population'!J$81/'Updated Population'!$B$81)*('Total Trip Tables Sup #1'!J178/'Total Trip Tables Sup #1'!$B178)</f>
        <v>0.12508101423187976</v>
      </c>
      <c r="K90" s="1">
        <f ca="1">$B90*('Updated Population'!K$81/'Updated Population'!$B$81)*('Total Trip Tables Sup #1'!K178/'Total Trip Tables Sup #1'!$B178)</f>
        <v>0.12339016403499653</v>
      </c>
    </row>
    <row r="91" spans="1:11" x14ac:dyDescent="0.2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$B91*('Updated Population'!C$81/'Updated Population'!$B$81)*('Total Trip Tables Sup #1'!C179/'Total Trip Tables Sup #1'!$B179)</f>
        <v>0.25103601463898378</v>
      </c>
      <c r="D91" s="4">
        <f ca="1">$B91*('Updated Population'!D$81/'Updated Population'!$B$81)*('Total Trip Tables Sup #1'!D179/'Total Trip Tables Sup #1'!$B179)</f>
        <v>0.25548615243778572</v>
      </c>
      <c r="E91" s="4">
        <f ca="1">$B91*('Updated Population'!E$81/'Updated Population'!$B$81)*('Total Trip Tables Sup #1'!E179/'Total Trip Tables Sup #1'!$B179)</f>
        <v>0.25443324451701327</v>
      </c>
      <c r="F91" s="4">
        <f ca="1">$B91*('Updated Population'!F$81/'Updated Population'!$B$81)*('Total Trip Tables Sup #1'!F179/'Total Trip Tables Sup #1'!$B179)</f>
        <v>0.24946155424032432</v>
      </c>
      <c r="G91" s="4">
        <f ca="1">$B91*('Updated Population'!G$81/'Updated Population'!$B$81)*('Total Trip Tables Sup #1'!G179/'Total Trip Tables Sup #1'!$B179)</f>
        <v>0.24135193899900487</v>
      </c>
      <c r="H91" s="4">
        <f ca="1">$B91*('Updated Population'!H$81/'Updated Population'!$B$81)*('Total Trip Tables Sup #1'!H179/'Total Trip Tables Sup #1'!$B179)</f>
        <v>0.22863020914063187</v>
      </c>
      <c r="I91" s="1">
        <f ca="1">$B91*('Updated Population'!I$81/'Updated Population'!$B$81)*('Total Trip Tables Sup #1'!I179/'Total Trip Tables Sup #1'!$B179)</f>
        <v>0.22674709483128816</v>
      </c>
      <c r="J91" s="1">
        <f ca="1">$B91*('Updated Population'!J$81/'Updated Population'!$B$81)*('Total Trip Tables Sup #1'!J179/'Total Trip Tables Sup #1'!$B179)</f>
        <v>0.22416366063911125</v>
      </c>
      <c r="K91" s="1">
        <f ca="1">$B91*('Updated Population'!K$81/'Updated Population'!$B$81)*('Total Trip Tables Sup #1'!K179/'Total Trip Tables Sup #1'!$B179)</f>
        <v>0.22113340723052402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$B93*('Updated Population'!C$92/'Updated Population'!$B$92)*('Total Trip Tables Sup #1'!C170/'Total Trip Tables Sup #1'!$B170)</f>
        <v>187.02159591417561</v>
      </c>
      <c r="D93" s="4">
        <f ca="1">$B93*('Updated Population'!D$92/'Updated Population'!$B$92)*('Total Trip Tables Sup #1'!D170/'Total Trip Tables Sup #1'!$B170)</f>
        <v>187.01372073213651</v>
      </c>
      <c r="E93" s="4">
        <f ca="1">$B93*('Updated Population'!E$92/'Updated Population'!$B$92)*('Total Trip Tables Sup #1'!E170/'Total Trip Tables Sup #1'!$B170)</f>
        <v>183.92324745624961</v>
      </c>
      <c r="F93" s="4">
        <f ca="1">$B93*('Updated Population'!F$92/'Updated Population'!$B$92)*('Total Trip Tables Sup #1'!F170/'Total Trip Tables Sup #1'!$B170)</f>
        <v>179.5395186528452</v>
      </c>
      <c r="G93" s="4">
        <f ca="1">$B93*('Updated Population'!G$92/'Updated Population'!$B$92)*('Total Trip Tables Sup #1'!G170/'Total Trip Tables Sup #1'!$B170)</f>
        <v>174.75814482245605</v>
      </c>
      <c r="H93" s="4">
        <f ca="1">$B93*('Updated Population'!H$92/'Updated Population'!$B$92)*('Total Trip Tables Sup #1'!H170/'Total Trip Tables Sup #1'!$B170)</f>
        <v>169.05139577832068</v>
      </c>
      <c r="I93" s="1">
        <f ca="1">$B93*('Updated Population'!I$92/'Updated Population'!$B$92)*('Total Trip Tables Sup #1'!I170/'Total Trip Tables Sup #1'!$B170)</f>
        <v>170.16938826391208</v>
      </c>
      <c r="J93" s="1">
        <f ca="1">$B93*('Updated Population'!J$92/'Updated Population'!$B$92)*('Total Trip Tables Sup #1'!J170/'Total Trip Tables Sup #1'!$B170)</f>
        <v>170.74951361979012</v>
      </c>
      <c r="K93" s="1">
        <f ca="1">$B93*('Updated Population'!K$92/'Updated Population'!$B$92)*('Total Trip Tables Sup #1'!K170/'Total Trip Tables Sup #1'!$B170)</f>
        <v>170.96341397456956</v>
      </c>
    </row>
    <row r="94" spans="1:11" x14ac:dyDescent="0.2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$B94*('Updated Population'!C$92/'Updated Population'!$B$92)*('Total Trip Tables Sup #1'!C171/'Total Trip Tables Sup #1'!$B171)</f>
        <v>8.0578166288710165</v>
      </c>
      <c r="D94" s="4">
        <f ca="1">$B94*('Updated Population'!D$92/'Updated Population'!$B$92)*('Total Trip Tables Sup #1'!D171/'Total Trip Tables Sup #1'!$B171)</f>
        <v>8.1658776871286651</v>
      </c>
      <c r="E94" s="4">
        <f ca="1">$B94*('Updated Population'!E$92/'Updated Population'!$B$92)*('Total Trip Tables Sup #1'!E171/'Total Trip Tables Sup #1'!$B171)</f>
        <v>7.9250125728854179</v>
      </c>
      <c r="F94" s="4">
        <f ca="1">$B94*('Updated Population'!F$92/'Updated Population'!$B$92)*('Total Trip Tables Sup #1'!F171/'Total Trip Tables Sup #1'!$B171)</f>
        <v>7.7215938600348384</v>
      </c>
      <c r="G94" s="4">
        <f ca="1">$B94*('Updated Population'!G$92/'Updated Population'!$B$92)*('Total Trip Tables Sup #1'!G171/'Total Trip Tables Sup #1'!$B171)</f>
        <v>7.5367543284492449</v>
      </c>
      <c r="H94" s="4">
        <f ca="1">$B94*('Updated Population'!H$92/'Updated Population'!$B$92)*('Total Trip Tables Sup #1'!H171/'Total Trip Tables Sup #1'!$B171)</f>
        <v>7.3516715575590226</v>
      </c>
      <c r="I94" s="1">
        <f ca="1">$B94*('Updated Population'!I$92/'Updated Population'!$B$92)*('Total Trip Tables Sup #1'!I171/'Total Trip Tables Sup #1'!$B171)</f>
        <v>7.4002905797211636</v>
      </c>
      <c r="J94" s="1">
        <f ca="1">$B94*('Updated Population'!J$92/'Updated Population'!$B$92)*('Total Trip Tables Sup #1'!J171/'Total Trip Tables Sup #1'!$B171)</f>
        <v>7.425518949229688</v>
      </c>
      <c r="K94" s="1">
        <f ca="1">$B94*('Updated Population'!K$92/'Updated Population'!$B$92)*('Total Trip Tables Sup #1'!K171/'Total Trip Tables Sup #1'!$B171)</f>
        <v>7.4348210028870607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$B95*('Updated Population'!C$92/'Updated Population'!$B$92)*('Total Trip Tables Sup #1'!C172/'Total Trip Tables Sup #1'!$B172)</f>
        <v>400.6067678854568</v>
      </c>
      <c r="D95" s="4">
        <f ca="1">$B95*('Updated Population'!D$92/'Updated Population'!$B$92)*('Total Trip Tables Sup #1'!D172/'Total Trip Tables Sup #1'!$B172)</f>
        <v>407.97148316595116</v>
      </c>
      <c r="E95" s="4">
        <f ca="1">$B95*('Updated Population'!E$92/'Updated Population'!$B$92)*('Total Trip Tables Sup #1'!E172/'Total Trip Tables Sup #1'!$B172)</f>
        <v>414.88612766995504</v>
      </c>
      <c r="F95" s="4">
        <f ca="1">$B95*('Updated Population'!F$92/'Updated Population'!$B$92)*('Total Trip Tables Sup #1'!F172/'Total Trip Tables Sup #1'!$B172)</f>
        <v>418.1923941683205</v>
      </c>
      <c r="G95" s="4">
        <f ca="1">$B95*('Updated Population'!G$92/'Updated Population'!$B$92)*('Total Trip Tables Sup #1'!G172/'Total Trip Tables Sup #1'!$B172)</f>
        <v>416.95694437544557</v>
      </c>
      <c r="H95" s="4">
        <f ca="1">$B95*('Updated Population'!H$92/'Updated Population'!$B$92)*('Total Trip Tables Sup #1'!H172/'Total Trip Tables Sup #1'!$B172)</f>
        <v>412.33987550056435</v>
      </c>
      <c r="I95" s="1">
        <f ca="1">$B95*('Updated Population'!I$92/'Updated Population'!$B$92)*('Total Trip Tables Sup #1'!I172/'Total Trip Tables Sup #1'!$B172)</f>
        <v>415.06681472633585</v>
      </c>
      <c r="J95" s="1">
        <f ca="1">$B95*('Updated Population'!J$92/'Updated Population'!$B$92)*('Total Trip Tables Sup #1'!J172/'Total Trip Tables Sup #1'!$B172)</f>
        <v>416.48182118585743</v>
      </c>
      <c r="K95" s="1">
        <f ca="1">$B95*('Updated Population'!K$92/'Updated Population'!$B$92)*('Total Trip Tables Sup #1'!K172/'Total Trip Tables Sup #1'!$B172)</f>
        <v>417.00355391248297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$B96*('Updated Population'!C$92/'Updated Population'!$B$92)*('Total Trip Tables Sup #1'!C173/'Total Trip Tables Sup #1'!$B173)</f>
        <v>185.19900721420993</v>
      </c>
      <c r="D96" s="4">
        <f ca="1">$B96*('Updated Population'!D$92/'Updated Population'!$B$92)*('Total Trip Tables Sup #1'!D173/'Total Trip Tables Sup #1'!$B173)</f>
        <v>185.14604963622318</v>
      </c>
      <c r="E96" s="4">
        <f ca="1">$B96*('Updated Population'!E$92/'Updated Population'!$B$92)*('Total Trip Tables Sup #1'!E173/'Total Trip Tables Sup #1'!$B173)</f>
        <v>184.73535911471402</v>
      </c>
      <c r="F96" s="4">
        <f ca="1">$B96*('Updated Population'!F$92/'Updated Population'!$B$92)*('Total Trip Tables Sup #1'!F173/'Total Trip Tables Sup #1'!$B173)</f>
        <v>183.63120403804959</v>
      </c>
      <c r="G96" s="4">
        <f ca="1">$B96*('Updated Population'!G$92/'Updated Population'!$B$92)*('Total Trip Tables Sup #1'!G173/'Total Trip Tables Sup #1'!$B173)</f>
        <v>181.47915215751812</v>
      </c>
      <c r="H96" s="4">
        <f ca="1">$B96*('Updated Population'!H$92/'Updated Population'!$B$92)*('Total Trip Tables Sup #1'!H173/'Total Trip Tables Sup #1'!$B173)</f>
        <v>178.33044149179682</v>
      </c>
      <c r="I96" s="1">
        <f ca="1">$B96*('Updated Population'!I$92/'Updated Population'!$B$92)*('Total Trip Tables Sup #1'!I173/'Total Trip Tables Sup #1'!$B173)</f>
        <v>179.50979935880591</v>
      </c>
      <c r="J96" s="1">
        <f ca="1">$B96*('Updated Population'!J$92/'Updated Population'!$B$92)*('Total Trip Tables Sup #1'!J173/'Total Trip Tables Sup #1'!$B173)</f>
        <v>180.12176715923729</v>
      </c>
      <c r="K96" s="1">
        <f ca="1">$B96*('Updated Population'!K$92/'Updated Population'!$B$92)*('Total Trip Tables Sup #1'!K173/'Total Trip Tables Sup #1'!$B173)</f>
        <v>180.34740826990335</v>
      </c>
    </row>
    <row r="97" spans="1:11" x14ac:dyDescent="0.2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$B97*('Updated Population'!C$92/'Updated Population'!$B$92)*('Total Trip Tables Sup #1'!C174/'Total Trip Tables Sup #1'!$B174)</f>
        <v>2.6521310317273632</v>
      </c>
      <c r="D97" s="4">
        <f ca="1">$B97*('Updated Population'!D$92/'Updated Population'!$B$92)*('Total Trip Tables Sup #1'!D174/'Total Trip Tables Sup #1'!$B174)</f>
        <v>2.8643029868801047</v>
      </c>
      <c r="E97" s="4">
        <f ca="1">$B97*('Updated Population'!E$92/'Updated Population'!$B$92)*('Total Trip Tables Sup #1'!E174/'Total Trip Tables Sup #1'!$B174)</f>
        <v>2.9995297340400859</v>
      </c>
      <c r="F97" s="4">
        <f ca="1">$B97*('Updated Population'!F$92/'Updated Population'!$B$92)*('Total Trip Tables Sup #1'!F174/'Total Trip Tables Sup #1'!$B174)</f>
        <v>3.0869867188347784</v>
      </c>
      <c r="G97" s="4">
        <f ca="1">$B97*('Updated Population'!G$92/'Updated Population'!$B$92)*('Total Trip Tables Sup #1'!G174/'Total Trip Tables Sup #1'!$B174)</f>
        <v>3.1246229376071675</v>
      </c>
      <c r="H97" s="4">
        <f ca="1">$B97*('Updated Population'!H$92/'Updated Population'!$B$92)*('Total Trip Tables Sup #1'!H174/'Total Trip Tables Sup #1'!$B174)</f>
        <v>3.1316422039700673</v>
      </c>
      <c r="I97" s="1">
        <f ca="1">$B97*('Updated Population'!I$92/'Updated Population'!$B$92)*('Total Trip Tables Sup #1'!I174/'Total Trip Tables Sup #1'!$B174)</f>
        <v>3.1523527839417969</v>
      </c>
      <c r="J97" s="1">
        <f ca="1">$B97*('Updated Population'!J$92/'Updated Population'!$B$92)*('Total Trip Tables Sup #1'!J174/'Total Trip Tables Sup #1'!$B174)</f>
        <v>3.163099486385136</v>
      </c>
      <c r="K97" s="1">
        <f ca="1">$B97*('Updated Population'!K$92/'Updated Population'!$B$92)*('Total Trip Tables Sup #1'!K174/'Total Trip Tables Sup #1'!$B174)</f>
        <v>3.1670619462949605</v>
      </c>
    </row>
    <row r="98" spans="1:11" x14ac:dyDescent="0.2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$B98*('Updated Population'!C$92/'Updated Population'!$B$92)*('Total Trip Tables Sup #1'!C175/'Total Trip Tables Sup #1'!$B175)</f>
        <v>2.5159146843488029</v>
      </c>
      <c r="D98" s="4">
        <f ca="1">$B98*('Updated Population'!D$92/'Updated Population'!$B$92)*('Total Trip Tables Sup #1'!D175/'Total Trip Tables Sup #1'!$B175)</f>
        <v>2.5005014924951432</v>
      </c>
      <c r="E98" s="4">
        <f ca="1">$B98*('Updated Population'!E$92/'Updated Population'!$B$92)*('Total Trip Tables Sup #1'!E175/'Total Trip Tables Sup #1'!$B175)</f>
        <v>2.4504957551527049</v>
      </c>
      <c r="F98" s="4">
        <f ca="1">$B98*('Updated Population'!F$92/'Updated Population'!$B$92)*('Total Trip Tables Sup #1'!F175/'Total Trip Tables Sup #1'!$B175)</f>
        <v>2.374354347604287</v>
      </c>
      <c r="G98" s="4">
        <f ca="1">$B98*('Updated Population'!G$92/'Updated Population'!$B$92)*('Total Trip Tables Sup #1'!G175/'Total Trip Tables Sup #1'!$B175)</f>
        <v>2.251220400767953</v>
      </c>
      <c r="H98" s="4">
        <f ca="1">$B98*('Updated Population'!H$92/'Updated Population'!$B$92)*('Total Trip Tables Sup #1'!H175/'Total Trip Tables Sup #1'!$B175)</f>
        <v>2.1154022016569187</v>
      </c>
      <c r="I98" s="1">
        <f ca="1">$B98*('Updated Population'!I$92/'Updated Population'!$B$92)*('Total Trip Tables Sup #1'!I175/'Total Trip Tables Sup #1'!$B175)</f>
        <v>2.1293920522261343</v>
      </c>
      <c r="J98" s="1">
        <f ca="1">$B98*('Updated Population'!J$92/'Updated Population'!$B$92)*('Total Trip Tables Sup #1'!J175/'Total Trip Tables Sup #1'!$B175)</f>
        <v>2.1366513738626773</v>
      </c>
      <c r="K98" s="1">
        <f ca="1">$B98*('Updated Population'!K$92/'Updated Population'!$B$92)*('Total Trip Tables Sup #1'!K175/'Total Trip Tables Sup #1'!$B175)</f>
        <v>2.139327987559668</v>
      </c>
    </row>
    <row r="99" spans="1:11" x14ac:dyDescent="0.2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10.128875609</v>
      </c>
      <c r="D99" s="4">
        <f ca="1">OFFSET(Wellington_Reference,44,5)</f>
        <v>10.859865211000001</v>
      </c>
      <c r="E99" s="4">
        <f ca="1">OFFSET(Wellington_Reference,45,5)</f>
        <v>10.683263460999999</v>
      </c>
      <c r="F99" s="4">
        <f ca="1">OFFSET(Wellington_Reference,46,5)</f>
        <v>10.385782411999999</v>
      </c>
      <c r="G99" s="4">
        <f ca="1">OFFSET(Wellington_Reference,47,5)</f>
        <v>10.128598181999999</v>
      </c>
      <c r="H99" s="4">
        <f ca="1">OFFSET(Wellington_Reference,48,5)</f>
        <v>9.8277317289999999</v>
      </c>
      <c r="I99" s="1">
        <f ca="1">OFFSET(Wellington_Reference,48,5)*('Updated Population'!I92/'Updated Population'!H92)</f>
        <v>9.8927257515151279</v>
      </c>
      <c r="J99" s="1">
        <f ca="1">OFFSET(Wellington_Reference,48,5)*('Updated Population'!J92/'Updated Population'!H92)</f>
        <v>9.9264510948671365</v>
      </c>
      <c r="K99" s="1">
        <f ca="1">OFFSET(Wellington_Reference,48,5)*('Updated Population'!K92/'Updated Population'!H92)</f>
        <v>9.9388861019478636</v>
      </c>
    </row>
    <row r="100" spans="1:11" x14ac:dyDescent="0.2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23.850128953999999</v>
      </c>
      <c r="D100" s="4">
        <f ca="1">OFFSET(Wellington_Reference,51,5)</f>
        <v>24.259543268000002</v>
      </c>
      <c r="E100" s="4">
        <f ca="1">OFFSET(Wellington_Reference,52,5)</f>
        <v>23.003972069</v>
      </c>
      <c r="F100" s="4">
        <f ca="1">OFFSET(Wellington_Reference,53,5)</f>
        <v>21.607857992</v>
      </c>
      <c r="G100" s="4">
        <f ca="1">OFFSET(Wellington_Reference,54,5)</f>
        <v>20.261840903</v>
      </c>
      <c r="H100" s="4">
        <f ca="1">OFFSET(Wellington_Reference,55,5)</f>
        <v>18.955095878000002</v>
      </c>
      <c r="I100" s="1">
        <f ca="1">OFFSET(Wellington_Reference,55,5)*('Updated Population'!I92/'Updated Population'!H92)</f>
        <v>19.080452161854986</v>
      </c>
      <c r="J100" s="1">
        <f ca="1">OFFSET(Wellington_Reference,55,5)*('Updated Population'!J92/'Updated Population'!H92)</f>
        <v>19.145499431599784</v>
      </c>
      <c r="K100" s="1">
        <f ca="1">OFFSET(Wellington_Reference,55,5)*('Updated Population'!K92/'Updated Population'!H92)</f>
        <v>19.169483272221242</v>
      </c>
    </row>
    <row r="101" spans="1:11" x14ac:dyDescent="0.2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$B101*('Updated Population'!C$92/'Updated Population'!$B$92)*('Total Trip Tables Sup #1'!C178/'Total Trip Tables Sup #1'!$B178)</f>
        <v>0.2709703278760307</v>
      </c>
      <c r="D101" s="4">
        <f ca="1">$B101*('Updated Population'!D$92/'Updated Population'!$B$92)*('Total Trip Tables Sup #1'!D178/'Total Trip Tables Sup #1'!$B178)</f>
        <v>0.27935106838900153</v>
      </c>
      <c r="E101" s="4">
        <f ca="1">$B101*('Updated Population'!E$92/'Updated Population'!$B$92)*('Total Trip Tables Sup #1'!E178/'Total Trip Tables Sup #1'!$B178)</f>
        <v>0.28769328827037238</v>
      </c>
      <c r="F101" s="4">
        <f ca="1">$B101*('Updated Population'!F$92/'Updated Population'!$B$92)*('Total Trip Tables Sup #1'!F178/'Total Trip Tables Sup #1'!$B178)</f>
        <v>0.28981722199784676</v>
      </c>
      <c r="G101" s="4">
        <f ca="1">$B101*('Updated Population'!G$92/'Updated Population'!$B$92)*('Total Trip Tables Sup #1'!G178/'Total Trip Tables Sup #1'!$B178)</f>
        <v>0.29555502937193245</v>
      </c>
      <c r="H101" s="4">
        <f ca="1">$B101*('Updated Population'!H$92/'Updated Population'!$B$92)*('Total Trip Tables Sup #1'!H178/'Total Trip Tables Sup #1'!$B178)</f>
        <v>0.29591952542047784</v>
      </c>
      <c r="I101" s="1">
        <f ca="1">$B101*('Updated Population'!I$92/'Updated Population'!$B$92)*('Total Trip Tables Sup #1'!I178/'Total Trip Tables Sup #1'!$B178)</f>
        <v>0.29787653857755164</v>
      </c>
      <c r="J101" s="1">
        <f ca="1">$B101*('Updated Population'!J$92/'Updated Population'!$B$92)*('Total Trip Tables Sup #1'!J178/'Total Trip Tables Sup #1'!$B178)</f>
        <v>0.29889203105074558</v>
      </c>
      <c r="K101" s="1">
        <f ca="1">$B101*('Updated Population'!K$92/'Updated Population'!$B$92)*('Total Trip Tables Sup #1'!K178/'Total Trip Tables Sup #1'!$B178)</f>
        <v>0.29926645736755997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$B102*('Updated Population'!C$92/'Updated Population'!$B$92)*('Total Trip Tables Sup #1'!C179/'Total Trip Tables Sup #1'!$B179)</f>
        <v>0.34829981221857442</v>
      </c>
      <c r="D102" s="4">
        <f ca="1">$B102*('Updated Population'!D$92/'Updated Population'!$B$92)*('Total Trip Tables Sup #1'!D179/'Total Trip Tables Sup #1'!$B179)</f>
        <v>0.36023587460959933</v>
      </c>
      <c r="E102" s="4">
        <f ca="1">$B102*('Updated Population'!E$92/'Updated Population'!$B$92)*('Total Trip Tables Sup #1'!E179/'Total Trip Tables Sup #1'!$B179)</f>
        <v>0.36366941980150597</v>
      </c>
      <c r="F102" s="4">
        <f ca="1">$B102*('Updated Population'!F$92/'Updated Population'!$B$92)*('Total Trip Tables Sup #1'!F179/'Total Trip Tables Sup #1'!$B179)</f>
        <v>0.36182796255632577</v>
      </c>
      <c r="G102" s="4">
        <f ca="1">$B102*('Updated Population'!G$92/'Updated Population'!$B$92)*('Total Trip Tables Sup #1'!G179/'Total Trip Tables Sup #1'!$B179)</f>
        <v>0.35535812695604413</v>
      </c>
      <c r="H102" s="4">
        <f ca="1">$B102*('Updated Population'!H$92/'Updated Population'!$B$92)*('Total Trip Tables Sup #1'!H179/'Total Trip Tables Sup #1'!$B179)</f>
        <v>0.34166747049013785</v>
      </c>
      <c r="I102" s="1">
        <f ca="1">$B102*('Updated Population'!I$92/'Updated Population'!$B$92)*('Total Trip Tables Sup #1'!I179/'Total Trip Tables Sup #1'!$B179)</f>
        <v>0.34392702985562151</v>
      </c>
      <c r="J102" s="1">
        <f ca="1">$B102*('Updated Population'!J$92/'Updated Population'!$B$92)*('Total Trip Tables Sup #1'!J179/'Total Trip Tables Sup #1'!$B179)</f>
        <v>0.34509951330065591</v>
      </c>
      <c r="K102" s="1">
        <f ca="1">$B102*('Updated Population'!K$92/'Updated Population'!$B$92)*('Total Trip Tables Sup #1'!K179/'Total Trip Tables Sup #1'!$B179)</f>
        <v>0.34553182439053459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OFFSET(Nelson_Reference,0,5)</f>
        <v>34.609993433</v>
      </c>
      <c r="C104" s="4">
        <f ca="1">$B104*('Updated Population'!C$103/'Updated Population'!$B$103)*('Total Trip Tables Sup #1'!C170/'Total Trip Tables Sup #1'!$B170)</f>
        <v>35.170666573402336</v>
      </c>
      <c r="D104" s="4">
        <f ca="1">$B104*('Updated Population'!D$103/'Updated Population'!$B$103)*('Total Trip Tables Sup #1'!D170/'Total Trip Tables Sup #1'!$B170)</f>
        <v>35.053559598527954</v>
      </c>
      <c r="E104" s="4">
        <f ca="1">$B104*('Updated Population'!E$103/'Updated Population'!$B$103)*('Total Trip Tables Sup #1'!E170/'Total Trip Tables Sup #1'!$B170)</f>
        <v>34.353550967060229</v>
      </c>
      <c r="F104" s="4">
        <f ca="1">$B104*('Updated Population'!F$103/'Updated Population'!$B$103)*('Total Trip Tables Sup #1'!F170/'Total Trip Tables Sup #1'!$B170)</f>
        <v>33.363258530575621</v>
      </c>
      <c r="G104" s="4">
        <f ca="1">$B104*('Updated Population'!G$103/'Updated Population'!$B$103)*('Total Trip Tables Sup #1'!G170/'Total Trip Tables Sup #1'!$B170)</f>
        <v>32.264946798016908</v>
      </c>
      <c r="H104" s="4">
        <f ca="1">$B104*('Updated Population'!H$103/'Updated Population'!$B$103)*('Total Trip Tables Sup #1'!H170/'Total Trip Tables Sup #1'!$B170)</f>
        <v>30.957612831990378</v>
      </c>
      <c r="I104" s="1">
        <f ca="1">$B104*('Updated Population'!I$103/'Updated Population'!$B$103)*('Total Trip Tables Sup #1'!I170/'Total Trip Tables Sup #1'!$B170)</f>
        <v>30.910483391787256</v>
      </c>
      <c r="J104" s="1">
        <f ca="1">$B104*('Updated Population'!J$103/'Updated Population'!$B$103)*('Total Trip Tables Sup #1'!J170/'Total Trip Tables Sup #1'!$B170)</f>
        <v>30.766634583308718</v>
      </c>
      <c r="K104" s="1">
        <f ca="1">$B104*('Updated Population'!K$103/'Updated Population'!$B$103)*('Total Trip Tables Sup #1'!K170/'Total Trip Tables Sup #1'!$B170)</f>
        <v>30.559087681474846</v>
      </c>
    </row>
    <row r="105" spans="1:11" x14ac:dyDescent="0.2">
      <c r="A105" t="str">
        <f ca="1">OFFSET(Nelson_Reference,7,2)</f>
        <v>Cyclist</v>
      </c>
      <c r="B105" s="4">
        <f ca="1">OFFSET(Nelson_Reference,7,5)</f>
        <v>2.9519642961999999</v>
      </c>
      <c r="C105" s="4">
        <f ca="1">$B105*('Updated Population'!C$103/'Updated Population'!$B$103)*('Total Trip Tables Sup #1'!C171/'Total Trip Tables Sup #1'!$B171)</f>
        <v>2.8970259803184297</v>
      </c>
      <c r="D105" s="4">
        <f ca="1">$B105*('Updated Population'!D$103/'Updated Population'!$B$103)*('Total Trip Tables Sup #1'!D171/'Total Trip Tables Sup #1'!$B171)</f>
        <v>2.9262248561713231</v>
      </c>
      <c r="E105" s="4">
        <f ca="1">$B105*('Updated Population'!E$103/'Updated Population'!$B$103)*('Total Trip Tables Sup #1'!E171/'Total Trip Tables Sup #1'!$B171)</f>
        <v>2.8299654758258064</v>
      </c>
      <c r="F105" s="4">
        <f ca="1">$B105*('Updated Population'!F$103/'Updated Population'!$B$103)*('Total Trip Tables Sup #1'!F171/'Total Trip Tables Sup #1'!$B171)</f>
        <v>2.7432256218644739</v>
      </c>
      <c r="G105" s="4">
        <f ca="1">$B105*('Updated Population'!G$103/'Updated Population'!$B$103)*('Total Trip Tables Sup #1'!G171/'Total Trip Tables Sup #1'!$B171)</f>
        <v>2.6602598254383056</v>
      </c>
      <c r="H105" s="4">
        <f ca="1">$B105*('Updated Population'!H$103/'Updated Population'!$B$103)*('Total Trip Tables Sup #1'!H171/'Total Trip Tables Sup #1'!$B171)</f>
        <v>2.5738365817128446</v>
      </c>
      <c r="I105" s="1">
        <f ca="1">$B105*('Updated Population'!I$103/'Updated Population'!$B$103)*('Total Trip Tables Sup #1'!I171/'Total Trip Tables Sup #1'!$B171)</f>
        <v>2.5699182086157726</v>
      </c>
      <c r="J105" s="1">
        <f ca="1">$B105*('Updated Population'!J$103/'Updated Population'!$B$103)*('Total Trip Tables Sup #1'!J171/'Total Trip Tables Sup #1'!$B171)</f>
        <v>2.5579585227217985</v>
      </c>
      <c r="K105" s="1">
        <f ca="1">$B105*('Updated Population'!K$103/'Updated Population'!$B$103)*('Total Trip Tables Sup #1'!K171/'Total Trip Tables Sup #1'!$B171)</f>
        <v>2.5407029348552443</v>
      </c>
    </row>
    <row r="106" spans="1:11" x14ac:dyDescent="0.2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$B106*('Updated Population'!C$103/'Updated Population'!$B$103)*('Total Trip Tables Sup #1'!C172/'Total Trip Tables Sup #1'!$B172)</f>
        <v>103.11125278525341</v>
      </c>
      <c r="D106" s="4">
        <f ca="1">$B106*('Updated Population'!D$103/'Updated Population'!$B$103)*('Total Trip Tables Sup #1'!D172/'Total Trip Tables Sup #1'!$B172)</f>
        <v>104.66160810787338</v>
      </c>
      <c r="E106" s="4">
        <f ca="1">$B106*('Updated Population'!E$103/'Updated Population'!$B$103)*('Total Trip Tables Sup #1'!E172/'Total Trip Tables Sup #1'!$B172)</f>
        <v>106.06274497691092</v>
      </c>
      <c r="F106" s="4">
        <f ca="1">$B106*('Updated Population'!F$103/'Updated Population'!$B$103)*('Total Trip Tables Sup #1'!F172/'Total Trip Tables Sup #1'!$B172)</f>
        <v>106.36126034127021</v>
      </c>
      <c r="G106" s="4">
        <f ca="1">$B106*('Updated Population'!G$103/'Updated Population'!$B$103)*('Total Trip Tables Sup #1'!G172/'Total Trip Tables Sup #1'!$B172)</f>
        <v>105.36192086709205</v>
      </c>
      <c r="H106" s="4">
        <f ca="1">$B106*('Updated Population'!H$103/'Updated Population'!$B$103)*('Total Trip Tables Sup #1'!H172/'Total Trip Tables Sup #1'!$B172)</f>
        <v>103.3482149477076</v>
      </c>
      <c r="I106" s="1">
        <f ca="1">$B106*('Updated Population'!I$103/'Updated Population'!$B$103)*('Total Trip Tables Sup #1'!I172/'Total Trip Tables Sup #1'!$B172)</f>
        <v>103.19087905934595</v>
      </c>
      <c r="J106" s="1">
        <f ca="1">$B106*('Updated Population'!J$103/'Updated Population'!$B$103)*('Total Trip Tables Sup #1'!J172/'Total Trip Tables Sup #1'!$B172)</f>
        <v>102.71065735558302</v>
      </c>
      <c r="K106" s="1">
        <f ca="1">$B106*('Updated Population'!K$103/'Updated Population'!$B$103)*('Total Trip Tables Sup #1'!K172/'Total Trip Tables Sup #1'!$B172)</f>
        <v>102.01778733556996</v>
      </c>
    </row>
    <row r="107" spans="1:11" x14ac:dyDescent="0.2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$B107*('Updated Population'!C$103/'Updated Population'!$B$103)*('Total Trip Tables Sup #1'!C173/'Total Trip Tables Sup #1'!$B173)</f>
        <v>45.868023346810254</v>
      </c>
      <c r="D107" s="4">
        <f ca="1">$B107*('Updated Population'!D$103/'Updated Population'!$B$103)*('Total Trip Tables Sup #1'!D173/'Total Trip Tables Sup #1'!$B173)</f>
        <v>45.704149883481094</v>
      </c>
      <c r="E107" s="4">
        <f ca="1">$B107*('Updated Population'!E$103/'Updated Population'!$B$103)*('Total Trip Tables Sup #1'!E173/'Total Trip Tables Sup #1'!$B173)</f>
        <v>45.443059950148083</v>
      </c>
      <c r="F107" s="4">
        <f ca="1">$B107*('Updated Population'!F$103/'Updated Population'!$B$103)*('Total Trip Tables Sup #1'!F173/'Total Trip Tables Sup #1'!$B173)</f>
        <v>44.94044992098501</v>
      </c>
      <c r="G107" s="4">
        <f ca="1">$B107*('Updated Population'!G$103/'Updated Population'!$B$103)*('Total Trip Tables Sup #1'!G173/'Total Trip Tables Sup #1'!$B173)</f>
        <v>44.126837071477993</v>
      </c>
      <c r="H107" s="4">
        <f ca="1">$B107*('Updated Population'!H$103/'Updated Population'!$B$103)*('Total Trip Tables Sup #1'!H173/'Total Trip Tables Sup #1'!$B173)</f>
        <v>43.008739878492143</v>
      </c>
      <c r="I107" s="1">
        <f ca="1">$B107*('Updated Population'!I$103/'Updated Population'!$B$103)*('Total Trip Tables Sup #1'!I173/'Total Trip Tables Sup #1'!$B173)</f>
        <v>42.943263969696602</v>
      </c>
      <c r="J107" s="1">
        <f ca="1">$B107*('Updated Population'!J$103/'Updated Population'!$B$103)*('Total Trip Tables Sup #1'!J173/'Total Trip Tables Sup #1'!$B173)</f>
        <v>42.74341794089392</v>
      </c>
      <c r="K107" s="1">
        <f ca="1">$B107*('Updated Population'!K$103/'Updated Population'!$B$103)*('Total Trip Tables Sup #1'!K173/'Total Trip Tables Sup #1'!$B173)</f>
        <v>42.455077532930169</v>
      </c>
    </row>
    <row r="108" spans="1:11" x14ac:dyDescent="0.2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$B108*('Updated Population'!C$103/'Updated Population'!$B$103)*('Total Trip Tables Sup #1'!C174/'Total Trip Tables Sup #1'!$B174)</f>
        <v>0.44964291386250654</v>
      </c>
      <c r="D108" s="4">
        <f ca="1">$B108*('Updated Population'!D$103/'Updated Population'!$B$103)*('Total Trip Tables Sup #1'!D174/'Total Trip Tables Sup #1'!$B174)</f>
        <v>0.48401803790422049</v>
      </c>
      <c r="E108" s="4">
        <f ca="1">$B108*('Updated Population'!E$103/'Updated Population'!$B$103)*('Total Trip Tables Sup #1'!E174/'Total Trip Tables Sup #1'!$B174)</f>
        <v>0.50509389043497877</v>
      </c>
      <c r="F108" s="4">
        <f ca="1">$B108*('Updated Population'!F$103/'Updated Population'!$B$103)*('Total Trip Tables Sup #1'!F174/'Total Trip Tables Sup #1'!$B174)</f>
        <v>0.51716258912769919</v>
      </c>
      <c r="G108" s="4">
        <f ca="1">$B108*('Updated Population'!G$103/'Updated Population'!$B$103)*('Total Trip Tables Sup #1'!G174/'Total Trip Tables Sup #1'!$B174)</f>
        <v>0.52008590007353817</v>
      </c>
      <c r="H108" s="4">
        <f ca="1">$B108*('Updated Population'!H$103/'Updated Population'!$B$103)*('Total Trip Tables Sup #1'!H174/'Total Trip Tables Sup #1'!$B174)</f>
        <v>0.51701694432806733</v>
      </c>
      <c r="I108" s="1">
        <f ca="1">$B108*('Updated Population'!I$103/'Updated Population'!$B$103)*('Total Trip Tables Sup #1'!I174/'Total Trip Tables Sup #1'!$B174)</f>
        <v>0.51622984490622403</v>
      </c>
      <c r="J108" s="1">
        <f ca="1">$B108*('Updated Population'!J$103/'Updated Population'!$B$103)*('Total Trip Tables Sup #1'!J174/'Total Trip Tables Sup #1'!$B174)</f>
        <v>0.51382745452139589</v>
      </c>
      <c r="K108" s="1">
        <f ca="1">$B108*('Updated Population'!K$103/'Updated Population'!$B$103)*('Total Trip Tables Sup #1'!K174/'Total Trip Tables Sup #1'!$B174)</f>
        <v>0.51036125492864104</v>
      </c>
    </row>
    <row r="109" spans="1:11" x14ac:dyDescent="0.2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$B109*('Updated Population'!C$103/'Updated Population'!$B$103)*('Total Trip Tables Sup #1'!C175/'Total Trip Tables Sup #1'!$B175)</f>
        <v>1.5066366308922028</v>
      </c>
      <c r="D109" s="4">
        <f ca="1">$B109*('Updated Population'!D$103/'Updated Population'!$B$103)*('Total Trip Tables Sup #1'!D175/'Total Trip Tables Sup #1'!$B175)</f>
        <v>1.4924835218865145</v>
      </c>
      <c r="E109" s="4">
        <f ca="1">$B109*('Updated Population'!E$103/'Updated Population'!$B$103)*('Total Trip Tables Sup #1'!E175/'Total Trip Tables Sup #1'!$B175)</f>
        <v>1.4575139977824363</v>
      </c>
      <c r="F109" s="4">
        <f ca="1">$B109*('Updated Population'!F$103/'Updated Population'!$B$103)*('Total Trip Tables Sup #1'!F175/'Total Trip Tables Sup #1'!$B175)</f>
        <v>1.4050044807436013</v>
      </c>
      <c r="G109" s="4">
        <f ca="1">$B109*('Updated Population'!G$103/'Updated Population'!$B$103)*('Total Trip Tables Sup #1'!G175/'Total Trip Tables Sup #1'!$B175)</f>
        <v>1.3235346479816763</v>
      </c>
      <c r="H109" s="4">
        <f ca="1">$B109*('Updated Population'!H$103/'Updated Population'!$B$103)*('Total Trip Tables Sup #1'!H175/'Total Trip Tables Sup #1'!$B175)</f>
        <v>1.2335746249121016</v>
      </c>
      <c r="I109" s="1">
        <f ca="1">$B109*('Updated Population'!I$103/'Updated Population'!$B$103)*('Total Trip Tables Sup #1'!I175/'Total Trip Tables Sup #1'!$B175)</f>
        <v>1.2316966480203948</v>
      </c>
      <c r="J109" s="1">
        <f ca="1">$B109*('Updated Population'!J$103/'Updated Population'!$B$103)*('Total Trip Tables Sup #1'!J175/'Total Trip Tables Sup #1'!$B175)</f>
        <v>1.2259646737584908</v>
      </c>
      <c r="K109" s="1">
        <f ca="1">$B109*('Updated Population'!K$103/'Updated Population'!$B$103)*('Total Trip Tables Sup #1'!K175/'Total Trip Tables Sup #1'!$B175)</f>
        <v>1.2176945079362467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Trip Tables Sup #1'!C176/'Total Trip Tables Sup #1'!$B176)</f>
        <v>0</v>
      </c>
      <c r="D110" s="4">
        <f ca="1">$B110*('Updated Population'!D$103/'Updated Population'!$B$103)*('Total Trip Tables Sup #1'!D176/'Total Trip Tables Sup #1'!$B176)</f>
        <v>0</v>
      </c>
      <c r="E110" s="4">
        <f ca="1">$B110*('Updated Population'!E$103/'Updated Population'!$B$103)*('Total Trip Tables Sup #1'!E176/'Total Trip Tables Sup #1'!$B176)</f>
        <v>0</v>
      </c>
      <c r="F110" s="4">
        <f ca="1">$B110*('Updated Population'!F$103/'Updated Population'!$B$103)*('Total Trip Tables Sup #1'!F176/'Total Trip Tables Sup #1'!$B176)</f>
        <v>0</v>
      </c>
      <c r="G110" s="4">
        <f ca="1">$B110*('Updated Population'!G$103/'Updated Population'!$B$103)*('Total Trip Tables Sup #1'!G176/'Total Trip Tables Sup #1'!$B176)</f>
        <v>0</v>
      </c>
      <c r="H110" s="4">
        <f ca="1">$B110*('Updated Population'!H$103/'Updated Population'!$B$103)*('Total Trip Tables Sup #1'!H176/'Total Trip Tables Sup #1'!$B176)</f>
        <v>0</v>
      </c>
      <c r="I110" s="1">
        <f ca="1">$B110*('Updated Population'!I$103/'Updated Population'!$B$103)*('Total Trip Tables Sup #1'!I176/'Total Trip Tables Sup #1'!$B176)</f>
        <v>0</v>
      </c>
      <c r="J110" s="1">
        <f ca="1">$B110*('Updated Population'!J$103/'Updated Population'!$B$103)*('Total Trip Tables Sup #1'!J176/'Total Trip Tables Sup #1'!$B176)</f>
        <v>0</v>
      </c>
      <c r="K110" s="1">
        <f ca="1">$B110*('Updated Population'!K$103/'Updated Population'!$B$103)*('Total Trip Tables Sup #1'!K176/'Total Trip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$B111*('Updated Population'!C$103/'Updated Population'!$B$103)*('Total Trip Tables Sup #1'!C177/'Total Trip Tables Sup #1'!$B177)</f>
        <v>1.9206127906396655</v>
      </c>
      <c r="D111" s="4">
        <f ca="1">$B111*('Updated Population'!D$103/'Updated Population'!$B$103)*('Total Trip Tables Sup #1'!D177/'Total Trip Tables Sup #1'!$B177)</f>
        <v>1.9173662056257539</v>
      </c>
      <c r="E111" s="4">
        <f ca="1">$B111*('Updated Population'!E$103/'Updated Population'!$B$103)*('Total Trip Tables Sup #1'!E177/'Total Trip Tables Sup #1'!$B177)</f>
        <v>1.8868420102222194</v>
      </c>
      <c r="F111" s="4">
        <f ca="1">$B111*('Updated Population'!F$103/'Updated Population'!$B$103)*('Total Trip Tables Sup #1'!F177/'Total Trip Tables Sup #1'!$B177)</f>
        <v>1.8461674028270203</v>
      </c>
      <c r="G111" s="4">
        <f ca="1">$B111*('Updated Population'!G$103/'Updated Population'!$B$103)*('Total Trip Tables Sup #1'!G177/'Total Trip Tables Sup #1'!$B177)</f>
        <v>1.8173260868150043</v>
      </c>
      <c r="H111" s="4">
        <f ca="1">$B111*('Updated Population'!H$103/'Updated Population'!$B$103)*('Total Trip Tables Sup #1'!H177/'Total Trip Tables Sup #1'!$B177)</f>
        <v>1.7808746144615342</v>
      </c>
      <c r="I111" s="1">
        <f ca="1">$B111*('Updated Population'!I$103/'Updated Population'!$B$103)*('Total Trip Tables Sup #1'!I177/'Total Trip Tables Sup #1'!$B177)</f>
        <v>1.778163435660151</v>
      </c>
      <c r="J111" s="1">
        <f ca="1">$B111*('Updated Population'!J$103/'Updated Population'!$B$103)*('Total Trip Tables Sup #1'!J177/'Total Trip Tables Sup #1'!$B177)</f>
        <v>1.7698883566761785</v>
      </c>
      <c r="K111" s="1">
        <f ca="1">$B111*('Updated Population'!K$103/'Updated Population'!$B$103)*('Total Trip Tables Sup #1'!K177/'Total Trip Tables Sup #1'!$B177)</f>
        <v>1.7579489668145629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Trip Tables Sup #1'!C178/'Total Trip Tables Sup #1'!$B178)</f>
        <v>0</v>
      </c>
      <c r="D112" s="4">
        <f ca="1">$B112*('Updated Population'!D$103/'Updated Population'!$B$103)*('Total Trip Tables Sup #1'!D178/'Total Trip Tables Sup #1'!$B178)</f>
        <v>0</v>
      </c>
      <c r="E112" s="4">
        <f ca="1">$B112*('Updated Population'!E$103/'Updated Population'!$B$103)*('Total Trip Tables Sup #1'!E178/'Total Trip Tables Sup #1'!$B178)</f>
        <v>0</v>
      </c>
      <c r="F112" s="4">
        <f ca="1">$B112*('Updated Population'!F$103/'Updated Population'!$B$103)*('Total Trip Tables Sup #1'!F178/'Total Trip Tables Sup #1'!$B178)</f>
        <v>0</v>
      </c>
      <c r="G112" s="4">
        <f ca="1">$B112*('Updated Population'!G$103/'Updated Population'!$B$103)*('Total Trip Tables Sup #1'!G178/'Total Trip Tables Sup #1'!$B178)</f>
        <v>0</v>
      </c>
      <c r="H112" s="4">
        <f ca="1">$B112*('Updated Population'!H$103/'Updated Population'!$B$103)*('Total Trip Tables Sup #1'!H178/'Total Trip Tables Sup #1'!$B178)</f>
        <v>0</v>
      </c>
      <c r="I112" s="1">
        <f ca="1">$B112*('Updated Population'!I$103/'Updated Population'!$B$103)*('Total Trip Tables Sup #1'!I178/'Total Trip Tables Sup #1'!$B178)</f>
        <v>0</v>
      </c>
      <c r="J112" s="1">
        <f ca="1">$B112*('Updated Population'!J$103/'Updated Population'!$B$103)*('Total Trip Tables Sup #1'!J178/'Total Trip Tables Sup #1'!$B178)</f>
        <v>0</v>
      </c>
      <c r="K112" s="1">
        <f ca="1">$B112*('Updated Population'!K$103/'Updated Population'!$B$103)*('Total Trip Tables Sup #1'!K178/'Total Trip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$B113*('Updated Population'!C$103/'Updated Population'!$B$103)*('Total Trip Tables Sup #1'!C179/'Total Trip Tables Sup #1'!$B179)</f>
        <v>1.5433043008993019</v>
      </c>
      <c r="D113" s="4">
        <f ca="1">$B113*('Updated Population'!D$103/'Updated Population'!$B$103)*('Total Trip Tables Sup #1'!D179/'Total Trip Tables Sup #1'!$B179)</f>
        <v>1.5909447621457347</v>
      </c>
      <c r="E113" s="4">
        <f ca="1">$B113*('Updated Population'!E$103/'Updated Population'!$B$103)*('Total Trip Tables Sup #1'!E179/'Total Trip Tables Sup #1'!$B179)</f>
        <v>1.6004837806673435</v>
      </c>
      <c r="F113" s="4">
        <f ca="1">$B113*('Updated Population'!F$103/'Updated Population'!$B$103)*('Total Trip Tables Sup #1'!F179/'Total Trip Tables Sup #1'!$B179)</f>
        <v>1.5842365052857583</v>
      </c>
      <c r="G113" s="4">
        <f ca="1">$B113*('Updated Population'!G$103/'Updated Population'!$B$103)*('Total Trip Tables Sup #1'!G179/'Total Trip Tables Sup #1'!$B179)</f>
        <v>1.545856815830287</v>
      </c>
      <c r="H113" s="4">
        <f ca="1">$B113*('Updated Population'!H$103/'Updated Population'!$B$103)*('Total Trip Tables Sup #1'!H179/'Total Trip Tables Sup #1'!$B179)</f>
        <v>1.4742183797946473</v>
      </c>
      <c r="I113" s="1">
        <f ca="1">$B113*('Updated Population'!I$103/'Updated Population'!$B$103)*('Total Trip Tables Sup #1'!I179/'Total Trip Tables Sup #1'!$B179)</f>
        <v>1.4719740501897149</v>
      </c>
      <c r="J113" s="1">
        <f ca="1">$B113*('Updated Population'!J$103/'Updated Population'!$B$103)*('Total Trip Tables Sup #1'!J179/'Total Trip Tables Sup #1'!$B179)</f>
        <v>1.4651238916028269</v>
      </c>
      <c r="K113" s="1">
        <f ca="1">$B113*('Updated Population'!K$103/'Updated Population'!$B$103)*('Total Trip Tables Sup #1'!K179/'Total Trip Tables Sup #1'!$B179)</f>
        <v>1.4552403951260973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$B115*('Updated Population'!C$114/'Updated Population'!$B$114)*('Total Trip Tables Sup #1'!C170/'Total Trip Tables Sup #1'!$B170)</f>
        <v>5.0301049483539106</v>
      </c>
      <c r="D115" s="4">
        <f ca="1">$B115*('Updated Population'!D$114/'Updated Population'!$B$114)*('Total Trip Tables Sup #1'!D170/'Total Trip Tables Sup #1'!$B170)</f>
        <v>4.866480647931307</v>
      </c>
      <c r="E115" s="4">
        <f ca="1">$B115*('Updated Population'!E$114/'Updated Population'!$B$114)*('Total Trip Tables Sup #1'!E170/'Total Trip Tables Sup #1'!$B170)</f>
        <v>4.6373004430405187</v>
      </c>
      <c r="F115" s="4">
        <f ca="1">$B115*('Updated Population'!F$114/'Updated Population'!$B$114)*('Total Trip Tables Sup #1'!F170/'Total Trip Tables Sup #1'!$B170)</f>
        <v>4.3808820068345895</v>
      </c>
      <c r="G115" s="4">
        <f ca="1">$B115*('Updated Population'!G$114/'Updated Population'!$B$114)*('Total Trip Tables Sup #1'!G170/'Total Trip Tables Sup #1'!$B170)</f>
        <v>4.1233494603606315</v>
      </c>
      <c r="H115" s="4">
        <f ca="1">$B115*('Updated Population'!H$114/'Updated Population'!$B$114)*('Total Trip Tables Sup #1'!H170/'Total Trip Tables Sup #1'!$B170)</f>
        <v>3.8605905593401086</v>
      </c>
      <c r="I115" s="1">
        <f ca="1">$B115*('Updated Population'!I$114/'Updated Population'!$B$114)*('Total Trip Tables Sup #1'!I170/'Total Trip Tables Sup #1'!$B170)</f>
        <v>3.7613061729122155</v>
      </c>
      <c r="J115" s="1">
        <f ca="1">$B115*('Updated Population'!J$114/'Updated Population'!$B$114)*('Total Trip Tables Sup #1'!J170/'Total Trip Tables Sup #1'!$B170)</f>
        <v>3.6529101496173415</v>
      </c>
      <c r="K115" s="1">
        <f ca="1">$B115*('Updated Population'!K$114/'Updated Population'!$B$114)*('Total Trip Tables Sup #1'!K170/'Total Trip Tables Sup #1'!$B170)</f>
        <v>3.5400138576924447</v>
      </c>
    </row>
    <row r="116" spans="1:11" x14ac:dyDescent="0.2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$B116*('Updated Population'!C$114/'Updated Population'!$B$114)*('Total Trip Tables Sup #1'!C171/'Total Trip Tables Sup #1'!$B171)</f>
        <v>0.67642245919760913</v>
      </c>
      <c r="D116" s="4">
        <f ca="1">$B116*('Updated Population'!D$114/'Updated Population'!$B$114)*('Total Trip Tables Sup #1'!D171/'Total Trip Tables Sup #1'!$B171)</f>
        <v>0.66322326430314582</v>
      </c>
      <c r="E116" s="4">
        <f ca="1">$B116*('Updated Population'!E$114/'Updated Population'!$B$114)*('Total Trip Tables Sup #1'!E171/'Total Trip Tables Sup #1'!$B171)</f>
        <v>0.62365429677974638</v>
      </c>
      <c r="F116" s="4">
        <f ca="1">$B116*('Updated Population'!F$114/'Updated Population'!$B$114)*('Total Trip Tables Sup #1'!F171/'Total Trip Tables Sup #1'!$B171)</f>
        <v>0.5880629334604931</v>
      </c>
      <c r="G116" s="4">
        <f ca="1">$B116*('Updated Population'!G$114/'Updated Population'!$B$114)*('Total Trip Tables Sup #1'!G171/'Total Trip Tables Sup #1'!$B171)</f>
        <v>0.55502485011907698</v>
      </c>
      <c r="H116" s="4">
        <f ca="1">$B116*('Updated Population'!H$114/'Updated Population'!$B$114)*('Total Trip Tables Sup #1'!H171/'Total Trip Tables Sup #1'!$B171)</f>
        <v>0.52400620677193643</v>
      </c>
      <c r="I116" s="1">
        <f ca="1">$B116*('Updated Population'!I$114/'Updated Population'!$B$114)*('Total Trip Tables Sup #1'!I171/'Total Trip Tables Sup #1'!$B171)</f>
        <v>0.51053012482952698</v>
      </c>
      <c r="J116" s="1">
        <f ca="1">$B116*('Updated Population'!J$114/'Updated Population'!$B$114)*('Total Trip Tables Sup #1'!J171/'Total Trip Tables Sup #1'!$B171)</f>
        <v>0.49581730094342757</v>
      </c>
      <c r="K116" s="1">
        <f ca="1">$B116*('Updated Population'!K$114/'Updated Population'!$B$114)*('Total Trip Tables Sup #1'!K171/'Total Trip Tables Sup #1'!$B171)</f>
        <v>0.48049364597901861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$B117*('Updated Population'!C$114/'Updated Population'!$B$114)*('Total Trip Tables Sup #1'!C172/'Total Trip Tables Sup #1'!$B172)</f>
        <v>21.035068437675495</v>
      </c>
      <c r="D117" s="4">
        <f ca="1">$B117*('Updated Population'!D$114/'Updated Population'!$B$114)*('Total Trip Tables Sup #1'!D172/'Total Trip Tables Sup #1'!$B172)</f>
        <v>20.725818799496317</v>
      </c>
      <c r="E117" s="4">
        <f ca="1">$B117*('Updated Population'!E$114/'Updated Population'!$B$114)*('Total Trip Tables Sup #1'!E172/'Total Trip Tables Sup #1'!$B172)</f>
        <v>20.421981620666468</v>
      </c>
      <c r="F117" s="4">
        <f ca="1">$B117*('Updated Population'!F$114/'Updated Population'!$B$114)*('Total Trip Tables Sup #1'!F172/'Total Trip Tables Sup #1'!$B172)</f>
        <v>19.921314382749713</v>
      </c>
      <c r="G117" s="4">
        <f ca="1">$B117*('Updated Population'!G$114/'Updated Population'!$B$114)*('Total Trip Tables Sup #1'!G172/'Total Trip Tables Sup #1'!$B172)</f>
        <v>19.206325676267507</v>
      </c>
      <c r="H117" s="4">
        <f ca="1">$B117*('Updated Population'!H$114/'Updated Population'!$B$114)*('Total Trip Tables Sup #1'!H172/'Total Trip Tables Sup #1'!$B172)</f>
        <v>18.383604940815793</v>
      </c>
      <c r="I117" s="1">
        <f ca="1">$B117*('Updated Population'!I$114/'Updated Population'!$B$114)*('Total Trip Tables Sup #1'!I172/'Total Trip Tables Sup #1'!$B172)</f>
        <v>17.910826253506961</v>
      </c>
      <c r="J117" s="1">
        <f ca="1">$B117*('Updated Population'!J$114/'Updated Population'!$B$114)*('Total Trip Tables Sup #1'!J172/'Total Trip Tables Sup #1'!$B172)</f>
        <v>17.394659195959932</v>
      </c>
      <c r="K117" s="1">
        <f ca="1">$B117*('Updated Population'!K$114/'Updated Population'!$B$114)*('Total Trip Tables Sup #1'!K172/'Total Trip Tables Sup #1'!$B172)</f>
        <v>16.857062473870588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$B118*('Updated Population'!C$114/'Updated Population'!$B$114)*('Total Trip Tables Sup #1'!C173/'Total Trip Tables Sup #1'!$B173)</f>
        <v>10.410327052059849</v>
      </c>
      <c r="D118" s="4">
        <f ca="1">$B118*('Updated Population'!D$114/'Updated Population'!$B$114)*('Total Trip Tables Sup #1'!D173/'Total Trip Tables Sup #1'!$B173)</f>
        <v>10.06923349316733</v>
      </c>
      <c r="E118" s="4">
        <f ca="1">$B118*('Updated Population'!E$114/'Updated Population'!$B$114)*('Total Trip Tables Sup #1'!E173/'Total Trip Tables Sup #1'!$B173)</f>
        <v>9.7346214633561186</v>
      </c>
      <c r="F118" s="4">
        <f ca="1">$B118*('Updated Population'!F$114/'Updated Population'!$B$114)*('Total Trip Tables Sup #1'!F173/'Total Trip Tables Sup #1'!$B173)</f>
        <v>9.3645823521876643</v>
      </c>
      <c r="G118" s="4">
        <f ca="1">$B118*('Updated Population'!G$114/'Updated Population'!$B$114)*('Total Trip Tables Sup #1'!G173/'Total Trip Tables Sup #1'!$B173)</f>
        <v>8.9491109220555831</v>
      </c>
      <c r="H118" s="4">
        <f ca="1">$B118*('Updated Population'!H$114/'Updated Population'!$B$114)*('Total Trip Tables Sup #1'!H173/'Total Trip Tables Sup #1'!$B173)</f>
        <v>8.5113980177519437</v>
      </c>
      <c r="I118" s="1">
        <f ca="1">$B118*('Updated Population'!I$114/'Updated Population'!$B$114)*('Total Trip Tables Sup #1'!I173/'Total Trip Tables Sup #1'!$B173)</f>
        <v>8.2925069136975065</v>
      </c>
      <c r="J118" s="1">
        <f ca="1">$B118*('Updated Population'!J$114/'Updated Population'!$B$114)*('Total Trip Tables Sup #1'!J173/'Total Trip Tables Sup #1'!$B173)</f>
        <v>8.0535274923827842</v>
      </c>
      <c r="K118" s="1">
        <f ca="1">$B118*('Updated Population'!K$114/'Updated Population'!$B$114)*('Total Trip Tables Sup #1'!K173/'Total Trip Tables Sup #1'!$B173)</f>
        <v>7.8046263824278981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$B119*('Updated Population'!C$114/'Updated Population'!$B$114)*('Total Trip Tables Sup #1'!C174/'Total Trip Tables Sup #1'!$B174)</f>
        <v>0.31365392416157312</v>
      </c>
      <c r="D119" s="4">
        <f ca="1">$B119*('Updated Population'!D$114/'Updated Population'!$B$114)*('Total Trip Tables Sup #1'!D174/'Total Trip Tables Sup #1'!$B174)</f>
        <v>0.32774112975169623</v>
      </c>
      <c r="E119" s="4">
        <f ca="1">$B119*('Updated Population'!E$114/'Updated Population'!$B$114)*('Total Trip Tables Sup #1'!E174/'Total Trip Tables Sup #1'!$B174)</f>
        <v>0.33254639150803322</v>
      </c>
      <c r="F119" s="4">
        <f ca="1">$B119*('Updated Population'!F$114/'Updated Population'!$B$114)*('Total Trip Tables Sup #1'!F174/'Total Trip Tables Sup #1'!$B174)</f>
        <v>0.33121250200924501</v>
      </c>
      <c r="G119" s="4">
        <f ca="1">$B119*('Updated Population'!G$114/'Updated Population'!$B$114)*('Total Trip Tables Sup #1'!G174/'Total Trip Tables Sup #1'!$B174)</f>
        <v>0.32417595207665295</v>
      </c>
      <c r="H119" s="4">
        <f ca="1">$B119*('Updated Population'!H$114/'Updated Population'!$B$114)*('Total Trip Tables Sup #1'!H174/'Total Trip Tables Sup #1'!$B174)</f>
        <v>0.3144688129908158</v>
      </c>
      <c r="I119" s="1">
        <f ca="1">$B119*('Updated Population'!I$114/'Updated Population'!$B$114)*('Total Trip Tables Sup #1'!I174/'Total Trip Tables Sup #1'!$B174)</f>
        <v>0.30638148990679576</v>
      </c>
      <c r="J119" s="1">
        <f ca="1">$B119*('Updated Population'!J$114/'Updated Population'!$B$114)*('Total Trip Tables Sup #1'!J174/'Total Trip Tables Sup #1'!$B174)</f>
        <v>0.29755196803584905</v>
      </c>
      <c r="K119" s="1">
        <f ca="1">$B119*('Updated Population'!K$114/'Updated Population'!$B$114)*('Total Trip Tables Sup #1'!K174/'Total Trip Tables Sup #1'!$B174)</f>
        <v>0.28835587164412108</v>
      </c>
    </row>
    <row r="120" spans="1:11" x14ac:dyDescent="0.2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$B120*('Updated Population'!C$114/'Updated Population'!$B$114)*('Total Trip Tables Sup #1'!C175/'Total Trip Tables Sup #1'!$B175)</f>
        <v>5.7864371948331841E-2</v>
      </c>
      <c r="D120" s="4">
        <f ca="1">$B120*('Updated Population'!D$114/'Updated Population'!$B$114)*('Total Trip Tables Sup #1'!D175/'Total Trip Tables Sup #1'!$B175)</f>
        <v>5.5641482680300822E-2</v>
      </c>
      <c r="E120" s="4">
        <f ca="1">$B120*('Updated Population'!E$114/'Updated Population'!$B$114)*('Total Trip Tables Sup #1'!E175/'Total Trip Tables Sup #1'!$B175)</f>
        <v>5.2833892503272091E-2</v>
      </c>
      <c r="F120" s="4">
        <f ca="1">$B120*('Updated Population'!F$114/'Updated Population'!$B$114)*('Total Trip Tables Sup #1'!F175/'Total Trip Tables Sup #1'!$B175)</f>
        <v>4.9542404308988243E-2</v>
      </c>
      <c r="G120" s="4">
        <f ca="1">$B120*('Updated Population'!G$114/'Updated Population'!$B$114)*('Total Trip Tables Sup #1'!G175/'Total Trip Tables Sup #1'!$B175)</f>
        <v>4.542142756084705E-2</v>
      </c>
      <c r="H120" s="4">
        <f ca="1">$B120*('Updated Population'!H$114/'Updated Population'!$B$114)*('Total Trip Tables Sup #1'!H175/'Total Trip Tables Sup #1'!$B175)</f>
        <v>4.1310265063979758E-2</v>
      </c>
      <c r="I120" s="1">
        <f ca="1">$B120*('Updated Population'!I$114/'Updated Population'!$B$114)*('Total Trip Tables Sup #1'!I175/'Total Trip Tables Sup #1'!$B175)</f>
        <v>4.0247872081090652E-2</v>
      </c>
      <c r="J120" s="1">
        <f ca="1">$B120*('Updated Population'!J$114/'Updated Population'!$B$114)*('Total Trip Tables Sup #1'!J175/'Total Trip Tables Sup #1'!$B175)</f>
        <v>3.9087979990654116E-2</v>
      </c>
      <c r="K120" s="1">
        <f ca="1">$B120*('Updated Population'!K$114/'Updated Population'!$B$114)*('Total Trip Tables Sup #1'!K175/'Total Trip Tables Sup #1'!$B175)</f>
        <v>3.7879932757342985E-2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Trip Tables Sup #1'!C176/'Total Trip Tables Sup #1'!$B176)</f>
        <v>0</v>
      </c>
      <c r="D121" s="4">
        <f ca="1">$B121*('Updated Population'!D$114/'Updated Population'!$B$114)*('Total Trip Tables Sup #1'!D176/'Total Trip Tables Sup #1'!$B176)</f>
        <v>0</v>
      </c>
      <c r="E121" s="4">
        <f ca="1">$B121*('Updated Population'!E$114/'Updated Population'!$B$114)*('Total Trip Tables Sup #1'!E176/'Total Trip Tables Sup #1'!$B176)</f>
        <v>0</v>
      </c>
      <c r="F121" s="4">
        <f ca="1">$B121*('Updated Population'!F$114/'Updated Population'!$B$114)*('Total Trip Tables Sup #1'!F176/'Total Trip Tables Sup #1'!$B176)</f>
        <v>0</v>
      </c>
      <c r="G121" s="4">
        <f ca="1">$B121*('Updated Population'!G$114/'Updated Population'!$B$114)*('Total Trip Tables Sup #1'!G176/'Total Trip Tables Sup #1'!$B176)</f>
        <v>0</v>
      </c>
      <c r="H121" s="4">
        <f ca="1">$B121*('Updated Population'!H$114/'Updated Population'!$B$114)*('Total Trip Tables Sup #1'!H176/'Total Trip Tables Sup #1'!$B176)</f>
        <v>0</v>
      </c>
      <c r="I121" s="1">
        <f ca="1">$B121*('Updated Population'!I$114/'Updated Population'!$B$114)*('Total Trip Tables Sup #1'!I176/'Total Trip Tables Sup #1'!$B176)</f>
        <v>0</v>
      </c>
      <c r="J121" s="1">
        <f ca="1">$B121*('Updated Population'!J$114/'Updated Population'!$B$114)*('Total Trip Tables Sup #1'!J176/'Total Trip Tables Sup #1'!$B176)</f>
        <v>0</v>
      </c>
      <c r="K121" s="1">
        <f ca="1">$B121*('Updated Population'!K$114/'Updated Population'!$B$114)*('Total Trip Tables Sup #1'!K176/'Total Trip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$B122*('Updated Population'!C$114/'Updated Population'!$B$114)*('Total Trip Tables Sup #1'!C177/'Total Trip Tables Sup #1'!$B177)</f>
        <v>0.44138447437713096</v>
      </c>
      <c r="D122" s="4">
        <f ca="1">$B122*('Updated Population'!D$114/'Updated Population'!$B$114)*('Total Trip Tables Sup #1'!D177/'Total Trip Tables Sup #1'!$B177)</f>
        <v>0.42772903536981072</v>
      </c>
      <c r="E122" s="4">
        <f ca="1">$B122*('Updated Population'!E$114/'Updated Population'!$B$114)*('Total Trip Tables Sup #1'!E177/'Total Trip Tables Sup #1'!$B177)</f>
        <v>0.40927001333672719</v>
      </c>
      <c r="F122" s="4">
        <f ca="1">$B122*('Updated Population'!F$114/'Updated Population'!$B$114)*('Total Trip Tables Sup #1'!F177/'Total Trip Tables Sup #1'!$B177)</f>
        <v>0.38953363451223355</v>
      </c>
      <c r="G122" s="4">
        <f ca="1">$B122*('Updated Population'!G$114/'Updated Population'!$B$114)*('Total Trip Tables Sup #1'!G177/'Total Trip Tables Sup #1'!$B177)</f>
        <v>0.37319244228404413</v>
      </c>
      <c r="H122" s="4">
        <f ca="1">$B122*('Updated Population'!H$114/'Updated Population'!$B$114)*('Total Trip Tables Sup #1'!H177/'Total Trip Tables Sup #1'!$B177)</f>
        <v>0.35686208805684361</v>
      </c>
      <c r="I122" s="1">
        <f ca="1">$B122*('Updated Population'!I$114/'Updated Population'!$B$114)*('Total Trip Tables Sup #1'!I177/'Total Trip Tables Sup #1'!$B177)</f>
        <v>0.34768451977875175</v>
      </c>
      <c r="J122" s="1">
        <f ca="1">$B122*('Updated Population'!J$114/'Updated Population'!$B$114)*('Total Trip Tables Sup #1'!J177/'Total Trip Tables Sup #1'!$B177)</f>
        <v>0.33766469752215922</v>
      </c>
      <c r="K122" s="1">
        <f ca="1">$B122*('Updated Population'!K$114/'Updated Population'!$B$114)*('Total Trip Tables Sup #1'!K177/'Total Trip Tables Sup #1'!$B177)</f>
        <v>0.32722888314326276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Trip Tables Sup #1'!C178/'Total Trip Tables Sup #1'!$B178)</f>
        <v>0</v>
      </c>
      <c r="D123" s="4">
        <f ca="1">$B123*('Updated Population'!D$114/'Updated Population'!$B$114)*('Total Trip Tables Sup #1'!D178/'Total Trip Tables Sup #1'!$B178)</f>
        <v>0</v>
      </c>
      <c r="E123" s="4">
        <f ca="1">$B123*('Updated Population'!E$114/'Updated Population'!$B$114)*('Total Trip Tables Sup #1'!E178/'Total Trip Tables Sup #1'!$B178)</f>
        <v>0</v>
      </c>
      <c r="F123" s="4">
        <f ca="1">$B123*('Updated Population'!F$114/'Updated Population'!$B$114)*('Total Trip Tables Sup #1'!F178/'Total Trip Tables Sup #1'!$B178)</f>
        <v>0</v>
      </c>
      <c r="G123" s="4">
        <f ca="1">$B123*('Updated Population'!G$114/'Updated Population'!$B$114)*('Total Trip Tables Sup #1'!G178/'Total Trip Tables Sup #1'!$B178)</f>
        <v>0</v>
      </c>
      <c r="H123" s="4">
        <f ca="1">$B123*('Updated Population'!H$114/'Updated Population'!$B$114)*('Total Trip Tables Sup #1'!H178/'Total Trip Tables Sup #1'!$B178)</f>
        <v>0</v>
      </c>
      <c r="I123" s="1">
        <f ca="1">$B123*('Updated Population'!I$114/'Updated Population'!$B$114)*('Total Trip Tables Sup #1'!I178/'Total Trip Tables Sup #1'!$B178)</f>
        <v>0</v>
      </c>
      <c r="J123" s="1">
        <f ca="1">$B123*('Updated Population'!J$114/'Updated Population'!$B$114)*('Total Trip Tables Sup #1'!J178/'Total Trip Tables Sup #1'!$B178)</f>
        <v>0</v>
      </c>
      <c r="K123" s="1">
        <f ca="1">$B123*('Updated Population'!K$114/'Updated Population'!$B$114)*('Total Trip Tables Sup #1'!K178/'Total Trip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$B124*('Updated Population'!C$114/'Updated Population'!$B$114)*('Total Trip Tables Sup #1'!C179/'Total Trip Tables Sup #1'!$B179)</f>
        <v>2.6857806125223305E-2</v>
      </c>
      <c r="D124" s="4">
        <f ca="1">$B124*('Updated Population'!D$114/'Updated Population'!$B$114)*('Total Trip Tables Sup #1'!D179/'Total Trip Tables Sup #1'!$B179)</f>
        <v>2.6875744079345714E-2</v>
      </c>
      <c r="E124" s="4">
        <f ca="1">$B124*('Updated Population'!E$114/'Updated Population'!$B$114)*('Total Trip Tables Sup #1'!E179/'Total Trip Tables Sup #1'!$B179)</f>
        <v>2.6288596333262006E-2</v>
      </c>
      <c r="F124" s="4">
        <f ca="1">$B124*('Updated Population'!F$114/'Updated Population'!$B$114)*('Total Trip Tables Sup #1'!F179/'Total Trip Tables Sup #1'!$B179)</f>
        <v>2.5312534526857802E-2</v>
      </c>
      <c r="G124" s="4">
        <f ca="1">$B124*('Updated Population'!G$114/'Updated Population'!$B$114)*('Total Trip Tables Sup #1'!G179/'Total Trip Tables Sup #1'!$B179)</f>
        <v>2.403869993837578E-2</v>
      </c>
      <c r="H124" s="4">
        <f ca="1">$B124*('Updated Population'!H$114/'Updated Population'!$B$114)*('Total Trip Tables Sup #1'!H179/'Total Trip Tables Sup #1'!$B179)</f>
        <v>2.2370238915624244E-2</v>
      </c>
      <c r="I124" s="1">
        <f ca="1">$B124*('Updated Population'!I$114/'Updated Population'!$B$114)*('Total Trip Tables Sup #1'!I179/'Total Trip Tables Sup #1'!$B179)</f>
        <v>2.1794934331819126E-2</v>
      </c>
      <c r="J124" s="1">
        <f ca="1">$B124*('Updated Population'!J$114/'Updated Population'!$B$114)*('Total Trip Tables Sup #1'!J179/'Total Trip Tables Sup #1'!$B179)</f>
        <v>2.1166832257450384E-2</v>
      </c>
      <c r="K124" s="1">
        <f ca="1">$B124*('Updated Population'!K$114/'Updated Population'!$B$114)*('Total Trip Tables Sup #1'!K179/'Total Trip Tables Sup #1'!$B179)</f>
        <v>2.0512653321811149E-2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$B126*('Updated Population'!C$125/'Updated Population'!$B$125)*('Total Trip Tables Sup #1'!C170/'Total Trip Tables Sup #1'!$B170)</f>
        <v>140.61237292860221</v>
      </c>
      <c r="D126" s="4">
        <f ca="1">$B126*('Updated Population'!D$125/'Updated Population'!$B$125)*('Total Trip Tables Sup #1'!D170/'Total Trip Tables Sup #1'!$B170)</f>
        <v>144.98828683588238</v>
      </c>
      <c r="E126" s="4">
        <f ca="1">$B126*('Updated Population'!E$125/'Updated Population'!$B$125)*('Total Trip Tables Sup #1'!E170/'Total Trip Tables Sup #1'!$B170)</f>
        <v>145.31561501418588</v>
      </c>
      <c r="F126" s="4">
        <f ca="1">$B126*('Updated Population'!F$125/'Updated Population'!$B$125)*('Total Trip Tables Sup #1'!F170/'Total Trip Tables Sup #1'!$B170)</f>
        <v>144.48740319730595</v>
      </c>
      <c r="G126" s="4">
        <f ca="1">$B126*('Updated Population'!G$125/'Updated Population'!$B$125)*('Total Trip Tables Sup #1'!G170/'Total Trip Tables Sup #1'!$B170)</f>
        <v>143.22887881696192</v>
      </c>
      <c r="H126" s="4">
        <f ca="1">$B126*('Updated Population'!H$125/'Updated Population'!$B$125)*('Total Trip Tables Sup #1'!H170/'Total Trip Tables Sup #1'!$B170)</f>
        <v>141.12368994243354</v>
      </c>
      <c r="I126" s="1">
        <f ca="1">$B126*('Updated Population'!I$125/'Updated Population'!$B$125)*('Total Trip Tables Sup #1'!I170/'Total Trip Tables Sup #1'!$B170)</f>
        <v>144.69402443665231</v>
      </c>
      <c r="J126" s="1">
        <f ca="1">$B126*('Updated Population'!J$125/'Updated Population'!$B$125)*('Total Trip Tables Sup #1'!J170/'Total Trip Tables Sup #1'!$B170)</f>
        <v>147.8824474659699</v>
      </c>
      <c r="K126" s="1">
        <f ca="1">$B126*('Updated Population'!K$125/'Updated Population'!$B$125)*('Total Trip Tables Sup #1'!K170/'Total Trip Tables Sup #1'!$B170)</f>
        <v>150.81631733605747</v>
      </c>
    </row>
    <row r="127" spans="1:11" x14ac:dyDescent="0.2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$B127*('Updated Population'!C$125/'Updated Population'!$B$125)*('Total Trip Tables Sup #1'!C171/'Total Trip Tables Sup #1'!$B171)</f>
        <v>24.600304938609547</v>
      </c>
      <c r="D127" s="4">
        <f ca="1">$B127*('Updated Population'!D$125/'Updated Population'!$B$125)*('Total Trip Tables Sup #1'!D171/'Total Trip Tables Sup #1'!$B171)</f>
        <v>25.707133325862028</v>
      </c>
      <c r="E127" s="4">
        <f ca="1">$B127*('Updated Population'!E$125/'Updated Population'!$B$125)*('Total Trip Tables Sup #1'!E171/'Total Trip Tables Sup #1'!$B171)</f>
        <v>25.425350559813069</v>
      </c>
      <c r="F127" s="4">
        <f ca="1">$B127*('Updated Population'!F$125/'Updated Population'!$B$125)*('Total Trip Tables Sup #1'!F171/'Total Trip Tables Sup #1'!$B171)</f>
        <v>25.232960978034249</v>
      </c>
      <c r="G127" s="4">
        <f ca="1">$B127*('Updated Population'!G$125/'Updated Population'!$B$125)*('Total Trip Tables Sup #1'!G171/'Total Trip Tables Sup #1'!$B171)</f>
        <v>25.082386605848448</v>
      </c>
      <c r="H127" s="4">
        <f ca="1">$B127*('Updated Population'!H$125/'Updated Population'!$B$125)*('Total Trip Tables Sup #1'!H171/'Total Trip Tables Sup #1'!$B171)</f>
        <v>24.920605527712993</v>
      </c>
      <c r="I127" s="1">
        <f ca="1">$B127*('Updated Population'!I$125/'Updated Population'!$B$125)*('Total Trip Tables Sup #1'!I171/'Total Trip Tables Sup #1'!$B171)</f>
        <v>25.551080096289731</v>
      </c>
      <c r="J127" s="1">
        <f ca="1">$B127*('Updated Population'!J$125/'Updated Population'!$B$125)*('Total Trip Tables Sup #1'!J171/'Total Trip Tables Sup #1'!$B171)</f>
        <v>26.114114074507782</v>
      </c>
      <c r="K127" s="1">
        <f ca="1">$B127*('Updated Population'!K$125/'Updated Population'!$B$125)*('Total Trip Tables Sup #1'!K171/'Total Trip Tables Sup #1'!$B171)</f>
        <v>26.632197280324746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$B128*('Updated Population'!C$125/'Updated Population'!$B$125)*('Total Trip Tables Sup #1'!C172/'Total Trip Tables Sup #1'!$B172)</f>
        <v>462.75442107797539</v>
      </c>
      <c r="D128" s="4">
        <f ca="1">$B128*('Updated Population'!D$125/'Updated Population'!$B$125)*('Total Trip Tables Sup #1'!D172/'Total Trip Tables Sup #1'!$B172)</f>
        <v>485.9479683802752</v>
      </c>
      <c r="E128" s="4">
        <f ca="1">$B128*('Updated Population'!E$125/'Updated Population'!$B$125)*('Total Trip Tables Sup #1'!E172/'Total Trip Tables Sup #1'!$B172)</f>
        <v>503.62245706965234</v>
      </c>
      <c r="F128" s="4">
        <f ca="1">$B128*('Updated Population'!F$125/'Updated Population'!$B$125)*('Total Trip Tables Sup #1'!F172/'Total Trip Tables Sup #1'!$B172)</f>
        <v>517.06670680928562</v>
      </c>
      <c r="G128" s="4">
        <f ca="1">$B128*('Updated Population'!G$125/'Updated Population'!$B$125)*('Total Trip Tables Sup #1'!G172/'Total Trip Tables Sup #1'!$B172)</f>
        <v>525.03093613968963</v>
      </c>
      <c r="H128" s="4">
        <f ca="1">$B128*('Updated Population'!H$125/'Updated Population'!$B$125)*('Total Trip Tables Sup #1'!H172/'Total Trip Tables Sup #1'!$B172)</f>
        <v>528.85548610221497</v>
      </c>
      <c r="I128" s="1">
        <f ca="1">$B128*('Updated Population'!I$125/'Updated Population'!$B$125)*('Total Trip Tables Sup #1'!I172/'Total Trip Tables Sup #1'!$B172)</f>
        <v>542.23517441151159</v>
      </c>
      <c r="J128" s="1">
        <f ca="1">$B128*('Updated Population'!J$125/'Updated Population'!$B$125)*('Total Trip Tables Sup #1'!J172/'Total Trip Tables Sup #1'!$B172)</f>
        <v>554.18366450383473</v>
      </c>
      <c r="K128" s="1">
        <f ca="1">$B128*('Updated Population'!K$125/'Updated Population'!$B$125)*('Total Trip Tables Sup #1'!K172/'Total Trip Tables Sup #1'!$B172)</f>
        <v>565.17822662829951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$B129*('Updated Population'!C$125/'Updated Population'!$B$125)*('Total Trip Tables Sup #1'!C173/'Total Trip Tables Sup #1'!$B173)</f>
        <v>200.2601307382655</v>
      </c>
      <c r="D129" s="4">
        <f ca="1">$B129*('Updated Population'!D$125/'Updated Population'!$B$125)*('Total Trip Tables Sup #1'!D173/'Total Trip Tables Sup #1'!$B173)</f>
        <v>206.44195354367463</v>
      </c>
      <c r="E129" s="4">
        <f ca="1">$B129*('Updated Population'!E$125/'Updated Population'!$B$125)*('Total Trip Tables Sup #1'!E173/'Total Trip Tables Sup #1'!$B173)</f>
        <v>209.91803356542434</v>
      </c>
      <c r="F129" s="4">
        <f ca="1">$B129*('Updated Population'!F$125/'Updated Population'!$B$125)*('Total Trip Tables Sup #1'!F173/'Total Trip Tables Sup #1'!$B173)</f>
        <v>212.53990079440061</v>
      </c>
      <c r="G129" s="4">
        <f ca="1">$B129*('Updated Population'!G$125/'Updated Population'!$B$125)*('Total Trip Tables Sup #1'!G173/'Total Trip Tables Sup #1'!$B173)</f>
        <v>213.91634553803422</v>
      </c>
      <c r="H129" s="4">
        <f ca="1">$B129*('Updated Population'!H$125/'Updated Population'!$B$125)*('Total Trip Tables Sup #1'!H173/'Total Trip Tables Sup #1'!$B173)</f>
        <v>214.10692277689785</v>
      </c>
      <c r="I129" s="1">
        <f ca="1">$B129*('Updated Population'!I$125/'Updated Population'!$B$125)*('Total Trip Tables Sup #1'!I173/'Total Trip Tables Sup #1'!$B173)</f>
        <v>219.52368400354391</v>
      </c>
      <c r="J129" s="1">
        <f ca="1">$B129*('Updated Population'!J$125/'Updated Population'!$B$125)*('Total Trip Tables Sup #1'!J173/'Total Trip Tables Sup #1'!$B173)</f>
        <v>224.36102522950426</v>
      </c>
      <c r="K129" s="1">
        <f ca="1">$B129*('Updated Population'!K$125/'Updated Population'!$B$125)*('Total Trip Tables Sup #1'!K173/'Total Trip Tables Sup #1'!$B173)</f>
        <v>228.81216911589601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$B130*('Updated Population'!C$125/'Updated Population'!$B$125)*('Total Trip Tables Sup #1'!C174/'Total Trip Tables Sup #1'!$B174)</f>
        <v>2.6405185692584014</v>
      </c>
      <c r="D130" s="4">
        <f ca="1">$B130*('Updated Population'!D$125/'Updated Population'!$B$125)*('Total Trip Tables Sup #1'!D174/'Total Trip Tables Sup #1'!$B174)</f>
        <v>2.9406333181053812</v>
      </c>
      <c r="E130" s="4">
        <f ca="1">$B130*('Updated Population'!E$125/'Updated Population'!$B$125)*('Total Trip Tables Sup #1'!E174/'Total Trip Tables Sup #1'!$B174)</f>
        <v>3.1382771841653385</v>
      </c>
      <c r="F130" s="4">
        <f ca="1">$B130*('Updated Population'!F$125/'Updated Population'!$B$125)*('Total Trip Tables Sup #1'!F174/'Total Trip Tables Sup #1'!$B174)</f>
        <v>3.2897823065161922</v>
      </c>
      <c r="G130" s="4">
        <f ca="1">$B130*('Updated Population'!G$125/'Updated Population'!$B$125)*('Total Trip Tables Sup #1'!G174/'Total Trip Tables Sup #1'!$B174)</f>
        <v>3.3911988271610976</v>
      </c>
      <c r="H130" s="4">
        <f ca="1">$B130*('Updated Population'!H$125/'Updated Population'!$B$125)*('Total Trip Tables Sup #1'!H174/'Total Trip Tables Sup #1'!$B174)</f>
        <v>3.4619099738368635</v>
      </c>
      <c r="I130" s="1">
        <f ca="1">$B130*('Updated Population'!I$125/'Updated Population'!$B$125)*('Total Trip Tables Sup #1'!I174/'Total Trip Tables Sup #1'!$B174)</f>
        <v>3.5494939691285938</v>
      </c>
      <c r="J130" s="1">
        <f ca="1">$B130*('Updated Population'!J$125/'Updated Population'!$B$125)*('Total Trip Tables Sup #1'!J174/'Total Trip Tables Sup #1'!$B174)</f>
        <v>3.6277092814585674</v>
      </c>
      <c r="K130" s="1">
        <f ca="1">$B130*('Updated Population'!K$125/'Updated Population'!$B$125)*('Total Trip Tables Sup #1'!K174/'Total Trip Tables Sup #1'!$B174)</f>
        <v>3.6996801416971188</v>
      </c>
    </row>
    <row r="131" spans="1:11" x14ac:dyDescent="0.2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$B131*('Updated Population'!C$125/'Updated Population'!$B$125)*('Total Trip Tables Sup #1'!C175/'Total Trip Tables Sup #1'!$B175)</f>
        <v>1.5230243525391225</v>
      </c>
      <c r="D131" s="4">
        <f ca="1">$B131*('Updated Population'!D$125/'Updated Population'!$B$125)*('Total Trip Tables Sup #1'!D175/'Total Trip Tables Sup #1'!$B175)</f>
        <v>1.5608663738582789</v>
      </c>
      <c r="E131" s="4">
        <f ca="1">$B131*('Updated Population'!E$125/'Updated Population'!$B$125)*('Total Trip Tables Sup #1'!E175/'Total Trip Tables Sup #1'!$B175)</f>
        <v>1.5588659514347951</v>
      </c>
      <c r="F131" s="4">
        <f ca="1">$B131*('Updated Population'!F$125/'Updated Population'!$B$125)*('Total Trip Tables Sup #1'!F175/'Total Trip Tables Sup #1'!$B175)</f>
        <v>1.5384898012912982</v>
      </c>
      <c r="G131" s="4">
        <f ca="1">$B131*('Updated Population'!G$125/'Updated Population'!$B$125)*('Total Trip Tables Sup #1'!G175/'Total Trip Tables Sup #1'!$B175)</f>
        <v>1.4855604931667714</v>
      </c>
      <c r="H131" s="4">
        <f ca="1">$B131*('Updated Population'!H$125/'Updated Population'!$B$125)*('Total Trip Tables Sup #1'!H175/'Total Trip Tables Sup #1'!$B175)</f>
        <v>1.421848334162122</v>
      </c>
      <c r="I131" s="1">
        <f ca="1">$B131*('Updated Population'!I$125/'Updated Population'!$B$125)*('Total Trip Tables Sup #1'!I175/'Total Trip Tables Sup #1'!$B175)</f>
        <v>1.4578201412703209</v>
      </c>
      <c r="J131" s="1">
        <f ca="1">$B131*('Updated Population'!J$125/'Updated Population'!$B$125)*('Total Trip Tables Sup #1'!J175/'Total Trip Tables Sup #1'!$B175)</f>
        <v>1.4899441168741945</v>
      </c>
      <c r="K131" s="1">
        <f ca="1">$B131*('Updated Population'!K$125/'Updated Population'!$B$125)*('Total Trip Tables Sup #1'!K175/'Total Trip Tables Sup #1'!$B175)</f>
        <v>1.5195034204123465</v>
      </c>
    </row>
    <row r="132" spans="1:11" x14ac:dyDescent="0.2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1.99248107E-2</v>
      </c>
      <c r="D132" s="4">
        <f ca="1">OFFSET(Canterbury_Reference,44,5)</f>
        <v>1.6459804799999998E-2</v>
      </c>
      <c r="E132" s="4">
        <f ca="1">OFFSET(Canterbury_Reference,45,5)</f>
        <v>1.4009838300000001E-2</v>
      </c>
      <c r="F132" s="4">
        <f ca="1">OFFSET(Canterbury_Reference,46,5)</f>
        <v>1.22507378E-2</v>
      </c>
      <c r="G132" s="4">
        <f ca="1">OFFSET(Canterbury_Reference,47,5)</f>
        <v>9.6489904999999994E-3</v>
      </c>
      <c r="H132" s="4">
        <f ca="1">OFFSET(Canterbury_Reference,48,5)</f>
        <v>7.4421276E-3</v>
      </c>
      <c r="I132" s="1">
        <f ca="1">OFFSET(Canterbury_Reference,48,5)</f>
        <v>7.4421276E-3</v>
      </c>
      <c r="J132" s="1">
        <f ca="1">OFFSET(Canterbury_Reference,48,5)</f>
        <v>7.4421276E-3</v>
      </c>
      <c r="K132" s="1">
        <f ca="1">OFFSET(Canterbury_Reference,48,5)</f>
        <v>7.4421276E-3</v>
      </c>
    </row>
    <row r="133" spans="1:11" x14ac:dyDescent="0.2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18.950914411999999</v>
      </c>
      <c r="D133" s="4">
        <f ca="1">OFFSET(Canterbury_Reference,51,5)</f>
        <v>18.604709035999999</v>
      </c>
      <c r="E133" s="4">
        <f ca="1">OFFSET(Canterbury_Reference,52,5)</f>
        <v>17.364226896000002</v>
      </c>
      <c r="F133" s="4">
        <f ca="1">OFFSET(Canterbury_Reference,53,5)</f>
        <v>16.073011381000001</v>
      </c>
      <c r="G133" s="4">
        <f ca="1">OFFSET(Canterbury_Reference,54,5)</f>
        <v>15.092949816999999</v>
      </c>
      <c r="H133" s="4">
        <f ca="1">OFFSET(Canterbury_Reference,55,5)</f>
        <v>14.25533604</v>
      </c>
      <c r="I133" s="1">
        <f ca="1">OFFSET(Canterbury_Reference,55,5)</f>
        <v>14.25533604</v>
      </c>
      <c r="J133" s="1">
        <f ca="1">OFFSET(Canterbury_Reference,55,5)</f>
        <v>14.25533604</v>
      </c>
      <c r="K133" s="1">
        <f ca="1">OFFSET(Canterbury_Reference,55,5)</f>
        <v>14.25533604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Trip Tables Sup #1'!C178/'Total Trip Tables Sup #1'!$B178)</f>
        <v>0</v>
      </c>
      <c r="D134" s="4">
        <f ca="1">$B134*('Updated Population'!D$125/'Updated Population'!$B$125)*('Total Trip Tables Sup #1'!D178/'Total Trip Tables Sup #1'!$B178)</f>
        <v>0</v>
      </c>
      <c r="E134" s="4">
        <f ca="1">$B134*('Updated Population'!E$125/'Updated Population'!$B$125)*('Total Trip Tables Sup #1'!E178/'Total Trip Tables Sup #1'!$B178)</f>
        <v>0</v>
      </c>
      <c r="F134" s="4">
        <f ca="1">$B134*('Updated Population'!F$125/'Updated Population'!$B$125)*('Total Trip Tables Sup #1'!F178/'Total Trip Tables Sup #1'!$B178)</f>
        <v>0</v>
      </c>
      <c r="G134" s="4">
        <f ca="1">$B134*('Updated Population'!G$125/'Updated Population'!$B$125)*('Total Trip Tables Sup #1'!G178/'Total Trip Tables Sup #1'!$B178)</f>
        <v>0</v>
      </c>
      <c r="H134" s="4">
        <f ca="1">$B134*('Updated Population'!H$125/'Updated Population'!$B$125)*('Total Trip Tables Sup #1'!H178/'Total Trip Tables Sup #1'!$B178)</f>
        <v>0</v>
      </c>
      <c r="I134" s="1">
        <f ca="1">$B134*('Updated Population'!I$125/'Updated Population'!$B$125)*('Total Trip Tables Sup #1'!I178/'Total Trip Tables Sup #1'!$B178)</f>
        <v>0</v>
      </c>
      <c r="J134" s="1">
        <f ca="1">$B134*('Updated Population'!J$125/'Updated Population'!$B$125)*('Total Trip Tables Sup #1'!J178/'Total Trip Tables Sup #1'!$B178)</f>
        <v>0</v>
      </c>
      <c r="K134" s="1">
        <f ca="1">$B134*('Updated Population'!K$125/'Updated Population'!$B$125)*('Total Trip Tables Sup #1'!K178/'Total Trip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$B135*('Updated Population'!C$125/'Updated Population'!$B$125)*('Total Trip Tables Sup #1'!C179/'Total Trip Tables Sup #1'!$B179)</f>
        <v>1.6769846382926448</v>
      </c>
      <c r="D135" s="4">
        <f ca="1">$B135*('Updated Population'!D$125/'Updated Population'!$B$125)*('Total Trip Tables Sup #1'!D179/'Total Trip Tables Sup #1'!$B179)</f>
        <v>1.7885062961634459</v>
      </c>
      <c r="E135" s="4">
        <f ca="1">$B135*('Updated Population'!E$125/'Updated Population'!$B$125)*('Total Trip Tables Sup #1'!E179/'Total Trip Tables Sup #1'!$B179)</f>
        <v>1.8400367917049671</v>
      </c>
      <c r="F135" s="4">
        <f ca="1">$B135*('Updated Population'!F$125/'Updated Population'!$B$125)*('Total Trip Tables Sup #1'!F179/'Total Trip Tables Sup #1'!$B179)</f>
        <v>1.8647307018949701</v>
      </c>
      <c r="G135" s="4">
        <f ca="1">$B135*('Updated Population'!G$125/'Updated Population'!$B$125)*('Total Trip Tables Sup #1'!G179/'Total Trip Tables Sup #1'!$B179)</f>
        <v>1.8651058490843555</v>
      </c>
      <c r="H135" s="4">
        <f ca="1">$B135*('Updated Population'!H$125/'Updated Population'!$B$125)*('Total Trip Tables Sup #1'!H179/'Total Trip Tables Sup #1'!$B179)</f>
        <v>1.8265386241666997</v>
      </c>
      <c r="I135" s="1">
        <f ca="1">$B135*('Updated Population'!I$125/'Updated Population'!$B$125)*('Total Trip Tables Sup #1'!I179/'Total Trip Tables Sup #1'!$B179)</f>
        <v>1.8727488235849929</v>
      </c>
      <c r="J135" s="1">
        <f ca="1">$B135*('Updated Population'!J$125/'Updated Population'!$B$125)*('Total Trip Tables Sup #1'!J179/'Total Trip Tables Sup #1'!$B179)</f>
        <v>1.9140160113661995</v>
      </c>
      <c r="K135" s="1">
        <f ca="1">$B135*('Updated Population'!K$125/'Updated Population'!$B$125)*('Total Trip Tables Sup #1'!K179/'Total Trip Tables Sup #1'!$B179)</f>
        <v>1.9519885632331455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$B137*('Updated Population'!C$136/'Updated Population'!$B$136)*('Total Trip Tables Sup #1'!C170/'Total Trip Tables Sup #1'!$B170)</f>
        <v>61.062967048129877</v>
      </c>
      <c r="D137" s="4">
        <f ca="1">$B137*('Updated Population'!D$136/'Updated Population'!$B$136)*('Total Trip Tables Sup #1'!D170/'Total Trip Tables Sup #1'!$B170)</f>
        <v>61.745302496531359</v>
      </c>
      <c r="E137" s="4">
        <f ca="1">$B137*('Updated Population'!E$136/'Updated Population'!$B$136)*('Total Trip Tables Sup #1'!E170/'Total Trip Tables Sup #1'!$B170)</f>
        <v>60.882540728459546</v>
      </c>
      <c r="F137" s="4">
        <f ca="1">$B137*('Updated Population'!F$136/'Updated Population'!$B$136)*('Total Trip Tables Sup #1'!F170/'Total Trip Tables Sup #1'!$B170)</f>
        <v>59.58101159854597</v>
      </c>
      <c r="G137" s="4">
        <f ca="1">$B137*('Updated Population'!G$136/'Updated Population'!$B$136)*('Total Trip Tables Sup #1'!G170/'Total Trip Tables Sup #1'!$B170)</f>
        <v>58.166285121976046</v>
      </c>
      <c r="H137" s="4">
        <f ca="1">$B137*('Updated Population'!H$136/'Updated Population'!$B$136)*('Total Trip Tables Sup #1'!H170/'Total Trip Tables Sup #1'!$B170)</f>
        <v>56.45496938686501</v>
      </c>
      <c r="I137" s="1">
        <f ca="1">$B137*('Updated Population'!I$136/'Updated Population'!$B$136)*('Total Trip Tables Sup #1'!I170/'Total Trip Tables Sup #1'!$B170)</f>
        <v>57.018313336717881</v>
      </c>
      <c r="J137" s="1">
        <f ca="1">$B137*('Updated Population'!J$136/'Updated Population'!$B$136)*('Total Trip Tables Sup #1'!J170/'Total Trip Tables Sup #1'!$B170)</f>
        <v>57.403968463757494</v>
      </c>
      <c r="K137" s="1">
        <f ca="1">$B137*('Updated Population'!K$136/'Updated Population'!$B$136)*('Total Trip Tables Sup #1'!K170/'Total Trip Tables Sup #1'!$B170)</f>
        <v>57.668032809708414</v>
      </c>
    </row>
    <row r="138" spans="1:11" x14ac:dyDescent="0.2">
      <c r="A138" t="str">
        <f ca="1">OFFSET(Otago_Reference,7,2)</f>
        <v>Cyclist</v>
      </c>
      <c r="B138" s="4">
        <f ca="1">OFFSET(Otago_Reference,7,5)</f>
        <v>4.5847179276999999</v>
      </c>
      <c r="C138" s="4">
        <f ca="1">$B138*('Updated Population'!C$136/'Updated Population'!$B$136)*('Total Trip Tables Sup #1'!C171/'Total Trip Tables Sup #1'!$B171)</f>
        <v>4.6405484018967318</v>
      </c>
      <c r="D138" s="4">
        <f ca="1">$B138*('Updated Population'!D$136/'Updated Population'!$B$136)*('Total Trip Tables Sup #1'!D171/'Total Trip Tables Sup #1'!$B171)</f>
        <v>4.7555319630958595</v>
      </c>
      <c r="E138" s="4">
        <f ca="1">$B138*('Updated Population'!E$136/'Updated Population'!$B$136)*('Total Trip Tables Sup #1'!E171/'Total Trip Tables Sup #1'!$B171)</f>
        <v>4.6272384923862564</v>
      </c>
      <c r="F138" s="4">
        <f ca="1">$B138*('Updated Population'!F$136/'Updated Population'!$B$136)*('Total Trip Tables Sup #1'!F171/'Total Trip Tables Sup #1'!$B171)</f>
        <v>4.5198139027419559</v>
      </c>
      <c r="G138" s="4">
        <f ca="1">$B138*('Updated Population'!G$136/'Updated Population'!$B$136)*('Total Trip Tables Sup #1'!G171/'Total Trip Tables Sup #1'!$B171)</f>
        <v>4.424702174640653</v>
      </c>
      <c r="H138" s="4">
        <f ca="1">$B138*('Updated Population'!H$136/'Updated Population'!$B$136)*('Total Trip Tables Sup #1'!H171/'Total Trip Tables Sup #1'!$B171)</f>
        <v>4.3304725929632415</v>
      </c>
      <c r="I138" s="1">
        <f ca="1">$B138*('Updated Population'!I$136/'Updated Population'!$B$136)*('Total Trip Tables Sup #1'!I171/'Total Trip Tables Sup #1'!$B171)</f>
        <v>4.3736848302869795</v>
      </c>
      <c r="J138" s="1">
        <f ca="1">$B138*('Updated Population'!J$136/'Updated Population'!$B$136)*('Total Trip Tables Sup #1'!J171/'Total Trip Tables Sup #1'!$B171)</f>
        <v>4.4032671500742131</v>
      </c>
      <c r="K138" s="1">
        <f ca="1">$B138*('Updated Population'!K$136/'Updated Population'!$B$136)*('Total Trip Tables Sup #1'!K171/'Total Trip Tables Sup #1'!$B171)</f>
        <v>4.4235226461862229</v>
      </c>
    </row>
    <row r="139" spans="1:11" x14ac:dyDescent="0.2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$B139*('Updated Population'!C$136/'Updated Population'!$B$136)*('Total Trip Tables Sup #1'!C172/'Total Trip Tables Sup #1'!$B172)</f>
        <v>162.96370848147754</v>
      </c>
      <c r="D139" s="4">
        <f ca="1">$B139*('Updated Population'!D$136/'Updated Population'!$B$136)*('Total Trip Tables Sup #1'!D172/'Total Trip Tables Sup #1'!$B172)</f>
        <v>167.82116518471665</v>
      </c>
      <c r="E139" s="4">
        <f ca="1">$B139*('Updated Population'!E$136/'Updated Population'!$B$136)*('Total Trip Tables Sup #1'!E172/'Total Trip Tables Sup #1'!$B172)</f>
        <v>171.10847795742114</v>
      </c>
      <c r="F139" s="4">
        <f ca="1">$B139*('Updated Population'!F$136/'Updated Population'!$B$136)*('Total Trip Tables Sup #1'!F172/'Total Trip Tables Sup #1'!$B172)</f>
        <v>172.90614131240437</v>
      </c>
      <c r="G139" s="4">
        <f ca="1">$B139*('Updated Population'!G$136/'Updated Population'!$B$136)*('Total Trip Tables Sup #1'!G172/'Total Trip Tables Sup #1'!$B172)</f>
        <v>172.9066061113362</v>
      </c>
      <c r="H139" s="4">
        <f ca="1">$B139*('Updated Population'!H$136/'Updated Population'!$B$136)*('Total Trip Tables Sup #1'!H172/'Total Trip Tables Sup #1'!$B172)</f>
        <v>171.5636288605013</v>
      </c>
      <c r="I139" s="1">
        <f ca="1">$B139*('Updated Population'!I$136/'Updated Population'!$B$136)*('Total Trip Tables Sup #1'!I172/'Total Trip Tables Sup #1'!$B172)</f>
        <v>173.27560095760876</v>
      </c>
      <c r="J139" s="1">
        <f ca="1">$B139*('Updated Population'!J$136/'Updated Population'!$B$136)*('Total Trip Tables Sup #1'!J172/'Total Trip Tables Sup #1'!$B172)</f>
        <v>174.44758623724238</v>
      </c>
      <c r="K139" s="1">
        <f ca="1">$B139*('Updated Population'!K$136/'Updated Population'!$B$136)*('Total Trip Tables Sup #1'!K172/'Total Trip Tables Sup #1'!$B172)</f>
        <v>175.25006364421014</v>
      </c>
    </row>
    <row r="140" spans="1:11" x14ac:dyDescent="0.2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$B140*('Updated Population'!C$136/'Updated Population'!$B$136)*('Total Trip Tables Sup #1'!C173/'Total Trip Tables Sup #1'!$B173)</f>
        <v>73.422449415478084</v>
      </c>
      <c r="D140" s="4">
        <f ca="1">$B140*('Updated Population'!D$136/'Updated Population'!$B$136)*('Total Trip Tables Sup #1'!D173/'Total Trip Tables Sup #1'!$B173)</f>
        <v>74.224789097545127</v>
      </c>
      <c r="E140" s="4">
        <f ca="1">$B140*('Updated Population'!E$136/'Updated Population'!$B$136)*('Total Trip Tables Sup #1'!E173/'Total Trip Tables Sup #1'!$B173)</f>
        <v>74.25235646386092</v>
      </c>
      <c r="F140" s="4">
        <f ca="1">$B140*('Updated Population'!F$136/'Updated Population'!$B$136)*('Total Trip Tables Sup #1'!F173/'Total Trip Tables Sup #1'!$B173)</f>
        <v>73.994317413207</v>
      </c>
      <c r="G140" s="4">
        <f ca="1">$B140*('Updated Population'!G$136/'Updated Population'!$B$136)*('Total Trip Tables Sup #1'!G173/'Total Trip Tables Sup #1'!$B173)</f>
        <v>73.344020669615588</v>
      </c>
      <c r="H140" s="4">
        <f ca="1">$B140*('Updated Population'!H$136/'Updated Population'!$B$136)*('Total Trip Tables Sup #1'!H173/'Total Trip Tables Sup #1'!$B173)</f>
        <v>72.312432415317318</v>
      </c>
      <c r="I140" s="1">
        <f ca="1">$B140*('Updated Population'!I$136/'Updated Population'!$B$136)*('Total Trip Tables Sup #1'!I173/'Total Trip Tables Sup #1'!$B173)</f>
        <v>73.034012317719885</v>
      </c>
      <c r="J140" s="1">
        <f ca="1">$B140*('Updated Population'!J$136/'Updated Population'!$B$136)*('Total Trip Tables Sup #1'!J173/'Total Trip Tables Sup #1'!$B173)</f>
        <v>73.527992929392326</v>
      </c>
      <c r="K140" s="1">
        <f ca="1">$B140*('Updated Population'!K$136/'Updated Population'!$B$136)*('Total Trip Tables Sup #1'!K173/'Total Trip Tables Sup #1'!$B173)</f>
        <v>73.866229498772412</v>
      </c>
    </row>
    <row r="141" spans="1:11" x14ac:dyDescent="0.2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$B141*('Updated Population'!C$136/'Updated Population'!$B$136)*('Total Trip Tables Sup #1'!C174/'Total Trip Tables Sup #1'!$B174)</f>
        <v>0.98612369910965147</v>
      </c>
      <c r="D141" s="4">
        <f ca="1">$B141*('Updated Population'!D$136/'Updated Population'!$B$136)*('Total Trip Tables Sup #1'!D174/'Total Trip Tables Sup #1'!$B174)</f>
        <v>1.076960271111095</v>
      </c>
      <c r="E141" s="4">
        <f ca="1">$B141*('Updated Population'!E$136/'Updated Population'!$B$136)*('Total Trip Tables Sup #1'!E174/'Total Trip Tables Sup #1'!$B174)</f>
        <v>1.1307317520383595</v>
      </c>
      <c r="F141" s="4">
        <f ca="1">$B141*('Updated Population'!F$136/'Updated Population'!$B$136)*('Total Trip Tables Sup #1'!F174/'Total Trip Tables Sup #1'!$B174)</f>
        <v>1.1666292259304005</v>
      </c>
      <c r="G141" s="4">
        <f ca="1">$B141*('Updated Population'!G$136/'Updated Population'!$B$136)*('Total Trip Tables Sup #1'!G174/'Total Trip Tables Sup #1'!$B174)</f>
        <v>1.1843547154187224</v>
      </c>
      <c r="H141" s="4">
        <f ca="1">$B141*('Updated Population'!H$136/'Updated Population'!$B$136)*('Total Trip Tables Sup #1'!H174/'Total Trip Tables Sup #1'!$B174)</f>
        <v>1.1909837268045649</v>
      </c>
      <c r="I141" s="1">
        <f ca="1">$B141*('Updated Population'!I$136/'Updated Population'!$B$136)*('Total Trip Tables Sup #1'!I174/'Total Trip Tables Sup #1'!$B174)</f>
        <v>1.2028681274898425</v>
      </c>
      <c r="J141" s="1">
        <f ca="1">$B141*('Updated Population'!J$136/'Updated Population'!$B$136)*('Total Trip Tables Sup #1'!J174/'Total Trip Tables Sup #1'!$B174)</f>
        <v>1.2110039742620804</v>
      </c>
      <c r="K141" s="1">
        <f ca="1">$B141*('Updated Population'!K$136/'Updated Population'!$B$136)*('Total Trip Tables Sup #1'!K174/'Total Trip Tables Sup #1'!$B174)</f>
        <v>1.21657472104084</v>
      </c>
    </row>
    <row r="142" spans="1:11" x14ac:dyDescent="0.2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$B142*('Updated Population'!C$136/'Updated Population'!$B$136)*('Total Trip Tables Sup #1'!C175/'Total Trip Tables Sup #1'!$B175)</f>
        <v>2.1552913889899168</v>
      </c>
      <c r="D142" s="4">
        <f ca="1">$B142*('Updated Population'!D$136/'Updated Population'!$B$136)*('Total Trip Tables Sup #1'!D175/'Total Trip Tables Sup #1'!$B175)</f>
        <v>2.1661149990136241</v>
      </c>
      <c r="E142" s="4">
        <f ca="1">$B142*('Updated Population'!E$136/'Updated Population'!$B$136)*('Total Trip Tables Sup #1'!E175/'Total Trip Tables Sup #1'!$B175)</f>
        <v>2.128305834979169</v>
      </c>
      <c r="F142" s="4">
        <f ca="1">$B142*('Updated Population'!F$136/'Updated Population'!$B$136)*('Total Trip Tables Sup #1'!F175/'Total Trip Tables Sup #1'!$B175)</f>
        <v>2.0673656173101507</v>
      </c>
      <c r="G142" s="4">
        <f ca="1">$B142*('Updated Population'!G$136/'Updated Population'!$B$136)*('Total Trip Tables Sup #1'!G175/'Total Trip Tables Sup #1'!$B175)</f>
        <v>1.9659653424281462</v>
      </c>
      <c r="H142" s="4">
        <f ca="1">$B142*('Updated Population'!H$136/'Updated Population'!$B$136)*('Total Trip Tables Sup #1'!H175/'Total Trip Tables Sup #1'!$B175)</f>
        <v>1.8535329338913791</v>
      </c>
      <c r="I142" s="1">
        <f ca="1">$B142*('Updated Population'!I$136/'Updated Population'!$B$136)*('Total Trip Tables Sup #1'!I175/'Total Trip Tables Sup #1'!$B175)</f>
        <v>1.8720286761706002</v>
      </c>
      <c r="J142" s="1">
        <f ca="1">$B142*('Updated Population'!J$136/'Updated Population'!$B$136)*('Total Trip Tables Sup #1'!J175/'Total Trip Tables Sup #1'!$B175)</f>
        <v>1.8846905283840611</v>
      </c>
      <c r="K142" s="1">
        <f ca="1">$B142*('Updated Population'!K$136/'Updated Population'!$B$136)*('Total Trip Tables Sup #1'!K175/'Total Trip Tables Sup #1'!$B175)</f>
        <v>1.8933603047952838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Trip Tables Sup #1'!C176/'Total Trip Tables Sup #1'!$B176)</f>
        <v>0</v>
      </c>
      <c r="D143" s="4">
        <f ca="1">$B143*('Updated Population'!D$136/'Updated Population'!$B$136)*('Total Trip Tables Sup #1'!D176/'Total Trip Tables Sup #1'!$B176)</f>
        <v>0</v>
      </c>
      <c r="E143" s="4">
        <f ca="1">$B143*('Updated Population'!E$136/'Updated Population'!$B$136)*('Total Trip Tables Sup #1'!E176/'Total Trip Tables Sup #1'!$B176)</f>
        <v>0</v>
      </c>
      <c r="F143" s="4">
        <f ca="1">$B143*('Updated Population'!F$136/'Updated Population'!$B$136)*('Total Trip Tables Sup #1'!F176/'Total Trip Tables Sup #1'!$B176)</f>
        <v>0</v>
      </c>
      <c r="G143" s="4">
        <f ca="1">$B143*('Updated Population'!G$136/'Updated Population'!$B$136)*('Total Trip Tables Sup #1'!G176/'Total Trip Tables Sup #1'!$B176)</f>
        <v>0</v>
      </c>
      <c r="H143" s="4">
        <f ca="1">$B143*('Updated Population'!H$136/'Updated Population'!$B$136)*('Total Trip Tables Sup #1'!H176/'Total Trip Tables Sup #1'!$B176)</f>
        <v>0</v>
      </c>
      <c r="I143" s="1">
        <f ca="1">$B143*('Updated Population'!I$136/'Updated Population'!$B$136)*('Total Trip Tables Sup #1'!I176/'Total Trip Tables Sup #1'!$B176)</f>
        <v>0</v>
      </c>
      <c r="J143" s="1">
        <f ca="1">$B143*('Updated Population'!J$136/'Updated Population'!$B$136)*('Total Trip Tables Sup #1'!J176/'Total Trip Tables Sup #1'!$B176)</f>
        <v>0</v>
      </c>
      <c r="K143" s="1">
        <f ca="1">$B143*('Updated Population'!K$136/'Updated Population'!$B$136)*('Total Trip Tables Sup #1'!K176/'Total Trip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$B144*('Updated Population'!C$136/'Updated Population'!$B$136)*('Total Trip Tables Sup #1'!C177/'Total Trip Tables Sup #1'!$B177)</f>
        <v>4.0664487529039386</v>
      </c>
      <c r="D144" s="4">
        <f ca="1">$B144*('Updated Population'!D$136/'Updated Population'!$B$136)*('Total Trip Tables Sup #1'!D177/'Total Trip Tables Sup #1'!$B177)</f>
        <v>4.1186515254644362</v>
      </c>
      <c r="E144" s="4">
        <f ca="1">$B144*('Updated Population'!E$136/'Updated Population'!$B$136)*('Total Trip Tables Sup #1'!E177/'Total Trip Tables Sup #1'!$B177)</f>
        <v>4.0778838690624504</v>
      </c>
      <c r="F144" s="4">
        <f ca="1">$B144*('Updated Population'!F$136/'Updated Population'!$B$136)*('Total Trip Tables Sup #1'!F177/'Total Trip Tables Sup #1'!$B177)</f>
        <v>4.0205796816255139</v>
      </c>
      <c r="G144" s="4">
        <f ca="1">$B144*('Updated Population'!G$136/'Updated Population'!$B$136)*('Total Trip Tables Sup #1'!G177/'Total Trip Tables Sup #1'!$B177)</f>
        <v>3.9953186122520936</v>
      </c>
      <c r="H144" s="4">
        <f ca="1">$B144*('Updated Population'!H$136/'Updated Population'!$B$136)*('Total Trip Tables Sup #1'!H177/'Total Trip Tables Sup #1'!$B177)</f>
        <v>3.9604655350667941</v>
      </c>
      <c r="I144" s="1">
        <f ca="1">$B144*('Updated Population'!I$136/'Updated Population'!$B$136)*('Total Trip Tables Sup #1'!I177/'Total Trip Tables Sup #1'!$B177)</f>
        <v>3.9999856042832311</v>
      </c>
      <c r="J144" s="1">
        <f ca="1">$B144*('Updated Population'!J$136/'Updated Population'!$B$136)*('Total Trip Tables Sup #1'!J177/'Total Trip Tables Sup #1'!$B177)</f>
        <v>4.0270403322487294</v>
      </c>
      <c r="K144" s="1">
        <f ca="1">$B144*('Updated Population'!K$136/'Updated Population'!$B$136)*('Total Trip Tables Sup #1'!K177/'Total Trip Tables Sup #1'!$B177)</f>
        <v>4.0455651450780836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Trip Tables Sup #1'!C178/'Total Trip Tables Sup #1'!$B178)</f>
        <v>0</v>
      </c>
      <c r="D145" s="4">
        <f ca="1">$B145*('Updated Population'!D$136/'Updated Population'!$B$136)*('Total Trip Tables Sup #1'!D178/'Total Trip Tables Sup #1'!$B178)</f>
        <v>0</v>
      </c>
      <c r="E145" s="4">
        <f ca="1">$B145*('Updated Population'!E$136/'Updated Population'!$B$136)*('Total Trip Tables Sup #1'!E178/'Total Trip Tables Sup #1'!$B178)</f>
        <v>0</v>
      </c>
      <c r="F145" s="4">
        <f ca="1">$B145*('Updated Population'!F$136/'Updated Population'!$B$136)*('Total Trip Tables Sup #1'!F178/'Total Trip Tables Sup #1'!$B178)</f>
        <v>0</v>
      </c>
      <c r="G145" s="4">
        <f ca="1">$B145*('Updated Population'!G$136/'Updated Population'!$B$136)*('Total Trip Tables Sup #1'!G178/'Total Trip Tables Sup #1'!$B178)</f>
        <v>0</v>
      </c>
      <c r="H145" s="4">
        <f ca="1">$B145*('Updated Population'!H$136/'Updated Population'!$B$136)*('Total Trip Tables Sup #1'!H178/'Total Trip Tables Sup #1'!$B178)</f>
        <v>0</v>
      </c>
      <c r="I145" s="1">
        <f ca="1">$B145*('Updated Population'!I$136/'Updated Population'!$B$136)*('Total Trip Tables Sup #1'!I178/'Total Trip Tables Sup #1'!$B178)</f>
        <v>0</v>
      </c>
      <c r="J145" s="1">
        <f ca="1">$B145*('Updated Population'!J$136/'Updated Population'!$B$136)*('Total Trip Tables Sup #1'!J178/'Total Trip Tables Sup #1'!$B178)</f>
        <v>0</v>
      </c>
      <c r="K145" s="1">
        <f ca="1">$B145*('Updated Population'!K$136/'Updated Population'!$B$136)*('Total Trip Tables Sup #1'!K178/'Total Trip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$B146*('Updated Population'!C$136/'Updated Population'!$B$136)*('Total Trip Tables Sup #1'!C179/'Total Trip Tables Sup #1'!$B179)</f>
        <v>0.82549809593130219</v>
      </c>
      <c r="D146" s="4">
        <f ca="1">$B146*('Updated Population'!D$136/'Updated Population'!$B$136)*('Total Trip Tables Sup #1'!D179/'Total Trip Tables Sup #1'!$B179)</f>
        <v>0.86336433376757715</v>
      </c>
      <c r="E146" s="4">
        <f ca="1">$B146*('Updated Population'!E$136/'Updated Population'!$B$136)*('Total Trip Tables Sup #1'!E179/'Total Trip Tables Sup #1'!$B179)</f>
        <v>0.87385548494646159</v>
      </c>
      <c r="F146" s="4">
        <f ca="1">$B146*('Updated Population'!F$136/'Updated Population'!$B$136)*('Total Trip Tables Sup #1'!F179/'Total Trip Tables Sup #1'!$B179)</f>
        <v>0.87161889068313714</v>
      </c>
      <c r="G146" s="4">
        <f ca="1">$B146*('Updated Population'!G$136/'Updated Population'!$B$136)*('Total Trip Tables Sup #1'!G179/'Total Trip Tables Sup #1'!$B179)</f>
        <v>0.85857224616205696</v>
      </c>
      <c r="H146" s="4">
        <f ca="1">$B146*('Updated Population'!H$136/'Updated Population'!$B$136)*('Total Trip Tables Sup #1'!H179/'Total Trip Tables Sup #1'!$B179)</f>
        <v>0.82825437605712493</v>
      </c>
      <c r="I146" s="1">
        <f ca="1">$B146*('Updated Population'!I$136/'Updated Population'!$B$136)*('Total Trip Tables Sup #1'!I179/'Total Trip Tables Sup #1'!$B179)</f>
        <v>0.8365192302720581</v>
      </c>
      <c r="J146" s="1">
        <f ca="1">$B146*('Updated Population'!J$136/'Updated Population'!$B$136)*('Total Trip Tables Sup #1'!J179/'Total Trip Tables Sup #1'!$B179)</f>
        <v>0.84217720068792257</v>
      </c>
      <c r="K146" s="1">
        <f ca="1">$B146*('Updated Population'!K$136/'Updated Population'!$B$136)*('Total Trip Tables Sup #1'!K179/'Total Trip Tables Sup #1'!$B179)</f>
        <v>0.84605130517278671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$B148*('Updated Population'!C$147/'Updated Population'!$B$147)*('Total Trip Tables Sup #1'!C170/'Total Trip Tables Sup #1'!$B170)</f>
        <v>12.539158599249662</v>
      </c>
      <c r="D148" s="4">
        <f ca="1">$B148*('Updated Population'!D$147/'Updated Population'!$B$147)*('Total Trip Tables Sup #1'!D170/'Total Trip Tables Sup #1'!$B170)</f>
        <v>12.24133421387844</v>
      </c>
      <c r="E148" s="4">
        <f ca="1">$B148*('Updated Population'!E$147/'Updated Population'!$B$147)*('Total Trip Tables Sup #1'!E170/'Total Trip Tables Sup #1'!$B170)</f>
        <v>11.795700321867887</v>
      </c>
      <c r="F148" s="4">
        <f ca="1">$B148*('Updated Population'!F$147/'Updated Population'!$B$147)*('Total Trip Tables Sup #1'!F170/'Total Trip Tables Sup #1'!$B170)</f>
        <v>11.283189753785877</v>
      </c>
      <c r="G148" s="4">
        <f ca="1">$B148*('Updated Population'!G$147/'Updated Population'!$B$147)*('Total Trip Tables Sup #1'!G170/'Total Trip Tables Sup #1'!$B170)</f>
        <v>10.758924106213104</v>
      </c>
      <c r="H148" s="4">
        <f ca="1">$B148*('Updated Population'!H$147/'Updated Population'!$B$147)*('Total Trip Tables Sup #1'!H170/'Total Trip Tables Sup #1'!$B170)</f>
        <v>10.200713510671729</v>
      </c>
      <c r="I148" s="1">
        <f ca="1">$B148*('Updated Population'!I$147/'Updated Population'!$B$147)*('Total Trip Tables Sup #1'!I170/'Total Trip Tables Sup #1'!$B170)</f>
        <v>10.064068835122248</v>
      </c>
      <c r="J148" s="1">
        <f ca="1">$B148*('Updated Population'!J$147/'Updated Population'!$B$147)*('Total Trip Tables Sup #1'!J170/'Total Trip Tables Sup #1'!$B170)</f>
        <v>9.8976480687210362</v>
      </c>
      <c r="K148" s="1">
        <f ca="1">$B148*('Updated Population'!K$147/'Updated Population'!$B$147)*('Total Trip Tables Sup #1'!K170/'Total Trip Tables Sup #1'!$B170)</f>
        <v>9.7130603079265683</v>
      </c>
    </row>
    <row r="149" spans="1:11" x14ac:dyDescent="0.2">
      <c r="A149" t="str">
        <f ca="1">OFFSET(Southland_Reference,7,2)</f>
        <v>Cyclist</v>
      </c>
      <c r="B149" s="4">
        <f ca="1">OFFSET(Southland_Reference,7,5)</f>
        <v>1.0312878256</v>
      </c>
      <c r="C149" s="4">
        <f ca="1">$B149*('Updated Population'!C$147/'Updated Population'!$B$147)*('Total Trip Tables Sup #1'!C171/'Total Trip Tables Sup #1'!$B171)</f>
        <v>0.99743263199901688</v>
      </c>
      <c r="D149" s="4">
        <f ca="1">$B149*('Updated Population'!D$147/'Updated Population'!$B$147)*('Total Trip Tables Sup #1'!D171/'Total Trip Tables Sup #1'!$B171)</f>
        <v>0.98684219508371163</v>
      </c>
      <c r="E149" s="4">
        <f ca="1">$B149*('Updated Population'!E$147/'Updated Population'!$B$147)*('Total Trip Tables Sup #1'!E171/'Total Trip Tables Sup #1'!$B171)</f>
        <v>0.93837541196116059</v>
      </c>
      <c r="F149" s="4">
        <f ca="1">$B149*('Updated Population'!F$147/'Updated Population'!$B$147)*('Total Trip Tables Sup #1'!F171/'Total Trip Tables Sup #1'!$B171)</f>
        <v>0.89591817291692077</v>
      </c>
      <c r="G149" s="4">
        <f ca="1">$B149*('Updated Population'!G$147/'Updated Population'!$B$147)*('Total Trip Tables Sup #1'!G171/'Total Trip Tables Sup #1'!$B171)</f>
        <v>0.85665377491409755</v>
      </c>
      <c r="H149" s="4">
        <f ca="1">$B149*('Updated Population'!H$147/'Updated Population'!$B$147)*('Total Trip Tables Sup #1'!H171/'Total Trip Tables Sup #1'!$B171)</f>
        <v>0.81900667549377004</v>
      </c>
      <c r="I149" s="1">
        <f ca="1">$B149*('Updated Population'!I$147/'Updated Population'!$B$147)*('Total Trip Tables Sup #1'!I171/'Total Trip Tables Sup #1'!$B171)</f>
        <v>0.80803558986053203</v>
      </c>
      <c r="J149" s="1">
        <f ca="1">$B149*('Updated Population'!J$147/'Updated Population'!$B$147)*('Total Trip Tables Sup #1'!J171/'Total Trip Tables Sup #1'!$B171)</f>
        <v>0.79467380703222412</v>
      </c>
      <c r="K149" s="1">
        <f ca="1">$B149*('Updated Population'!K$147/'Updated Population'!$B$147)*('Total Trip Tables Sup #1'!K171/'Total Trip Tables Sup #1'!$B171)</f>
        <v>0.77985341156214694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$B150*('Updated Population'!C$147/'Updated Population'!$B$147)*('Total Trip Tables Sup #1'!C172/'Total Trip Tables Sup #1'!$B172)</f>
        <v>69.307661369907535</v>
      </c>
      <c r="D150" s="4">
        <f ca="1">$B150*('Updated Population'!D$147/'Updated Population'!$B$147)*('Total Trip Tables Sup #1'!D172/'Total Trip Tables Sup #1'!$B172)</f>
        <v>68.908281263433466</v>
      </c>
      <c r="E150" s="4">
        <f ca="1">$B150*('Updated Population'!E$147/'Updated Population'!$B$147)*('Total Trip Tables Sup #1'!E172/'Total Trip Tables Sup #1'!$B172)</f>
        <v>68.659769908373818</v>
      </c>
      <c r="F150" s="4">
        <f ca="1">$B150*('Updated Population'!F$147/'Updated Population'!$B$147)*('Total Trip Tables Sup #1'!F172/'Total Trip Tables Sup #1'!$B172)</f>
        <v>67.816331205676036</v>
      </c>
      <c r="G150" s="4">
        <f ca="1">$B150*('Updated Population'!G$147/'Updated Population'!$B$147)*('Total Trip Tables Sup #1'!G172/'Total Trip Tables Sup #1'!$B172)</f>
        <v>66.238266104605771</v>
      </c>
      <c r="H150" s="4">
        <f ca="1">$B150*('Updated Population'!H$147/'Updated Population'!$B$147)*('Total Trip Tables Sup #1'!H172/'Total Trip Tables Sup #1'!$B172)</f>
        <v>64.202723442211891</v>
      </c>
      <c r="I150" s="1">
        <f ca="1">$B150*('Updated Population'!I$147/'Updated Population'!$B$147)*('Total Trip Tables Sup #1'!I172/'Total Trip Tables Sup #1'!$B172)</f>
        <v>63.342689454885786</v>
      </c>
      <c r="J150" s="1">
        <f ca="1">$B150*('Updated Population'!J$147/'Updated Population'!$B$147)*('Total Trip Tables Sup #1'!J172/'Total Trip Tables Sup #1'!$B172)</f>
        <v>62.295246407973444</v>
      </c>
      <c r="K150" s="1">
        <f ca="1">$B150*('Updated Population'!K$147/'Updated Population'!$B$147)*('Total Trip Tables Sup #1'!K172/'Total Trip Tables Sup #1'!$B172)</f>
        <v>61.133461308852091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$B151*('Updated Population'!C$147/'Updated Population'!$B$147)*('Total Trip Tables Sup #1'!C173/'Total Trip Tables Sup #1'!$B173)</f>
        <v>27.990790269362822</v>
      </c>
      <c r="D151" s="4">
        <f ca="1">$B151*('Updated Population'!D$147/'Updated Population'!$B$147)*('Total Trip Tables Sup #1'!D173/'Total Trip Tables Sup #1'!$B173)</f>
        <v>27.319302288428119</v>
      </c>
      <c r="E151" s="4">
        <f ca="1">$B151*('Updated Population'!E$147/'Updated Population'!$B$147)*('Total Trip Tables Sup #1'!E173/'Total Trip Tables Sup #1'!$B173)</f>
        <v>26.707731541659054</v>
      </c>
      <c r="F151" s="4">
        <f ca="1">$B151*('Updated Population'!F$147/'Updated Population'!$B$147)*('Total Trip Tables Sup #1'!F173/'Total Trip Tables Sup #1'!$B173)</f>
        <v>26.014661918784899</v>
      </c>
      <c r="G151" s="4">
        <f ca="1">$B151*('Updated Population'!G$147/'Updated Population'!$B$147)*('Total Trip Tables Sup #1'!G173/'Total Trip Tables Sup #1'!$B173)</f>
        <v>25.185932144420498</v>
      </c>
      <c r="H151" s="4">
        <f ca="1">$B151*('Updated Population'!H$147/'Updated Population'!$B$147)*('Total Trip Tables Sup #1'!H173/'Total Trip Tables Sup #1'!$B173)</f>
        <v>24.257003082527675</v>
      </c>
      <c r="I151" s="1">
        <f ca="1">$B151*('Updated Population'!I$147/'Updated Population'!$B$147)*('Total Trip Tables Sup #1'!I173/'Total Trip Tables Sup #1'!$B173)</f>
        <v>23.932065977633282</v>
      </c>
      <c r="J151" s="1">
        <f ca="1">$B151*('Updated Population'!J$147/'Updated Population'!$B$147)*('Total Trip Tables Sup #1'!J173/'Total Trip Tables Sup #1'!$B173)</f>
        <v>23.536322185851706</v>
      </c>
      <c r="K151" s="1">
        <f ca="1">$B151*('Updated Population'!K$147/'Updated Population'!$B$147)*('Total Trip Tables Sup #1'!K173/'Total Trip Tables Sup #1'!$B173)</f>
        <v>23.09737780437251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$B152*('Updated Population'!C$147/'Updated Population'!$B$147)*('Total Trip Tables Sup #1'!C174/'Total Trip Tables Sup #1'!$B174)</f>
        <v>0.52277298792129834</v>
      </c>
      <c r="D152" s="4">
        <f ca="1">$B152*('Updated Population'!D$147/'Updated Population'!$B$147)*('Total Trip Tables Sup #1'!D174/'Total Trip Tables Sup #1'!$B174)</f>
        <v>0.55120832159713828</v>
      </c>
      <c r="E152" s="4">
        <f ca="1">$B152*('Updated Population'!E$147/'Updated Population'!$B$147)*('Total Trip Tables Sup #1'!E174/'Total Trip Tables Sup #1'!$B174)</f>
        <v>0.5655640562317491</v>
      </c>
      <c r="F152" s="4">
        <f ca="1">$B152*('Updated Population'!F$147/'Updated Population'!$B$147)*('Total Trip Tables Sup #1'!F174/'Total Trip Tables Sup #1'!$B174)</f>
        <v>0.57035876716803846</v>
      </c>
      <c r="G152" s="4">
        <f ca="1">$B152*('Updated Population'!G$147/'Updated Population'!$B$147)*('Total Trip Tables Sup #1'!G174/'Total Trip Tables Sup #1'!$B174)</f>
        <v>0.56554941830089966</v>
      </c>
      <c r="H152" s="4">
        <f ca="1">$B152*('Updated Population'!H$147/'Updated Population'!$B$147)*('Total Trip Tables Sup #1'!H174/'Total Trip Tables Sup #1'!$B174)</f>
        <v>0.55555294232068042</v>
      </c>
      <c r="I152" s="1">
        <f ca="1">$B152*('Updated Population'!I$147/'Updated Population'!$B$147)*('Total Trip Tables Sup #1'!I174/'Total Trip Tables Sup #1'!$B174)</f>
        <v>0.54811097745473736</v>
      </c>
      <c r="J152" s="1">
        <f ca="1">$B152*('Updated Population'!J$147/'Updated Population'!$B$147)*('Total Trip Tables Sup #1'!J174/'Total Trip Tables Sup #1'!$B174)</f>
        <v>0.53904734221581696</v>
      </c>
      <c r="K152" s="1">
        <f ca="1">$B152*('Updated Population'!K$147/'Updated Population'!$B$147)*('Total Trip Tables Sup #1'!K174/'Total Trip Tables Sup #1'!$B174)</f>
        <v>0.52899429313072421</v>
      </c>
    </row>
    <row r="153" spans="1:11" x14ac:dyDescent="0.2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$B153*('Updated Population'!C$147/'Updated Population'!$B$147)*('Total Trip Tables Sup #1'!C175/'Total Trip Tables Sup #1'!$B175)</f>
        <v>0.61627205890111292</v>
      </c>
      <c r="D153" s="4">
        <f ca="1">$B153*('Updated Population'!D$147/'Updated Population'!$B$147)*('Total Trip Tables Sup #1'!D175/'Total Trip Tables Sup #1'!$B175)</f>
        <v>0.59797404444087499</v>
      </c>
      <c r="E153" s="4">
        <f ca="1">$B153*('Updated Population'!E$147/'Updated Population'!$B$147)*('Total Trip Tables Sup #1'!E175/'Total Trip Tables Sup #1'!$B175)</f>
        <v>0.57417065088373043</v>
      </c>
      <c r="F153" s="4">
        <f ca="1">$B153*('Updated Population'!F$147/'Updated Population'!$B$147)*('Total Trip Tables Sup #1'!F175/'Total Trip Tables Sup #1'!$B175)</f>
        <v>0.54515161087893349</v>
      </c>
      <c r="G153" s="4">
        <f ca="1">$B153*('Updated Population'!G$147/'Updated Population'!$B$147)*('Total Trip Tables Sup #1'!G175/'Total Trip Tables Sup #1'!$B175)</f>
        <v>0.50634831016597182</v>
      </c>
      <c r="H153" s="4">
        <f ca="1">$B153*('Updated Population'!H$147/'Updated Population'!$B$147)*('Total Trip Tables Sup #1'!H175/'Total Trip Tables Sup #1'!$B175)</f>
        <v>0.46634215208992241</v>
      </c>
      <c r="I153" s="1">
        <f ca="1">$B153*('Updated Population'!I$147/'Updated Population'!$B$147)*('Total Trip Tables Sup #1'!I175/'Total Trip Tables Sup #1'!$B175)</f>
        <v>0.46009521926500679</v>
      </c>
      <c r="J153" s="1">
        <f ca="1">$B153*('Updated Population'!J$147/'Updated Population'!$B$147)*('Total Trip Tables Sup #1'!J175/'Total Trip Tables Sup #1'!$B175)</f>
        <v>0.45248702418386844</v>
      </c>
      <c r="K153" s="1">
        <f ca="1">$B153*('Updated Population'!K$147/'Updated Population'!$B$147)*('Total Trip Tables Sup #1'!K175/'Total Trip Tables Sup #1'!$B175)</f>
        <v>0.44404829550785019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Trip Tables Sup #1'!C176/'Total Trip Tables Sup #1'!$B176)</f>
        <v>0</v>
      </c>
      <c r="D154" s="4">
        <f ca="1">$B154*('Updated Population'!D$147/'Updated Population'!$B$147)*('Total Trip Tables Sup #1'!D176/'Total Trip Tables Sup #1'!$B176)</f>
        <v>0</v>
      </c>
      <c r="E154" s="4">
        <f ca="1">$B154*('Updated Population'!E$147/'Updated Population'!$B$147)*('Total Trip Tables Sup #1'!E176/'Total Trip Tables Sup #1'!$B176)</f>
        <v>0</v>
      </c>
      <c r="F154" s="4">
        <f ca="1">$B154*('Updated Population'!F$147/'Updated Population'!$B$147)*('Total Trip Tables Sup #1'!F176/'Total Trip Tables Sup #1'!$B176)</f>
        <v>0</v>
      </c>
      <c r="G154" s="4">
        <f ca="1">$B154*('Updated Population'!G$147/'Updated Population'!$B$147)*('Total Trip Tables Sup #1'!G176/'Total Trip Tables Sup #1'!$B176)</f>
        <v>0</v>
      </c>
      <c r="H154" s="4">
        <f ca="1">$B154*('Updated Population'!H$147/'Updated Population'!$B$147)*('Total Trip Tables Sup #1'!H176/'Total Trip Tables Sup #1'!$B176)</f>
        <v>0</v>
      </c>
      <c r="I154" s="1">
        <f ca="1">$B154*('Updated Population'!I$147/'Updated Population'!$B$147)*('Total Trip Tables Sup #1'!I176/'Total Trip Tables Sup #1'!$B176)</f>
        <v>0</v>
      </c>
      <c r="J154" s="1">
        <f ca="1">$B154*('Updated Population'!J$147/'Updated Population'!$B$147)*('Total Trip Tables Sup #1'!J176/'Total Trip Tables Sup #1'!$B176)</f>
        <v>0</v>
      </c>
      <c r="K154" s="1">
        <f ca="1">$B154*('Updated Population'!K$147/'Updated Population'!$B$147)*('Total Trip Tables Sup #1'!K176/'Total Trip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$B155*('Updated Population'!C$147/'Updated Population'!$B$147)*('Total Trip Tables Sup #1'!C177/'Total Trip Tables Sup #1'!$B177)</f>
        <v>2.4036618220990569</v>
      </c>
      <c r="D155" s="4">
        <f ca="1">$B155*('Updated Population'!D$147/'Updated Population'!$B$147)*('Total Trip Tables Sup #1'!D177/'Total Trip Tables Sup #1'!$B177)</f>
        <v>2.3504306962258044</v>
      </c>
      <c r="E155" s="4">
        <f ca="1">$B155*('Updated Population'!E$147/'Updated Population'!$B$147)*('Total Trip Tables Sup #1'!E177/'Total Trip Tables Sup #1'!$B177)</f>
        <v>2.2742247706337433</v>
      </c>
      <c r="F155" s="4">
        <f ca="1">$B155*('Updated Population'!F$147/'Updated Population'!$B$147)*('Total Trip Tables Sup #1'!F177/'Total Trip Tables Sup #1'!$B177)</f>
        <v>2.1916957334332552</v>
      </c>
      <c r="G155" s="4">
        <f ca="1">$B155*('Updated Population'!G$147/'Updated Population'!$B$147)*('Total Trip Tables Sup #1'!G177/'Total Trip Tables Sup #1'!$B177)</f>
        <v>2.1272400648153971</v>
      </c>
      <c r="H155" s="4">
        <f ca="1">$B155*('Updated Population'!H$147/'Updated Population'!$B$147)*('Total Trip Tables Sup #1'!H177/'Total Trip Tables Sup #1'!$B177)</f>
        <v>2.0598812377480908</v>
      </c>
      <c r="I155" s="1">
        <f ca="1">$B155*('Updated Population'!I$147/'Updated Population'!$B$147)*('Total Trip Tables Sup #1'!I177/'Total Trip Tables Sup #1'!$B177)</f>
        <v>2.0322878931150821</v>
      </c>
      <c r="J155" s="1">
        <f ca="1">$B155*('Updated Population'!J$147/'Updated Population'!$B$147)*('Total Trip Tables Sup #1'!J177/'Total Trip Tables Sup #1'!$B177)</f>
        <v>1.998681713123567</v>
      </c>
      <c r="K155" s="1">
        <f ca="1">$B155*('Updated Population'!K$147/'Updated Population'!$B$147)*('Total Trip Tables Sup #1'!K177/'Total Trip Tables Sup #1'!$B177)</f>
        <v>1.9614069808432546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Trip Tables Sup #1'!C178/'Total Trip Tables Sup #1'!$B178)</f>
        <v>0</v>
      </c>
      <c r="D156" s="4">
        <f ca="1">$B156*('Updated Population'!D$147/'Updated Population'!$B$147)*('Total Trip Tables Sup #1'!D178/'Total Trip Tables Sup #1'!$B178)</f>
        <v>0</v>
      </c>
      <c r="E156" s="4">
        <f ca="1">$B156*('Updated Population'!E$147/'Updated Population'!$B$147)*('Total Trip Tables Sup #1'!E178/'Total Trip Tables Sup #1'!$B178)</f>
        <v>0</v>
      </c>
      <c r="F156" s="4">
        <f ca="1">$B156*('Updated Population'!F$147/'Updated Population'!$B$147)*('Total Trip Tables Sup #1'!F178/'Total Trip Tables Sup #1'!$B178)</f>
        <v>0</v>
      </c>
      <c r="G156" s="4">
        <f ca="1">$B156*('Updated Population'!G$147/'Updated Population'!$B$147)*('Total Trip Tables Sup #1'!G178/'Total Trip Tables Sup #1'!$B178)</f>
        <v>0</v>
      </c>
      <c r="H156" s="4">
        <f ca="1">$B156*('Updated Population'!H$147/'Updated Population'!$B$147)*('Total Trip Tables Sup #1'!H178/'Total Trip Tables Sup #1'!$B178)</f>
        <v>0</v>
      </c>
      <c r="I156" s="1">
        <f ca="1">$B156*('Updated Population'!I$147/'Updated Population'!$B$147)*('Total Trip Tables Sup #1'!I178/'Total Trip Tables Sup #1'!$B178)</f>
        <v>0</v>
      </c>
      <c r="J156" s="1">
        <f ca="1">$B156*('Updated Population'!J$147/'Updated Population'!$B$147)*('Total Trip Tables Sup #1'!J178/'Total Trip Tables Sup #1'!$B178)</f>
        <v>0</v>
      </c>
      <c r="K156" s="1">
        <f ca="1">$B156*('Updated Population'!K$147/'Updated Population'!$B$147)*('Total Trip Tables Sup #1'!K178/'Total Trip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$B157*('Updated Population'!C$147/'Updated Population'!$B$147)*('Total Trip Tables Sup #1'!C179/'Total Trip Tables Sup #1'!$B179)</f>
        <v>0.4367939481955192</v>
      </c>
      <c r="D157" s="4">
        <f ca="1">$B157*('Updated Population'!D$147/'Updated Population'!$B$147)*('Total Trip Tables Sup #1'!D179/'Total Trip Tables Sup #1'!$B179)</f>
        <v>0.44105117183295328</v>
      </c>
      <c r="E157" s="4">
        <f ca="1">$B157*('Updated Population'!E$147/'Updated Population'!$B$147)*('Total Trip Tables Sup #1'!E179/'Total Trip Tables Sup #1'!$B179)</f>
        <v>0.43625520644410487</v>
      </c>
      <c r="F157" s="4">
        <f ca="1">$B157*('Updated Population'!F$147/'Updated Population'!$B$147)*('Total Trip Tables Sup #1'!F179/'Total Trip Tables Sup #1'!$B179)</f>
        <v>0.42532479120405231</v>
      </c>
      <c r="G157" s="4">
        <f ca="1">$B157*('Updated Population'!G$147/'Updated Population'!$B$147)*('Total Trip Tables Sup #1'!G179/'Total Trip Tables Sup #1'!$B179)</f>
        <v>0.40920827343692034</v>
      </c>
      <c r="H157" s="4">
        <f ca="1">$B157*('Updated Population'!H$147/'Updated Population'!$B$147)*('Total Trip Tables Sup #1'!H179/'Total Trip Tables Sup #1'!$B179)</f>
        <v>0.3856223149162486</v>
      </c>
      <c r="I157" s="1">
        <f ca="1">$B157*('Updated Population'!I$147/'Updated Population'!$B$147)*('Total Trip Tables Sup #1'!I179/'Total Trip Tables Sup #1'!$B179)</f>
        <v>0.38045667272354855</v>
      </c>
      <c r="J157" s="1">
        <f ca="1">$B157*('Updated Population'!J$147/'Updated Population'!$B$147)*('Total Trip Tables Sup #1'!J179/'Total Trip Tables Sup #1'!$B179)</f>
        <v>0.37416539112617481</v>
      </c>
      <c r="K157" s="1">
        <f ca="1">$B157*('Updated Population'!K$147/'Updated Population'!$B$147)*('Total Trip Tables Sup #1'!K179/'Total Trip Tables Sup #1'!$B179)</f>
        <v>0.36718733419434335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986.56972308989998</v>
      </c>
      <c r="C159" s="4">
        <f t="shared" ca="1" si="1"/>
        <v>1065.7582430191389</v>
      </c>
      <c r="D159" s="4">
        <f t="shared" ca="1" si="1"/>
        <v>1112.5117569656798</v>
      </c>
      <c r="E159" s="4">
        <f t="shared" ca="1" si="1"/>
        <v>1134.9871638726731</v>
      </c>
      <c r="F159" s="4">
        <f t="shared" ca="1" si="1"/>
        <v>1147.6797350745551</v>
      </c>
      <c r="G159" s="4">
        <f t="shared" ca="1" si="1"/>
        <v>1156.2966056497942</v>
      </c>
      <c r="H159" s="4">
        <f t="shared" ca="1" si="1"/>
        <v>1157.7490307017745</v>
      </c>
      <c r="I159" s="1">
        <f t="shared" ref="I159" ca="1" si="2">I5+I16+I27+I38+I49+I60+I71+I82+I93+I104+I115+I126+I137+I148</f>
        <v>1196.3291369372755</v>
      </c>
      <c r="J159" s="1">
        <f t="shared" ref="J159:K159" ca="1" si="3">J5+J16+J27+J38+J49+J60+J71+J82+J93+J104+J115+J126+J137+J148</f>
        <v>1242.4658712373623</v>
      </c>
      <c r="K159" s="1">
        <f t="shared" ca="1" si="3"/>
        <v>1289.2522626594039</v>
      </c>
    </row>
    <row r="160" spans="1:11" x14ac:dyDescent="0.2">
      <c r="A160" t="str">
        <f t="shared" ca="1" si="0"/>
        <v>Cyclist</v>
      </c>
      <c r="B160" s="4">
        <f t="shared" ca="1" si="1"/>
        <v>71.074316198400012</v>
      </c>
      <c r="C160" s="4">
        <f t="shared" ca="1" si="1"/>
        <v>73.261145412652553</v>
      </c>
      <c r="D160" s="4">
        <f t="shared" ca="1" si="1"/>
        <v>76.64216565794564</v>
      </c>
      <c r="E160" s="4">
        <f t="shared" ca="1" si="1"/>
        <v>76.292105100436103</v>
      </c>
      <c r="F160" s="4">
        <f t="shared" ca="1" si="1"/>
        <v>76.177820656400698</v>
      </c>
      <c r="G160" s="4">
        <f t="shared" ca="1" si="1"/>
        <v>76.175271885609007</v>
      </c>
      <c r="H160" s="4">
        <f t="shared" ca="1" si="1"/>
        <v>76.145837768167553</v>
      </c>
      <c r="I160" s="1">
        <f t="shared" ref="I160" ca="1" si="4">I6+I17+I28+I39+I50+I61+I72+I83+I94+I105+I116+I127+I138+I149</f>
        <v>78.165858873453573</v>
      </c>
      <c r="J160" s="1">
        <f t="shared" ref="J160:K160" ca="1" si="5">J6+J17+J28+J39+J50+J61+J72+J83+J94+J105+J116+J127+J138+J149</f>
        <v>80.40784697585255</v>
      </c>
      <c r="K160" s="1">
        <f t="shared" ca="1" si="5"/>
        <v>82.621043142313894</v>
      </c>
    </row>
    <row r="161" spans="1:20" x14ac:dyDescent="0.2">
      <c r="A161" t="str">
        <f t="shared" ca="1" si="0"/>
        <v>Light Vehicle Driver</v>
      </c>
      <c r="B161" s="4">
        <f t="shared" ca="1" si="1"/>
        <v>3093.3887589700003</v>
      </c>
      <c r="C161" s="4">
        <f t="shared" ca="1" si="1"/>
        <v>3460.9065900873948</v>
      </c>
      <c r="D161" s="4">
        <f t="shared" ca="1" si="1"/>
        <v>3686.7694327416807</v>
      </c>
      <c r="E161" s="4">
        <f t="shared" ca="1" si="1"/>
        <v>3896.4354638026439</v>
      </c>
      <c r="F161" s="4">
        <f t="shared" ca="1" si="1"/>
        <v>4075.2462873606637</v>
      </c>
      <c r="G161" s="4">
        <f t="shared" ca="1" si="1"/>
        <v>4212.450545271211</v>
      </c>
      <c r="H161" s="4">
        <f t="shared" ca="1" si="1"/>
        <v>4318.6120041246477</v>
      </c>
      <c r="I161" s="1">
        <f t="shared" ref="I161" ca="1" si="6">I7+I18+I29+I40+I51+I62+I73+I84+I95+I106+I117+I128+I139+I150</f>
        <v>4467.277171986043</v>
      </c>
      <c r="J161" s="1">
        <f t="shared" ref="J161:K161" ca="1" si="7">J7+J18+J29+J40+J51+J62+J73+J84+J95+J106+J117+J128+J139+J150</f>
        <v>4646.5503251822465</v>
      </c>
      <c r="K161" s="1">
        <f t="shared" ca="1" si="7"/>
        <v>4828.937263619945</v>
      </c>
    </row>
    <row r="162" spans="1:20" x14ac:dyDescent="0.2">
      <c r="A162" t="str">
        <f t="shared" ca="1" si="0"/>
        <v>Light Vehicle Passenger</v>
      </c>
      <c r="B162" s="4">
        <f t="shared" ca="1" si="1"/>
        <v>1512.9377645669999</v>
      </c>
      <c r="C162" s="4">
        <f t="shared" ca="1" si="1"/>
        <v>1611.5060349352334</v>
      </c>
      <c r="D162" s="4">
        <f t="shared" ca="1" si="1"/>
        <v>1685.6635950968532</v>
      </c>
      <c r="E162" s="4">
        <f t="shared" ca="1" si="1"/>
        <v>1748.4826374036595</v>
      </c>
      <c r="F162" s="4">
        <f t="shared" ca="1" si="1"/>
        <v>1803.9028861868785</v>
      </c>
      <c r="G162" s="4">
        <f t="shared" ca="1" si="1"/>
        <v>1848.6920330878327</v>
      </c>
      <c r="H162" s="4">
        <f t="shared" ca="1" si="1"/>
        <v>1883.6922560102209</v>
      </c>
      <c r="I162" s="1">
        <f t="shared" ref="I162" ca="1" si="8">I8+I19+I30+I41+I52+I63+I74+I85+I96+I107+I118+I129+I140+I151</f>
        <v>1948.7899965167915</v>
      </c>
      <c r="J162" s="1">
        <f t="shared" ref="J162:K162" ca="1" si="9">J8+J19+J30+J41+J52+J63+J74+J85+J96+J107+J118+J129+J140+J151</f>
        <v>2027.4477590769209</v>
      </c>
      <c r="K162" s="1">
        <f t="shared" ca="1" si="9"/>
        <v>2107.5175915613072</v>
      </c>
    </row>
    <row r="163" spans="1:20" x14ac:dyDescent="0.2">
      <c r="A163" t="str">
        <f t="shared" ca="1" si="0"/>
        <v>Taxi/Vehicle Share</v>
      </c>
      <c r="B163" s="4">
        <f t="shared" ca="1" si="1"/>
        <v>15.600131729099999</v>
      </c>
      <c r="C163" s="4">
        <f t="shared" ca="1" si="1"/>
        <v>18.451047140470884</v>
      </c>
      <c r="D163" s="4">
        <f t="shared" ca="1" si="1"/>
        <v>20.784146973373328</v>
      </c>
      <c r="E163" s="4">
        <f t="shared" ca="1" si="1"/>
        <v>22.562841368831499</v>
      </c>
      <c r="F163" s="4">
        <f t="shared" ca="1" si="1"/>
        <v>24.039362719168338</v>
      </c>
      <c r="G163" s="4">
        <f t="shared" ca="1" si="1"/>
        <v>25.173200427491754</v>
      </c>
      <c r="H163" s="4">
        <f t="shared" ca="1" si="1"/>
        <v>26.103573899120843</v>
      </c>
      <c r="I163" s="1">
        <f t="shared" ref="I163" ca="1" si="10">I9+I20+I31+I42+I53+I64+I75+I86+I97+I108+I119+I130+I141+I152</f>
        <v>26.963801705622245</v>
      </c>
      <c r="J163" s="1">
        <f t="shared" ref="J163:K163" ca="1" si="11">J9+J20+J31+J42+J53+J64+J75+J86+J97+J108+J119+J130+J141+J152</f>
        <v>27.994515592149924</v>
      </c>
      <c r="K163" s="1">
        <f t="shared" ca="1" si="11"/>
        <v>29.040252492232028</v>
      </c>
    </row>
    <row r="164" spans="1:20" x14ac:dyDescent="0.2">
      <c r="A164" t="str">
        <f t="shared" ca="1" si="0"/>
        <v>Motorcyclist</v>
      </c>
      <c r="B164" s="4">
        <f t="shared" ca="1" si="1"/>
        <v>19.272283824500001</v>
      </c>
      <c r="C164" s="4">
        <f t="shared" ca="1" si="1"/>
        <v>20.22520096388936</v>
      </c>
      <c r="D164" s="4">
        <f t="shared" ca="1" si="1"/>
        <v>20.800969803102369</v>
      </c>
      <c r="E164" s="4">
        <f t="shared" ca="1" si="1"/>
        <v>20.989560462378073</v>
      </c>
      <c r="F164" s="4">
        <f t="shared" ca="1" si="1"/>
        <v>20.915669069268745</v>
      </c>
      <c r="G164" s="4">
        <f t="shared" ca="1" si="1"/>
        <v>20.384984482567038</v>
      </c>
      <c r="H164" s="4">
        <f t="shared" ca="1" si="1"/>
        <v>19.693958259277938</v>
      </c>
      <c r="I164" s="1">
        <f t="shared" ref="I164" ca="1" si="12">I10+I21+I32+I43+I54+I65+I76+I87+I98+I109+I120+I131+I142+I153</f>
        <v>20.243482210588351</v>
      </c>
      <c r="J164" s="1">
        <f t="shared" ref="J164:K164" ca="1" si="13">J10+J21+J32+J43+J54+J65+J76+J87+J98+J109+J120+J131+J142+J153</f>
        <v>20.892213988956957</v>
      </c>
      <c r="K164" s="1">
        <f t="shared" ca="1" si="13"/>
        <v>21.543835605071887</v>
      </c>
      <c r="L164" s="4"/>
    </row>
    <row r="165" spans="1:20" x14ac:dyDescent="0.2">
      <c r="A165" t="str">
        <f t="shared" ca="1" si="0"/>
        <v>Local Train</v>
      </c>
      <c r="B165" s="4">
        <f t="shared" ref="B165:H165" ca="1" si="14">B22+B99</f>
        <v>20.753709268000001</v>
      </c>
      <c r="C165" s="4">
        <f t="shared" ca="1" si="14"/>
        <v>22.723356758999998</v>
      </c>
      <c r="D165" s="4">
        <f t="shared" ca="1" si="14"/>
        <v>23.535577422000003</v>
      </c>
      <c r="E165" s="4">
        <f t="shared" ca="1" si="14"/>
        <v>23.949885940000001</v>
      </c>
      <c r="F165" s="4">
        <f t="shared" ca="1" si="14"/>
        <v>24.031355251000001</v>
      </c>
      <c r="G165" s="4">
        <f t="shared" ca="1" si="14"/>
        <v>23.990732260999998</v>
      </c>
      <c r="H165" s="4">
        <f t="shared" ca="1" si="14"/>
        <v>23.792132793</v>
      </c>
      <c r="I165" s="1">
        <f t="shared" ref="I165" ca="1" si="15">I22+I99</f>
        <v>24.601548258797976</v>
      </c>
      <c r="J165" s="1">
        <f t="shared" ref="J165:K165" ca="1" si="16">J22+J99</f>
        <v>25.58026740609283</v>
      </c>
      <c r="K165" s="1">
        <f t="shared" ca="1" si="16"/>
        <v>26.575105854234614</v>
      </c>
    </row>
    <row r="166" spans="1:20" x14ac:dyDescent="0.2">
      <c r="A166" t="s">
        <v>16</v>
      </c>
      <c r="B166" s="4">
        <f t="shared" ref="B166:H166" ca="1" si="17">B12+B34+B45+B56+B67+B78+B89+B111+B122+B144+B155</f>
        <v>37.710964695899996</v>
      </c>
      <c r="C166" s="4">
        <f t="shared" ca="1" si="17"/>
        <v>36.377566276152095</v>
      </c>
      <c r="D166" s="4">
        <f t="shared" ca="1" si="17"/>
        <v>37.48114637774669</v>
      </c>
      <c r="E166" s="4">
        <f t="shared" ca="1" si="17"/>
        <v>37.945721658743345</v>
      </c>
      <c r="F166" s="4">
        <f t="shared" ca="1" si="17"/>
        <v>38.213165182105328</v>
      </c>
      <c r="G166" s="4">
        <f t="shared" ca="1" si="17"/>
        <v>38.755068104097226</v>
      </c>
      <c r="H166" s="4">
        <f t="shared" ca="1" si="17"/>
        <v>39.210480212706813</v>
      </c>
      <c r="I166" s="1">
        <f t="shared" ref="I166" ca="1" si="18">I12+I34+I45+I56+I67+I78+I89+I111+I122+I144+I155</f>
        <v>40.1510379228693</v>
      </c>
      <c r="J166" s="1">
        <f t="shared" ref="J166:K166" ca="1" si="19">J12+J34+J45+J56+J67+J78+J89+J111+J122+J144+J155</f>
        <v>41.29163054014758</v>
      </c>
      <c r="K166" s="1">
        <f t="shared" ca="1" si="19"/>
        <v>42.439473681042585</v>
      </c>
    </row>
    <row r="167" spans="1:20" x14ac:dyDescent="0.2">
      <c r="A167" t="str">
        <f ca="1">A13</f>
        <v>Local Ferry</v>
      </c>
      <c r="B167" s="4">
        <f t="shared" ref="B167:H168" ca="1" si="20">B13+B24+B35+B46+B57+B68+B79+B90+B101+B112+B123+B134+B145+B156</f>
        <v>4.9488267775000008</v>
      </c>
      <c r="C167" s="4">
        <f t="shared" ca="1" si="20"/>
        <v>6.5202117668990232</v>
      </c>
      <c r="D167" s="4">
        <f t="shared" ca="1" si="20"/>
        <v>7.2647694457008924</v>
      </c>
      <c r="E167" s="4">
        <f t="shared" ca="1" si="20"/>
        <v>7.9976085666488572</v>
      </c>
      <c r="F167" s="4">
        <f t="shared" ca="1" si="20"/>
        <v>8.5775960312738047</v>
      </c>
      <c r="G167" s="4">
        <f t="shared" ca="1" si="20"/>
        <v>9.2862254761971634</v>
      </c>
      <c r="H167" s="4">
        <f t="shared" ca="1" si="20"/>
        <v>9.8550684210061057</v>
      </c>
      <c r="I167" s="1">
        <f t="shared" ref="I167" ca="1" si="21">I13+I24+I35+I46+I57+I68+I79+I90+I101+I112+I123+I134+I145+I156</f>
        <v>10.354563113885932</v>
      </c>
      <c r="J167" s="1">
        <f t="shared" ref="J167:K167" ca="1" si="22">J13+J24+J35+J46+J57+J68+J79+J90+J101+J112+J123+J134+J145+J156</f>
        <v>10.986773612374442</v>
      </c>
      <c r="K167" s="1">
        <f t="shared" ca="1" si="22"/>
        <v>11.642972583676189</v>
      </c>
    </row>
    <row r="168" spans="1:20" x14ac:dyDescent="0.2">
      <c r="A168" t="str">
        <f ca="1">A14</f>
        <v>Other Household Travel</v>
      </c>
      <c r="B168" s="4">
        <f t="shared" ca="1" si="20"/>
        <v>10.3599389081</v>
      </c>
      <c r="C168" s="4">
        <f t="shared" ca="1" si="20"/>
        <v>11.376378902057954</v>
      </c>
      <c r="D168" s="4">
        <f t="shared" ca="1" si="20"/>
        <v>12.292171617469476</v>
      </c>
      <c r="E168" s="4">
        <f t="shared" ca="1" si="20"/>
        <v>12.878383704765731</v>
      </c>
      <c r="F168" s="4">
        <f t="shared" ca="1" si="20"/>
        <v>13.276726407419179</v>
      </c>
      <c r="G168" s="4">
        <f t="shared" ca="1" si="20"/>
        <v>13.499335536287527</v>
      </c>
      <c r="H168" s="4">
        <f t="shared" ca="1" si="20"/>
        <v>13.435452952035329</v>
      </c>
      <c r="I168" s="1">
        <f t="shared" ref="I168" ca="1" si="23">I14+I25+I36+I47+I58+I69+I80+I91+I102+I113+I124+I135+I146+I157</f>
        <v>13.882430528994266</v>
      </c>
      <c r="J168" s="1">
        <f t="shared" ref="J168:K168" ca="1" si="24">J14+J25+J36+J47+J58+J69+J80+J91+J102+J113+J124+J135+J146+J157</f>
        <v>14.420089157480858</v>
      </c>
      <c r="K168" s="1">
        <f t="shared" ca="1" si="24"/>
        <v>14.966307679034154</v>
      </c>
    </row>
    <row r="169" spans="1:20" x14ac:dyDescent="0.2">
      <c r="A169" s="59" t="s">
        <v>109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110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25">A16</f>
        <v>Pedestrian</v>
      </c>
      <c r="B170" s="60">
        <f ca="1">B181*1000000/'Original Population'!B$158</f>
        <v>222.12034471584565</v>
      </c>
      <c r="C170" s="60">
        <f ca="1">(C181*1000000/'Original Population'!C$158)</f>
        <v>215.27290637963407</v>
      </c>
      <c r="D170" s="60">
        <f ca="1">(D181*1000000/'Original Population'!D$158)</f>
        <v>208.270293299397</v>
      </c>
      <c r="E170" s="60">
        <f ca="1">(E181*1000000/'Original Population'!E$158)</f>
        <v>199.69095806229555</v>
      </c>
      <c r="F170" s="60">
        <f ca="1">(F181*1000000/'Original Population'!F$158)</f>
        <v>191.01459942612243</v>
      </c>
      <c r="G170" s="60">
        <f ca="1">(G181*1000000/'Original Population'!G$158)</f>
        <v>183.23207293230891</v>
      </c>
      <c r="H170" s="60">
        <f ca="1">(H181*1000000/'Original Population'!H$158)</f>
        <v>175.4801539536893</v>
      </c>
      <c r="I170" s="60">
        <f ca="1">H170</f>
        <v>175.4801539536893</v>
      </c>
      <c r="J170" s="60">
        <f t="shared" ref="J170:K170" ca="1" si="26">I170</f>
        <v>175.4801539536893</v>
      </c>
      <c r="K170" s="60">
        <f t="shared" ca="1" si="26"/>
        <v>175.4801539536893</v>
      </c>
      <c r="L170" s="60"/>
      <c r="M170" s="60">
        <f ca="1">B159*'Total Trip Tables Sup #2'!B159*1000000/'Updated Population'!B$158</f>
        <v>222.12034471584565</v>
      </c>
      <c r="N170" s="60">
        <f ca="1">C159*'Total Trip Tables Sup #2'!C159*1000000/'Updated Population'!C$158</f>
        <v>215.27290637963407</v>
      </c>
      <c r="O170" s="60">
        <f ca="1">D159*'Total Trip Tables Sup #2'!D159*1000000/'Updated Population'!D$158</f>
        <v>208.270293299397</v>
      </c>
      <c r="P170" s="60">
        <f ca="1">E159*'Total Trip Tables Sup #2'!E159*1000000/'Updated Population'!E$158</f>
        <v>199.69095806229558</v>
      </c>
      <c r="Q170" s="60">
        <f ca="1">F159*'Total Trip Tables Sup #2'!F159*1000000/'Updated Population'!F$158</f>
        <v>191.01459942612243</v>
      </c>
      <c r="R170" s="60">
        <f ca="1">G159*'Total Trip Tables Sup #2'!G159*1000000/'Updated Population'!G$158</f>
        <v>183.23207293230894</v>
      </c>
      <c r="S170" s="60">
        <f ca="1">H159*'Total Trip Tables Sup #2'!H159*1000000/'Updated Population'!H$158</f>
        <v>175.48015395368927</v>
      </c>
      <c r="T170" s="59"/>
    </row>
    <row r="171" spans="1:20" x14ac:dyDescent="0.2">
      <c r="A171" s="59" t="str">
        <f t="shared" ca="1" si="25"/>
        <v>Cyclist</v>
      </c>
      <c r="B171" s="60">
        <f ca="1">B182*1000000/'Original Population'!B$158</f>
        <v>16.001962400576371</v>
      </c>
      <c r="C171" s="60">
        <f ca="1">(C182*1000000/'Original Population'!C$158)</f>
        <v>14.977402051218643</v>
      </c>
      <c r="D171" s="60">
        <f ca="1">(D182*1000000/'Original Population'!D$158)</f>
        <v>14.685144385910966</v>
      </c>
      <c r="E171" s="60">
        <f ca="1">(E182*1000000/'Original Population'!E$158)</f>
        <v>13.894509708642021</v>
      </c>
      <c r="F171" s="60">
        <f ca="1">(F182*1000000/'Original Population'!F$158)</f>
        <v>13.265846049532055</v>
      </c>
      <c r="G171" s="60">
        <f ca="1">(G182*1000000/'Original Population'!G$158)</f>
        <v>12.760565489048972</v>
      </c>
      <c r="H171" s="60">
        <f ca="1">(H182*1000000/'Original Population'!H$158)</f>
        <v>12.323010959984261</v>
      </c>
      <c r="I171" s="60">
        <f t="shared" ref="I171:K179" ca="1" si="27">H171</f>
        <v>12.323010959984261</v>
      </c>
      <c r="J171" s="60">
        <f t="shared" ca="1" si="27"/>
        <v>12.323010959984261</v>
      </c>
      <c r="K171" s="60">
        <f t="shared" ca="1" si="27"/>
        <v>12.323010959984261</v>
      </c>
      <c r="L171" s="60"/>
      <c r="M171" s="60">
        <f ca="1">B160*'Total Trip Tables Sup #2'!B160*1000000/'Updated Population'!B$158</f>
        <v>16.001962400576371</v>
      </c>
      <c r="N171" s="60">
        <f ca="1">C160*'Total Trip Tables Sup #2'!C160*1000000/'Updated Population'!C$158</f>
        <v>14.977402051218647</v>
      </c>
      <c r="O171" s="60">
        <f ca="1">D160*'Total Trip Tables Sup #2'!D160*1000000/'Updated Population'!D$158</f>
        <v>14.68514438591097</v>
      </c>
      <c r="P171" s="60">
        <f ca="1">E160*'Total Trip Tables Sup #2'!E160*1000000/'Updated Population'!E$158</f>
        <v>13.894509708642021</v>
      </c>
      <c r="Q171" s="60">
        <f ca="1">F160*'Total Trip Tables Sup #2'!F160*1000000/'Updated Population'!F$158</f>
        <v>13.265846049532056</v>
      </c>
      <c r="R171" s="60">
        <f ca="1">G160*'Total Trip Tables Sup #2'!G160*1000000/'Updated Population'!G$158</f>
        <v>12.760565489048972</v>
      </c>
      <c r="S171" s="60">
        <f ca="1">H160*'Total Trip Tables Sup #2'!H160*1000000/'Updated Population'!H$158</f>
        <v>12.323010959984259</v>
      </c>
      <c r="T171" s="59"/>
    </row>
    <row r="172" spans="1:20" x14ac:dyDescent="0.2">
      <c r="A172" s="59" t="str">
        <f t="shared" ca="1" si="25"/>
        <v>Light Vehicle Driver</v>
      </c>
      <c r="B172" s="60">
        <f ca="1">B183*1000000/'Original Population'!B$158</f>
        <v>696.45820401882213</v>
      </c>
      <c r="C172" s="60">
        <f ca="1">C183*1000000/'Original Population'!C$158</f>
        <v>697.39798572332722</v>
      </c>
      <c r="D172" s="60">
        <f ca="1">D183*1000000/'Original Population'!D$158</f>
        <v>687.14510371389463</v>
      </c>
      <c r="E172" s="60">
        <f ca="1">E183*1000000/'Original Population'!E$158</f>
        <v>681.26406094430456</v>
      </c>
      <c r="F172" s="60">
        <f ca="1">F183*1000000/'Original Population'!F$158</f>
        <v>672.89519404416353</v>
      </c>
      <c r="G172" s="60">
        <f ca="1">G183*1000000/'Original Population'!G$158</f>
        <v>661.18055329711501</v>
      </c>
      <c r="H172" s="60">
        <f ca="1">H183*1000000/'Original Population'!H$158</f>
        <v>647.33542240782936</v>
      </c>
      <c r="I172" s="60">
        <f t="shared" ca="1" si="27"/>
        <v>647.33542240782936</v>
      </c>
      <c r="J172" s="60">
        <f t="shared" ca="1" si="27"/>
        <v>647.33542240782936</v>
      </c>
      <c r="K172" s="60">
        <f t="shared" ca="1" si="27"/>
        <v>647.33542240782936</v>
      </c>
      <c r="L172" s="60"/>
      <c r="M172" s="60">
        <f ca="1">B161*'Total Trip Tables Sup #2'!B161*1000000/'Updated Population'!B$158</f>
        <v>696.45820401882213</v>
      </c>
      <c r="N172" s="60">
        <f ca="1">C161*'Total Trip Tables Sup #2'!C161*1000000/'Updated Population'!C$158</f>
        <v>697.39798572332722</v>
      </c>
      <c r="O172" s="60">
        <f ca="1">D161*'Total Trip Tables Sup #2'!D161*1000000/'Updated Population'!D$158</f>
        <v>687.14510371389463</v>
      </c>
      <c r="P172" s="60">
        <f ca="1">E161*'Total Trip Tables Sup #2'!E161*1000000/'Updated Population'!E$158</f>
        <v>681.26406094430445</v>
      </c>
      <c r="Q172" s="60">
        <f ca="1">F161*'Total Trip Tables Sup #2'!F161*1000000/'Updated Population'!F$158</f>
        <v>672.89519404416342</v>
      </c>
      <c r="R172" s="60">
        <f ca="1">G161*'Total Trip Tables Sup #2'!G161*1000000/'Updated Population'!G$158</f>
        <v>661.1805532971149</v>
      </c>
      <c r="S172" s="60">
        <f ca="1">H161*'Total Trip Tables Sup #2'!H161*1000000/'Updated Population'!H$158</f>
        <v>647.33542240782936</v>
      </c>
      <c r="T172" s="59"/>
    </row>
    <row r="173" spans="1:20" x14ac:dyDescent="0.2">
      <c r="A173" s="59" t="str">
        <f t="shared" ca="1" si="25"/>
        <v>Light Vehicle Passenger</v>
      </c>
      <c r="B173" s="60">
        <f ca="1">B184*1000000/'Original Population'!B$158</f>
        <v>340.62899958731089</v>
      </c>
      <c r="C173" s="60">
        <f ca="1">C184*1000000/'Original Population'!C$158</f>
        <v>324.66906107833688</v>
      </c>
      <c r="D173" s="60">
        <f ca="1">D184*1000000/'Original Population'!D$158</f>
        <v>314.031304459193</v>
      </c>
      <c r="E173" s="60">
        <f ca="1">E184*1000000/'Original Population'!E$158</f>
        <v>305.47553811716369</v>
      </c>
      <c r="F173" s="60">
        <f ca="1">F184*1000000/'Original Population'!F$158</f>
        <v>297.54840227375053</v>
      </c>
      <c r="G173" s="60">
        <f ca="1">G184*1000000/'Original Population'!G$158</f>
        <v>289.79804143138495</v>
      </c>
      <c r="H173" s="60">
        <f ca="1">H184*1000000/'Original Population'!H$158</f>
        <v>281.92875003693382</v>
      </c>
      <c r="I173" s="60">
        <f t="shared" ca="1" si="27"/>
        <v>281.92875003693382</v>
      </c>
      <c r="J173" s="60">
        <f t="shared" ca="1" si="27"/>
        <v>281.92875003693382</v>
      </c>
      <c r="K173" s="60">
        <f t="shared" ca="1" si="27"/>
        <v>281.92875003693382</v>
      </c>
      <c r="L173" s="60"/>
      <c r="M173" s="60">
        <f ca="1">B162*'Total Trip Tables Sup #2'!B162*1000000/'Updated Population'!B$158</f>
        <v>340.62899958731089</v>
      </c>
      <c r="N173" s="60">
        <f ca="1">C162*'Total Trip Tables Sup #2'!C162*1000000/'Updated Population'!C$158</f>
        <v>324.66906107833688</v>
      </c>
      <c r="O173" s="60">
        <f ca="1">D162*'Total Trip Tables Sup #2'!D162*1000000/'Updated Population'!D$158</f>
        <v>314.031304459193</v>
      </c>
      <c r="P173" s="60">
        <f ca="1">E162*'Total Trip Tables Sup #2'!E162*1000000/'Updated Population'!E$158</f>
        <v>305.47553811716364</v>
      </c>
      <c r="Q173" s="60">
        <f ca="1">F162*'Total Trip Tables Sup #2'!F162*1000000/'Updated Population'!F$158</f>
        <v>297.54840227375053</v>
      </c>
      <c r="R173" s="60">
        <f ca="1">G162*'Total Trip Tables Sup #2'!G162*1000000/'Updated Population'!G$158</f>
        <v>289.79804143138495</v>
      </c>
      <c r="S173" s="60">
        <f ca="1">H162*'Total Trip Tables Sup #2'!H162*1000000/'Updated Population'!H$158</f>
        <v>281.92875003693382</v>
      </c>
      <c r="T173" s="59"/>
    </row>
    <row r="174" spans="1:20" x14ac:dyDescent="0.2">
      <c r="A174" s="59" t="str">
        <f t="shared" ca="1" si="25"/>
        <v>Taxi/Vehicle Share</v>
      </c>
      <c r="B174" s="60">
        <f ca="1">B185*1000000/'Original Population'!B$158</f>
        <v>3.5122774966453529</v>
      </c>
      <c r="C174" s="60">
        <f ca="1">C185*1000000/'Original Population'!C$158</f>
        <v>3.731938473961061</v>
      </c>
      <c r="D174" s="60">
        <f ca="1">D185*1000000/'Original Population'!D$158</f>
        <v>3.899551822567846</v>
      </c>
      <c r="E174" s="60">
        <f ca="1">E185*1000000/'Original Population'!E$158</f>
        <v>3.9812259672445562</v>
      </c>
      <c r="F174" s="60">
        <f ca="1">F185*1000000/'Original Population'!F$158</f>
        <v>4.0149778075085436</v>
      </c>
      <c r="G174" s="60">
        <f ca="1">G185*1000000/'Original Population'!G$158</f>
        <v>4.0050096626912151</v>
      </c>
      <c r="H174" s="60">
        <f ca="1">H185*1000000/'Original Population'!H$158</f>
        <v>3.9739579343289457</v>
      </c>
      <c r="I174" s="60">
        <f t="shared" ca="1" si="27"/>
        <v>3.9739579343289457</v>
      </c>
      <c r="J174" s="60">
        <f t="shared" ca="1" si="27"/>
        <v>3.9739579343289457</v>
      </c>
      <c r="K174" s="60">
        <f t="shared" ca="1" si="27"/>
        <v>3.9739579343289457</v>
      </c>
      <c r="L174" s="60"/>
      <c r="M174" s="60">
        <f ca="1">B163*'Total Trip Tables Sup #2'!B163*1000000/'Updated Population'!B$158</f>
        <v>3.5122774966453529</v>
      </c>
      <c r="N174" s="60">
        <f ca="1">C163*'Total Trip Tables Sup #2'!C163*1000000/'Updated Population'!C$158</f>
        <v>3.731938473961061</v>
      </c>
      <c r="O174" s="60">
        <f ca="1">D163*'Total Trip Tables Sup #2'!D163*1000000/'Updated Population'!D$158</f>
        <v>3.899551822567846</v>
      </c>
      <c r="P174" s="60">
        <f ca="1">E163*'Total Trip Tables Sup #2'!E163*1000000/'Updated Population'!E$158</f>
        <v>3.9812259672445562</v>
      </c>
      <c r="Q174" s="60">
        <f ca="1">F163*'Total Trip Tables Sup #2'!F163*1000000/'Updated Population'!F$158</f>
        <v>4.0149778075085445</v>
      </c>
      <c r="R174" s="60">
        <f ca="1">G163*'Total Trip Tables Sup #2'!G163*1000000/'Updated Population'!G$158</f>
        <v>4.0050096626912151</v>
      </c>
      <c r="S174" s="60">
        <f ca="1">H163*'Total Trip Tables Sup #2'!H163*1000000/'Updated Population'!H$158</f>
        <v>3.9739579343289457</v>
      </c>
      <c r="T174" s="59"/>
    </row>
    <row r="175" spans="1:20" x14ac:dyDescent="0.2">
      <c r="A175" s="59" t="str">
        <f t="shared" ca="1" si="25"/>
        <v>Motorcyclist</v>
      </c>
      <c r="B175" s="60">
        <f ca="1">B186*1000000/'Original Population'!B$158</f>
        <v>4.3390408466543589</v>
      </c>
      <c r="C175" s="60">
        <f ca="1">C186*1000000/'Original Population'!C$158</f>
        <v>4.1303488059182261</v>
      </c>
      <c r="D175" s="60">
        <f ca="1">D186*1000000/'Original Population'!D$158</f>
        <v>3.9716793565703865</v>
      </c>
      <c r="E175" s="60">
        <f ca="1">E186*1000000/'Original Population'!E$158</f>
        <v>3.7946256001842729</v>
      </c>
      <c r="F175" s="60">
        <f ca="1">F186*1000000/'Original Population'!F$158</f>
        <v>3.6028422132670048</v>
      </c>
      <c r="G175" s="60">
        <f ca="1">G186*1000000/'Original Population'!G$158</f>
        <v>3.3664741849012696</v>
      </c>
      <c r="H175" s="60">
        <f ca="1">H186*1000000/'Original Population'!H$158</f>
        <v>3.1318099642792743</v>
      </c>
      <c r="I175" s="60">
        <f t="shared" ca="1" si="27"/>
        <v>3.1318099642792743</v>
      </c>
      <c r="J175" s="60">
        <f t="shared" ca="1" si="27"/>
        <v>3.1318099642792743</v>
      </c>
      <c r="K175" s="60">
        <f t="shared" ca="1" si="27"/>
        <v>3.1318099642792743</v>
      </c>
      <c r="L175" s="60"/>
      <c r="M175" s="60">
        <f ca="1">B164*'Total Trip Tables Sup #2'!B164*1000000/'Updated Population'!B$158</f>
        <v>4.3390408466543589</v>
      </c>
      <c r="N175" s="60">
        <f ca="1">C164*'Total Trip Tables Sup #2'!C164*1000000/'Updated Population'!C$158</f>
        <v>4.1303488059182261</v>
      </c>
      <c r="O175" s="60">
        <f ca="1">D164*'Total Trip Tables Sup #2'!D164*1000000/'Updated Population'!D$158</f>
        <v>3.9716793565703856</v>
      </c>
      <c r="P175" s="60">
        <f ca="1">E164*'Total Trip Tables Sup #2'!E164*1000000/'Updated Population'!E$158</f>
        <v>3.7946256001842724</v>
      </c>
      <c r="Q175" s="60">
        <f ca="1">F164*'Total Trip Tables Sup #2'!F164*1000000/'Updated Population'!F$158</f>
        <v>3.6028422132670048</v>
      </c>
      <c r="R175" s="60">
        <f ca="1">G164*'Total Trip Tables Sup #2'!G164*1000000/'Updated Population'!G$158</f>
        <v>3.3664741849012687</v>
      </c>
      <c r="S175" s="60">
        <f ca="1">H164*'Total Trip Tables Sup #2'!H164*1000000/'Updated Population'!H$158</f>
        <v>3.1318099642792734</v>
      </c>
      <c r="T175" s="59"/>
    </row>
    <row r="176" spans="1:20" x14ac:dyDescent="0.2">
      <c r="A176" s="59" t="str">
        <f t="shared" ca="1" si="25"/>
        <v>Local Train</v>
      </c>
      <c r="B176" s="60">
        <f ca="1">B187*1000000/'Original Population'!B$158</f>
        <v>4.6725750333213263</v>
      </c>
      <c r="C176" s="60">
        <f ca="1">C187*1000000/'Original Population'!C$158</f>
        <v>4.7621092606408615</v>
      </c>
      <c r="D176" s="60">
        <f ca="1">D187*1000000/'Original Population'!D$158</f>
        <v>4.6690163112997949</v>
      </c>
      <c r="E176" s="60">
        <f ca="1">E187*1000000/'Original Population'!E$158</f>
        <v>4.5033819600616756</v>
      </c>
      <c r="F176" s="60">
        <f ca="1">F187*1000000/'Original Population'!F$158</f>
        <v>4.3002979888338135</v>
      </c>
      <c r="G176" s="60">
        <f ca="1">G187*1000000/'Original Population'!G$158</f>
        <v>4.1050498376167814</v>
      </c>
      <c r="H176" s="60">
        <f ca="1">H187*1000000/'Original Population'!H$158</f>
        <v>3.9002856990869006</v>
      </c>
      <c r="I176" s="60">
        <f t="shared" ca="1" si="27"/>
        <v>3.9002856990869006</v>
      </c>
      <c r="J176" s="60">
        <f t="shared" ca="1" si="27"/>
        <v>3.9002856990869006</v>
      </c>
      <c r="K176" s="60">
        <f t="shared" ca="1" si="27"/>
        <v>3.9002856990869006</v>
      </c>
      <c r="L176" s="60"/>
      <c r="M176" s="60">
        <f ca="1">B165*'Total Trip Tables Sup #2'!B165*1000000/'Updated Population'!B$158</f>
        <v>4.6725750333213263</v>
      </c>
      <c r="N176" s="60">
        <f ca="1">C165*'Total Trip Tables Sup #2'!C165*1000000/'Updated Population'!C$158</f>
        <v>4.7621092606408615</v>
      </c>
      <c r="O176" s="60">
        <f ca="1">D165*'Total Trip Tables Sup #2'!D165*1000000/'Updated Population'!D$158</f>
        <v>4.6690163112997949</v>
      </c>
      <c r="P176" s="60">
        <f ca="1">E165*'Total Trip Tables Sup #2'!E165*1000000/'Updated Population'!E$158</f>
        <v>4.5033819600616765</v>
      </c>
      <c r="Q176" s="60">
        <f ca="1">F165*'Total Trip Tables Sup #2'!F165*1000000/'Updated Population'!F$158</f>
        <v>4.3002979888338126</v>
      </c>
      <c r="R176" s="60">
        <f ca="1">G165*'Total Trip Tables Sup #2'!G165*1000000/'Updated Population'!G$158</f>
        <v>4.1050498376167814</v>
      </c>
      <c r="S176" s="60">
        <f ca="1">H165*'Total Trip Tables Sup #2'!H165*1000000/'Updated Population'!H$158</f>
        <v>3.9002856990869001</v>
      </c>
      <c r="T176" s="59"/>
    </row>
    <row r="177" spans="1:20" x14ac:dyDescent="0.2">
      <c r="A177" s="59" t="s">
        <v>16</v>
      </c>
      <c r="B177" s="60">
        <f ca="1">B188*1000000/'Original Population'!B$169</f>
        <v>19.860419578628605</v>
      </c>
      <c r="C177" s="60">
        <f ca="1">C188*1000000/'Original Population'!C$169</f>
        <v>17.519629646091794</v>
      </c>
      <c r="D177" s="60">
        <f ca="1">D188*1000000/'Original Population'!D$169</f>
        <v>16.977611863521048</v>
      </c>
      <c r="E177" s="60">
        <f ca="1">E188*1000000/'Original Population'!E$169</f>
        <v>16.345515908780634</v>
      </c>
      <c r="F177" s="60">
        <f ca="1">F188*1000000/'Original Population'!F$169</f>
        <v>15.752355677691861</v>
      </c>
      <c r="G177" s="60">
        <f ca="1">G188*1000000/'Original Population'!G$169</f>
        <v>15.380828575451465</v>
      </c>
      <c r="H177" s="60">
        <f ca="1">H188*1000000/'Original Population'!H$169</f>
        <v>15.044238685459762</v>
      </c>
      <c r="I177" s="60">
        <f t="shared" ca="1" si="27"/>
        <v>15.044238685459762</v>
      </c>
      <c r="J177" s="60">
        <f t="shared" ca="1" si="27"/>
        <v>15.044238685459762</v>
      </c>
      <c r="K177" s="60">
        <f t="shared" ca="1" si="27"/>
        <v>15.044238685459762</v>
      </c>
      <c r="L177" s="60"/>
      <c r="M177" s="60">
        <f ca="1">B166*'Total Trip Tables Sup #2'!B166*1000000/'Updated Population'!B$169</f>
        <v>19.860419578628605</v>
      </c>
      <c r="N177" s="60">
        <f ca="1">C166*'Total Trip Tables Sup #2'!C166*1000000/'Updated Population'!C$169</f>
        <v>17.519629646091794</v>
      </c>
      <c r="O177" s="60">
        <f ca="1">D166*'Total Trip Tables Sup #2'!D166*1000000/'Updated Population'!D$169</f>
        <v>16.977611863521048</v>
      </c>
      <c r="P177" s="60">
        <f ca="1">E166*'Total Trip Tables Sup #2'!E166*1000000/'Updated Population'!E$169</f>
        <v>16.345515908780634</v>
      </c>
      <c r="Q177" s="60">
        <f ca="1">F166*'Total Trip Tables Sup #2'!F166*1000000/'Updated Population'!F$169</f>
        <v>15.752355677691861</v>
      </c>
      <c r="R177" s="60">
        <f ca="1">G166*'Total Trip Tables Sup #2'!G166*1000000/'Updated Population'!G$169</f>
        <v>15.380828575451467</v>
      </c>
      <c r="S177" s="60">
        <f ca="1">H166*'Total Trip Tables Sup #2'!H166*1000000/'Updated Population'!H$169</f>
        <v>15.044238685459762</v>
      </c>
      <c r="T177" s="59"/>
    </row>
    <row r="178" spans="1:20" x14ac:dyDescent="0.2">
      <c r="A178" s="59" t="str">
        <f t="shared" ca="1" si="25"/>
        <v>Local Ferry</v>
      </c>
      <c r="B178" s="60">
        <f ca="1">B189*1000000/'Original Population'!B$158</f>
        <v>1.1141991123694166</v>
      </c>
      <c r="C178" s="60">
        <f ca="1">C189*1000000/'Original Population'!C$158</f>
        <v>1.2611691567994636</v>
      </c>
      <c r="D178" s="60">
        <f ca="1">D189*1000000/'Original Population'!D$158</f>
        <v>1.2579349488374865</v>
      </c>
      <c r="E178" s="60">
        <f ca="1">E189*1000000/'Original Population'!E$158</f>
        <v>1.2630062304539134</v>
      </c>
      <c r="F178" s="60">
        <f ca="1">F189*1000000/'Original Population'!F$158</f>
        <v>1.2467652340067643</v>
      </c>
      <c r="G178" s="60">
        <f ca="1">G189*1000000/'Original Population'!G$158</f>
        <v>1.2530154091235757</v>
      </c>
      <c r="H178" s="60">
        <f ca="1">H189*1000000/'Original Population'!H$158</f>
        <v>1.2420436429402797</v>
      </c>
      <c r="I178" s="60">
        <f t="shared" ca="1" si="27"/>
        <v>1.2420436429402797</v>
      </c>
      <c r="J178" s="60">
        <f t="shared" ca="1" si="27"/>
        <v>1.2420436429402797</v>
      </c>
      <c r="K178" s="60">
        <f t="shared" ca="1" si="27"/>
        <v>1.2420436429402797</v>
      </c>
      <c r="L178" s="60"/>
      <c r="M178" s="60">
        <f ca="1">B167*'Total Trip Tables Sup #2'!B167*1000000/'Updated Population'!B$158</f>
        <v>1.1141991123694166</v>
      </c>
      <c r="N178" s="60">
        <f ca="1">C167*'Total Trip Tables Sup #2'!C167*1000000/'Updated Population'!C$158</f>
        <v>1.2611691567994634</v>
      </c>
      <c r="O178" s="60">
        <f ca="1">D167*'Total Trip Tables Sup #2'!D167*1000000/'Updated Population'!D$158</f>
        <v>1.2579349488374865</v>
      </c>
      <c r="P178" s="60">
        <f ca="1">E167*'Total Trip Tables Sup #2'!E167*1000000/'Updated Population'!E$158</f>
        <v>1.2630062304539131</v>
      </c>
      <c r="Q178" s="60">
        <f ca="1">F167*'Total Trip Tables Sup #2'!F167*1000000/'Updated Population'!F$158</f>
        <v>1.2467652340067643</v>
      </c>
      <c r="R178" s="60">
        <f ca="1">G167*'Total Trip Tables Sup #2'!G167*1000000/'Updated Population'!G$158</f>
        <v>1.2530154091235759</v>
      </c>
      <c r="S178" s="60">
        <f ca="1">H167*'Total Trip Tables Sup #2'!H167*1000000/'Updated Population'!H$158</f>
        <v>1.2420436429402795</v>
      </c>
      <c r="T178" s="59"/>
    </row>
    <row r="179" spans="1:20" x14ac:dyDescent="0.2">
      <c r="A179" s="59" t="str">
        <f t="shared" ca="1" si="25"/>
        <v>Other Household Travel</v>
      </c>
      <c r="B179" s="60">
        <f ca="1">B190*1000000/'Original Population'!B$158</f>
        <v>2.3324790409086815</v>
      </c>
      <c r="C179" s="60">
        <f ca="1">C190*1000000/'Original Population'!C$158</f>
        <v>2.2962506779344882</v>
      </c>
      <c r="D179" s="60">
        <f ca="1">D190*1000000/'Original Population'!D$158</f>
        <v>2.2977843117362329</v>
      </c>
      <c r="E179" s="60">
        <f ca="1">E190*1000000/'Original Population'!E$158</f>
        <v>2.2615021212628332</v>
      </c>
      <c r="F179" s="60">
        <f ca="1">F190*1000000/'Original Population'!F$158</f>
        <v>2.2048399728539989</v>
      </c>
      <c r="G179" s="60">
        <f ca="1">G190*1000000/'Original Population'!G$158</f>
        <v>2.1340213639505836</v>
      </c>
      <c r="H179" s="60">
        <f ca="1">H190*1000000/'Original Population'!H$158</f>
        <v>2.0313339168702154</v>
      </c>
      <c r="I179" s="60">
        <f t="shared" ca="1" si="27"/>
        <v>2.0313339168702154</v>
      </c>
      <c r="J179" s="60">
        <f t="shared" ca="1" si="27"/>
        <v>2.0313339168702154</v>
      </c>
      <c r="K179" s="60">
        <f t="shared" ca="1" si="27"/>
        <v>2.0313339168702154</v>
      </c>
      <c r="L179" s="60"/>
      <c r="M179" s="60">
        <f ca="1">B168*'Total Trip Tables Sup #2'!B168*1000000/'Updated Population'!B$158</f>
        <v>2.3324790409086815</v>
      </c>
      <c r="N179" s="60">
        <f ca="1">C168*'Total Trip Tables Sup #2'!C168*1000000/'Updated Population'!C$158</f>
        <v>2.2962506779344882</v>
      </c>
      <c r="O179" s="60">
        <f ca="1">D168*'Total Trip Tables Sup #2'!D168*1000000/'Updated Population'!D$158</f>
        <v>2.2977843117362329</v>
      </c>
      <c r="P179" s="60">
        <f ca="1">E168*'Total Trip Tables Sup #2'!E168*1000000/'Updated Population'!E$158</f>
        <v>2.2615021212628332</v>
      </c>
      <c r="Q179" s="60">
        <f ca="1">F168*'Total Trip Tables Sup #2'!F168*1000000/'Updated Population'!F$158</f>
        <v>2.2048399728539989</v>
      </c>
      <c r="R179" s="60">
        <f ca="1">G168*'Total Trip Tables Sup #2'!G168*1000000/'Updated Population'!G$158</f>
        <v>2.1340213639505836</v>
      </c>
      <c r="S179" s="60">
        <f ca="1">H168*'Total Trip Tables Sup #2'!H168*1000000/'Updated Population'!H$158</f>
        <v>2.0313339168702154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28">A27</f>
        <v>Pedestrian</v>
      </c>
      <c r="B181" s="4">
        <f ca="1">'Total Trip Tables Original'!B159</f>
        <v>986.56972308989998</v>
      </c>
      <c r="C181" s="4">
        <f ca="1">'Total Trip Tables Original'!C159</f>
        <v>1027.2177273716998</v>
      </c>
      <c r="D181" s="4">
        <f ca="1">'Total Trip Tables Original'!D159</f>
        <v>1049.8488944636001</v>
      </c>
      <c r="E181" s="4">
        <f ca="1">'Total Trip Tables Original'!E159</f>
        <v>1061.9964531669002</v>
      </c>
      <c r="F181" s="4">
        <f ca="1">'Total Trip Tables Original'!F159</f>
        <v>1067.446885973</v>
      </c>
      <c r="G181" s="4">
        <f ca="1">'Total Trip Tables Original'!G159</f>
        <v>1070.8448806309998</v>
      </c>
      <c r="H181" s="4">
        <f ca="1">'Total Trip Tables Original'!H159</f>
        <v>1070.4464871329001</v>
      </c>
      <c r="I181" s="4">
        <f ca="1">'Total Trip Tables Original'!I159</f>
        <v>1105.9141120181507</v>
      </c>
      <c r="J181" s="4">
        <f ca="1">'Total Trip Tables Original'!J159</f>
        <v>1148.3378531671194</v>
      </c>
      <c r="K181" s="4">
        <f ca="1">'Total Trip Tables Original'!K159</f>
        <v>1191.3498048666529</v>
      </c>
    </row>
    <row r="182" spans="1:20" x14ac:dyDescent="0.2">
      <c r="A182" t="str">
        <f t="shared" ca="1" si="28"/>
        <v>Cyclist</v>
      </c>
      <c r="B182" s="4">
        <f ca="1">'Total Trip Tables Original'!B160</f>
        <v>71.074316198400012</v>
      </c>
      <c r="C182" s="4">
        <f ca="1">'Total Trip Tables Original'!C160</f>
        <v>71.467669367799999</v>
      </c>
      <c r="D182" s="4">
        <f ca="1">'Total Trip Tables Original'!D160</f>
        <v>74.024875820499986</v>
      </c>
      <c r="E182" s="4">
        <f ca="1">'Total Trip Tables Original'!E160</f>
        <v>73.8937815325</v>
      </c>
      <c r="F182" s="4">
        <f ca="1">'Total Trip Tables Original'!F160</f>
        <v>74.133527478599987</v>
      </c>
      <c r="G182" s="4">
        <f ca="1">'Total Trip Tables Original'!G160</f>
        <v>74.575296831100005</v>
      </c>
      <c r="H182" s="4">
        <f ca="1">'Total Trip Tables Original'!H160</f>
        <v>75.171599156999989</v>
      </c>
      <c r="I182" s="4">
        <f ca="1">'Total Trip Tables Original'!I160</f>
        <v>77.235551519102643</v>
      </c>
      <c r="J182" s="4">
        <f ca="1">'Total Trip Tables Original'!J160</f>
        <v>79.572354017680908</v>
      </c>
      <c r="K182" s="4">
        <f ca="1">'Total Trip Tables Original'!K160</f>
        <v>81.895131545350594</v>
      </c>
    </row>
    <row r="183" spans="1:20" x14ac:dyDescent="0.2">
      <c r="A183" t="str">
        <f t="shared" ca="1" si="28"/>
        <v>Light Vehicle Driver</v>
      </c>
      <c r="B183" s="4">
        <f ca="1">'Total Trip Tables Original'!B161</f>
        <v>3093.3887589700003</v>
      </c>
      <c r="C183" s="4">
        <f ca="1">'Total Trip Tables Original'!C161</f>
        <v>3327.7739684760008</v>
      </c>
      <c r="D183" s="4">
        <f ca="1">'Total Trip Tables Original'!D161</f>
        <v>3463.7610388009998</v>
      </c>
      <c r="E183" s="4">
        <f ca="1">'Total Trip Tables Original'!E161</f>
        <v>3623.0985289140003</v>
      </c>
      <c r="F183" s="4">
        <f ca="1">'Total Trip Tables Original'!F161</f>
        <v>3760.3402128769994</v>
      </c>
      <c r="G183" s="4">
        <f ca="1">'Total Trip Tables Original'!G161</f>
        <v>3864.0713895789995</v>
      </c>
      <c r="H183" s="4">
        <f ca="1">'Total Trip Tables Original'!H161</f>
        <v>3948.8108102299993</v>
      </c>
      <c r="I183" s="4">
        <f ca="1">'Total Trip Tables Original'!I161</f>
        <v>4084.0502113554576</v>
      </c>
      <c r="J183" s="4">
        <f ca="1">'Total Trip Tables Original'!J161</f>
        <v>4247.1454419684978</v>
      </c>
      <c r="K183" s="4">
        <f ca="1">'Total Trip Tables Original'!K161</f>
        <v>4413.0516783159665</v>
      </c>
    </row>
    <row r="184" spans="1:20" x14ac:dyDescent="0.2">
      <c r="A184" t="str">
        <f t="shared" ca="1" si="28"/>
        <v>Light Vehicle Passenger</v>
      </c>
      <c r="B184" s="4">
        <f ca="1">'Total Trip Tables Original'!B162</f>
        <v>1512.9377645669999</v>
      </c>
      <c r="C184" s="4">
        <f ca="1">'Total Trip Tables Original'!C162</f>
        <v>1549.2233587475002</v>
      </c>
      <c r="D184" s="4">
        <f ca="1">'Total Trip Tables Original'!D162</f>
        <v>1582.9689995178996</v>
      </c>
      <c r="E184" s="4">
        <f ca="1">'Total Trip Tables Original'!E162</f>
        <v>1624.5800068146998</v>
      </c>
      <c r="F184" s="4">
        <f ca="1">'Total Trip Tables Original'!F162</f>
        <v>1662.7897364263999</v>
      </c>
      <c r="G184" s="4">
        <f ca="1">'Total Trip Tables Original'!G162</f>
        <v>1693.6377137332997</v>
      </c>
      <c r="H184" s="4">
        <f ca="1">'Total Trip Tables Original'!H162</f>
        <v>1719.7935681003</v>
      </c>
      <c r="I184" s="4">
        <f ca="1">'Total Trip Tables Original'!I162</f>
        <v>1779.9821560192777</v>
      </c>
      <c r="J184" s="4">
        <f ca="1">'Total Trip Tables Original'!J162</f>
        <v>1852.8552345853177</v>
      </c>
      <c r="K184" s="4">
        <f ca="1">'Total Trip Tables Original'!K162</f>
        <v>1927.0979293150851</v>
      </c>
    </row>
    <row r="185" spans="1:20" x14ac:dyDescent="0.2">
      <c r="A185" t="str">
        <f t="shared" ca="1" si="28"/>
        <v>Taxi/Vehicle Share</v>
      </c>
      <c r="B185" s="4">
        <f ca="1">'Total Trip Tables Original'!B163</f>
        <v>15.600131729099999</v>
      </c>
      <c r="C185" s="4">
        <f ca="1">'Total Trip Tables Original'!C163</f>
        <v>17.807690816199997</v>
      </c>
      <c r="D185" s="4">
        <f ca="1">'Total Trip Tables Original'!D163</f>
        <v>19.656860827199996</v>
      </c>
      <c r="E185" s="4">
        <f ca="1">'Total Trip Tables Original'!E163</f>
        <v>21.172955938999998</v>
      </c>
      <c r="F185" s="4">
        <f ca="1">'Total Trip Tables Original'!F163</f>
        <v>22.436900481699993</v>
      </c>
      <c r="G185" s="4">
        <f ca="1">'Total Trip Tables Original'!G163</f>
        <v>23.406077470699998</v>
      </c>
      <c r="H185" s="4">
        <f ca="1">'Total Trip Tables Original'!H163</f>
        <v>24.241540795200002</v>
      </c>
      <c r="I185" s="4">
        <f ca="1">'Total Trip Tables Original'!I163</f>
        <v>25.092166947988204</v>
      </c>
      <c r="J185" s="4">
        <f ca="1">'Total Trip Tables Original'!J163</f>
        <v>26.12660465521973</v>
      </c>
      <c r="K185" s="4">
        <f ca="1">'Total Trip Tables Original'!K163</f>
        <v>27.181842745336745</v>
      </c>
    </row>
    <row r="186" spans="1:20" x14ac:dyDescent="0.2">
      <c r="A186" t="str">
        <f t="shared" ca="1" si="28"/>
        <v>Motorcyclist</v>
      </c>
      <c r="B186" s="4">
        <f ca="1">'Total Trip Tables Original'!B164</f>
        <v>19.272283824500001</v>
      </c>
      <c r="C186" s="4">
        <f ca="1">'Total Trip Tables Original'!C164</f>
        <v>19.7087853972</v>
      </c>
      <c r="D186" s="4">
        <f ca="1">'Total Trip Tables Original'!D164</f>
        <v>20.020441300599998</v>
      </c>
      <c r="E186" s="4">
        <f ca="1">'Total Trip Tables Original'!E164</f>
        <v>20.180577866900002</v>
      </c>
      <c r="F186" s="4">
        <f ca="1">'Total Trip Tables Original'!F164</f>
        <v>20.133763140400003</v>
      </c>
      <c r="G186" s="4">
        <f ca="1">'Total Trip Tables Original'!G164</f>
        <v>19.674348431400002</v>
      </c>
      <c r="H186" s="4">
        <f ca="1">'Total Trip Tables Original'!H164</f>
        <v>19.104353963099999</v>
      </c>
      <c r="I186" s="4">
        <f ca="1">'Total Trip Tables Original'!I164</f>
        <v>19.686658778822693</v>
      </c>
      <c r="J186" s="4">
        <f ca="1">'Total Trip Tables Original'!J164</f>
        <v>20.383126693905378</v>
      </c>
      <c r="K186" s="4">
        <f ca="1">'Total Trip Tables Original'!K164</f>
        <v>21.087382135402709</v>
      </c>
    </row>
    <row r="187" spans="1:20" x14ac:dyDescent="0.2">
      <c r="A187" t="str">
        <f t="shared" ca="1" si="28"/>
        <v>Local Train</v>
      </c>
      <c r="B187" s="4">
        <f ca="1">'Total Trip Tables Original'!B22+'Total Trip Tables Original'!B99</f>
        <v>20.753709268000001</v>
      </c>
      <c r="C187" s="4">
        <f ca="1">'Total Trip Tables Original'!C22+'Total Trip Tables Original'!C99</f>
        <v>22.723356758999998</v>
      </c>
      <c r="D187" s="4">
        <f ca="1">'Total Trip Tables Original'!D22+'Total Trip Tables Original'!D99</f>
        <v>23.535577422000003</v>
      </c>
      <c r="E187" s="4">
        <f ca="1">'Total Trip Tables Original'!E22+'Total Trip Tables Original'!E99</f>
        <v>23.949885940000001</v>
      </c>
      <c r="F187" s="4">
        <f ca="1">'Total Trip Tables Original'!F22+'Total Trip Tables Original'!F99</f>
        <v>24.031355251000001</v>
      </c>
      <c r="G187" s="4">
        <f ca="1">'Total Trip Tables Original'!G22+'Total Trip Tables Original'!G99</f>
        <v>23.990732260999998</v>
      </c>
      <c r="H187" s="4">
        <f ca="1">'Total Trip Tables Original'!H22+'Total Trip Tables Original'!H99</f>
        <v>23.792132793</v>
      </c>
      <c r="I187" s="4">
        <f ca="1">'Total Trip Tables Original'!I22+'Total Trip Tables Original'!I99</f>
        <v>24.601548258797976</v>
      </c>
      <c r="J187" s="4">
        <f ca="1">'Total Trip Tables Original'!J22+'Total Trip Tables Original'!J99</f>
        <v>25.58026740609283</v>
      </c>
      <c r="K187" s="4">
        <f ca="1">'Total Trip Tables Original'!K22+'Total Trip Tables Original'!K99</f>
        <v>26.575105854234607</v>
      </c>
    </row>
    <row r="188" spans="1:20" x14ac:dyDescent="0.2">
      <c r="A188" t="s">
        <v>16</v>
      </c>
      <c r="B188" s="4">
        <f ca="1">'Total Trip Tables Original'!B12+'Total Trip Tables Original'!B34+'Total Trip Tables Original'!B45+'Total Trip Tables Original'!B56+'Total Trip Tables Original'!B67+'Total Trip Tables Original'!B78+'Total Trip Tables Original'!B89+'Total Trip Tables Original'!B111+'Total Trip Tables Original'!B122+'Total Trip Tables Original'!B144+'Total Trip Tables Original'!B155</f>
        <v>37.710964695899996</v>
      </c>
      <c r="C188" s="4">
        <f ca="1">'Total Trip Tables Original'!C12+'Total Trip Tables Original'!C34+'Total Trip Tables Original'!C45+'Total Trip Tables Original'!C56+'Total Trip Tables Original'!C67+'Total Trip Tables Original'!C78+'Total Trip Tables Original'!C89+'Total Trip Tables Original'!C111+'Total Trip Tables Original'!C122+'Total Trip Tables Original'!C144+'Total Trip Tables Original'!C155</f>
        <v>35.195742471599999</v>
      </c>
      <c r="D188" s="4">
        <f ca="1">'Total Trip Tables Original'!D12+'Total Trip Tables Original'!D34+'Total Trip Tables Original'!D45+'Total Trip Tables Original'!D56+'Total Trip Tables Original'!D67+'Total Trip Tables Original'!D78+'Total Trip Tables Original'!D89+'Total Trip Tables Original'!D111+'Total Trip Tables Original'!D122+'Total Trip Tables Original'!D144+'Total Trip Tables Original'!D155</f>
        <v>35.617460023500001</v>
      </c>
      <c r="E188" s="4">
        <f ca="1">'Total Trip Tables Original'!E12+'Total Trip Tables Original'!E34+'Total Trip Tables Original'!E45+'Total Trip Tables Original'!E56+'Total Trip Tables Original'!E67+'Total Trip Tables Original'!E78+'Total Trip Tables Original'!E89+'Total Trip Tables Original'!E111+'Total Trip Tables Original'!E122+'Total Trip Tables Original'!E144+'Total Trip Tables Original'!E155</f>
        <v>35.754155688199994</v>
      </c>
      <c r="F188" s="4">
        <f ca="1">'Total Trip Tables Original'!F12+'Total Trip Tables Original'!F34+'Total Trip Tables Original'!F45+'Total Trip Tables Original'!F56+'Total Trip Tables Original'!F67+'Total Trip Tables Original'!F78+'Total Trip Tables Original'!F89+'Total Trip Tables Original'!F111+'Total Trip Tables Original'!F122+'Total Trip Tables Original'!F144+'Total Trip Tables Original'!F155</f>
        <v>35.773591858899998</v>
      </c>
      <c r="G188" s="4">
        <f ca="1">'Total Trip Tables Original'!G12+'Total Trip Tables Original'!G34+'Total Trip Tables Original'!G45+'Total Trip Tables Original'!G56+'Total Trip Tables Original'!G67+'Total Trip Tables Original'!G78+'Total Trip Tables Original'!G89+'Total Trip Tables Original'!G111+'Total Trip Tables Original'!G122+'Total Trip Tables Original'!G144+'Total Trip Tables Original'!G155</f>
        <v>36.090255655600004</v>
      </c>
      <c r="H188" s="4">
        <f ca="1">'Total Trip Tables Original'!H12+'Total Trip Tables Original'!H34+'Total Trip Tables Original'!H45+'Total Trip Tables Original'!H56+'Total Trip Tables Original'!H67+'Total Trip Tables Original'!H78+'Total Trip Tables Original'!H89+'Total Trip Tables Original'!H111+'Total Trip Tables Original'!H122+'Total Trip Tables Original'!H144+'Total Trip Tables Original'!H155</f>
        <v>36.396742713699993</v>
      </c>
      <c r="I188" s="4">
        <f ca="1">'Total Trip Tables Original'!I12+'Total Trip Tables Original'!I34+'Total Trip Tables Original'!I45+'Total Trip Tables Original'!I56+'Total Trip Tables Original'!I67+'Total Trip Tables Original'!I78+'Total Trip Tables Original'!I89+'Total Trip Tables Original'!I111+'Total Trip Tables Original'!I122+'Total Trip Tables Original'!I144+'Total Trip Tables Original'!I155</f>
        <v>37.367997892600158</v>
      </c>
      <c r="J188" s="4">
        <f ca="1">'Total Trip Tables Original'!J12+'Total Trip Tables Original'!J34+'Total Trip Tables Original'!J45+'Total Trip Tables Original'!J56+'Total Trip Tables Original'!J67+'Total Trip Tables Original'!J78+'Total Trip Tables Original'!J89+'Total Trip Tables Original'!J111+'Total Trip Tables Original'!J122+'Total Trip Tables Original'!J144+'Total Trip Tables Original'!J155</f>
        <v>38.562339142346758</v>
      </c>
      <c r="K188" s="4">
        <f ca="1">'Total Trip Tables Original'!K12+'Total Trip Tables Original'!K34+'Total Trip Tables Original'!K45+'Total Trip Tables Original'!K56+'Total Trip Tables Original'!K67+'Total Trip Tables Original'!K78+'Total Trip Tables Original'!K89+'Total Trip Tables Original'!K111+'Total Trip Tables Original'!K122+'Total Trip Tables Original'!K144+'Total Trip Tables Original'!K155</f>
        <v>39.773733221658645</v>
      </c>
    </row>
    <row r="189" spans="1:20" x14ac:dyDescent="0.2">
      <c r="A189" t="str">
        <f ca="1">A35</f>
        <v>Local Ferry</v>
      </c>
      <c r="B189" s="4">
        <f ca="1">'Total Trip Tables Original'!B167</f>
        <v>4.9488267775000008</v>
      </c>
      <c r="C189" s="4">
        <f ca="1">'Total Trip Tables Original'!C167</f>
        <v>6.0179208655000007</v>
      </c>
      <c r="D189" s="4">
        <f ca="1">'Total Trip Tables Original'!D167</f>
        <v>6.3409984900999996</v>
      </c>
      <c r="E189" s="4">
        <f ca="1">'Total Trip Tables Original'!E167</f>
        <v>6.7169197348000012</v>
      </c>
      <c r="F189" s="4">
        <f ca="1">'Total Trip Tables Original'!F167</f>
        <v>6.967298157200001</v>
      </c>
      <c r="G189" s="4">
        <f ca="1">'Total Trip Tables Original'!G167</f>
        <v>7.3228726540000011</v>
      </c>
      <c r="H189" s="4">
        <f ca="1">'Total Trip Tables Original'!H167</f>
        <v>7.5765904263000001</v>
      </c>
      <c r="I189" s="4">
        <f ca="1">'Total Trip Tables Original'!I167</f>
        <v>7.950248812010531</v>
      </c>
      <c r="J189" s="4">
        <f ca="1">'Total Trip Tables Original'!J167</f>
        <v>8.4220391499297538</v>
      </c>
      <c r="K189" s="4">
        <f ca="1">'Total Trip Tables Original'!K167</f>
        <v>8.9111948025910266</v>
      </c>
    </row>
    <row r="190" spans="1:20" x14ac:dyDescent="0.2">
      <c r="A190" t="str">
        <f ca="1">A36</f>
        <v>Other Household Travel</v>
      </c>
      <c r="B190" s="4">
        <f ca="1">'Total Trip Tables Original'!B168</f>
        <v>10.3599389081</v>
      </c>
      <c r="C190" s="4">
        <f ca="1">'Total Trip Tables Original'!C168</f>
        <v>10.957019359899999</v>
      </c>
      <c r="D190" s="4">
        <f ca="1">'Total Trip Tables Original'!D168</f>
        <v>11.5826711586</v>
      </c>
      <c r="E190" s="4">
        <f ca="1">'Total Trip Tables Original'!E168</f>
        <v>12.0271205813</v>
      </c>
      <c r="F190" s="4">
        <f ca="1">'Total Trip Tables Original'!F168</f>
        <v>12.321307220300001</v>
      </c>
      <c r="G190" s="4">
        <f ca="1">'Total Trip Tables Original'!G168</f>
        <v>12.471647655200002</v>
      </c>
      <c r="H190" s="4">
        <f ca="1">'Total Trip Tables Original'!H168</f>
        <v>12.3913400263</v>
      </c>
      <c r="I190" s="4">
        <f ca="1">'Total Trip Tables Original'!I168</f>
        <v>12.77627800354777</v>
      </c>
      <c r="J190" s="4">
        <f ca="1">'Total Trip Tables Original'!J168</f>
        <v>13.239838974148951</v>
      </c>
      <c r="K190" s="4">
        <f ca="1">'Total Trip Tables Original'!K168</f>
        <v>13.710009309946416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K190"/>
  <sheetViews>
    <sheetView workbookViewId="0">
      <selection activeCell="H24" sqref="H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11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OFFSET(Northland_Reference,1,5)</f>
        <v>21.952727676999999</v>
      </c>
      <c r="D5" s="4">
        <f ca="1">OFFSET(Northland_Reference,2,5)</f>
        <v>21.964663739999999</v>
      </c>
      <c r="E5" s="4">
        <f ca="1">OFFSET(Northland_Reference,3,5)</f>
        <v>20.955878895000001</v>
      </c>
      <c r="F5" s="4">
        <f ca="1">OFFSET(Northland_Reference,4,5)</f>
        <v>19.861789483999999</v>
      </c>
      <c r="G5" s="4">
        <f ca="1">OFFSET(Northland_Reference,5,5)</f>
        <v>18.660588799999999</v>
      </c>
      <c r="H5" s="4">
        <f ca="1">OFFSET(Northland_Reference,6,5)</f>
        <v>17.511807036</v>
      </c>
      <c r="I5" s="1">
        <f ca="1">H5*('Updated Population'!I$4/'Updated Population'!H$4)</f>
        <v>17.59486370701131</v>
      </c>
      <c r="J5" s="1">
        <f ca="1">I5*('Updated Population'!J$4/'Updated Population'!I$4)</f>
        <v>17.622041186644601</v>
      </c>
      <c r="K5" s="1">
        <f ca="1">J5*('Updated Population'!K$4/'Updated Population'!J$4)</f>
        <v>17.611331244330064</v>
      </c>
    </row>
    <row r="6" spans="1:11" x14ac:dyDescent="0.2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OFFSET(Northland_Reference,8,5)</f>
        <v>0.59247920750000005</v>
      </c>
      <c r="D6" s="4">
        <f ca="1">OFFSET(Northland_Reference,9,5)</f>
        <v>0.58956368579999996</v>
      </c>
      <c r="E6" s="4">
        <f ca="1">OFFSET(Northland_Reference,10,5)</f>
        <v>0.52850230860000003</v>
      </c>
      <c r="F6" s="4">
        <f ca="1">OFFSET(Northland_Reference,11,5)</f>
        <v>0.44584004030000002</v>
      </c>
      <c r="G6" s="4">
        <f ca="1">OFFSET(Northland_Reference,12,5)</f>
        <v>0.32374908000000002</v>
      </c>
      <c r="H6" s="4">
        <f ca="1">OFFSET(Northland_Reference,13,5)</f>
        <v>0.21835749469999999</v>
      </c>
      <c r="I6" s="1">
        <f ca="1">H6*('Updated Population'!I$4/'Updated Population'!H$4)</f>
        <v>0.21939314148178946</v>
      </c>
      <c r="J6" s="1">
        <f ca="1">I6*('Updated Population'!J$4/'Updated Population'!I$4)</f>
        <v>0.21973202177853929</v>
      </c>
      <c r="K6" s="1">
        <f ca="1">J6*('Updated Population'!K$4/'Updated Population'!J$4)</f>
        <v>0.21959847781203848</v>
      </c>
    </row>
    <row r="7" spans="1:11" x14ac:dyDescent="0.2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OFFSET(Northland_Reference,15,5)</f>
        <v>82.587707332999997</v>
      </c>
      <c r="D7" s="4">
        <f ca="1">OFFSET(Northland_Reference,16,5)</f>
        <v>85.163748853000001</v>
      </c>
      <c r="E7" s="4">
        <f ca="1">OFFSET(Northland_Reference,17,5)</f>
        <v>85.187123835999998</v>
      </c>
      <c r="F7" s="4">
        <f ca="1">OFFSET(Northland_Reference,18,5)</f>
        <v>84.770374771999997</v>
      </c>
      <c r="G7" s="4">
        <f ca="1">OFFSET(Northland_Reference,19,5)</f>
        <v>82.865942935000007</v>
      </c>
      <c r="H7" s="4">
        <f ca="1">OFFSET(Northland_Reference,20,5)</f>
        <v>80.958199407999999</v>
      </c>
      <c r="I7" s="1">
        <f ca="1">H7*('Updated Population'!I$4/'Updated Population'!H$4)</f>
        <v>81.342175688693075</v>
      </c>
      <c r="J7" s="1">
        <f ca="1">I7*('Updated Population'!J$4/'Updated Population'!I$4)</f>
        <v>81.467818908209807</v>
      </c>
      <c r="K7" s="1">
        <f ca="1">J7*('Updated Population'!K$4/'Updated Population'!J$4)</f>
        <v>81.418306162679542</v>
      </c>
    </row>
    <row r="8" spans="1:11" x14ac:dyDescent="0.2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OFFSET(Northland_Reference,22,5)</f>
        <v>45.432196021999999</v>
      </c>
      <c r="D8" s="4">
        <f ca="1">OFFSET(Northland_Reference,23,5)</f>
        <v>45.202688017</v>
      </c>
      <c r="E8" s="4">
        <f ca="1">OFFSET(Northland_Reference,24,5)</f>
        <v>43.895894955999999</v>
      </c>
      <c r="F8" s="4">
        <f ca="1">OFFSET(Northland_Reference,25,5)</f>
        <v>42.854037658999999</v>
      </c>
      <c r="G8" s="4">
        <f ca="1">OFFSET(Northland_Reference,26,5)</f>
        <v>41.417989953999999</v>
      </c>
      <c r="H8" s="4">
        <f ca="1">OFFSET(Northland_Reference,27,5)</f>
        <v>40.110688994</v>
      </c>
      <c r="I8" s="1">
        <f ca="1">H8*('Updated Population'!I$4/'Updated Population'!H$4)</f>
        <v>40.300929800843228</v>
      </c>
      <c r="J8" s="1">
        <f ca="1">I8*('Updated Population'!J$4/'Updated Population'!I$4)</f>
        <v>40.363179654954266</v>
      </c>
      <c r="K8" s="1">
        <f ca="1">J8*('Updated Population'!K$4/'Updated Population'!J$4)</f>
        <v>40.338648596312574</v>
      </c>
    </row>
    <row r="9" spans="1:11" x14ac:dyDescent="0.2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OFFSET(Northland_Reference,29,5)</f>
        <v>0.1728324074</v>
      </c>
      <c r="D9" s="4">
        <f ca="1">OFFSET(Northland_Reference,30,5)</f>
        <v>0.17403427390000001</v>
      </c>
      <c r="E9" s="4">
        <f ca="1">OFFSET(Northland_Reference,31,5)</f>
        <v>0.1750242803</v>
      </c>
      <c r="F9" s="4">
        <f ca="1">OFFSET(Northland_Reference,32,5)</f>
        <v>0.16511348770000001</v>
      </c>
      <c r="G9" s="4">
        <f ca="1">OFFSET(Northland_Reference,33,5)</f>
        <v>0.15083386909999999</v>
      </c>
      <c r="H9" s="4">
        <f ca="1">OFFSET(Northland_Reference,34,5)</f>
        <v>0.1366762664</v>
      </c>
      <c r="I9" s="1">
        <f ca="1">H9*('Updated Population'!I$4/'Updated Population'!H$4)</f>
        <v>0.13732450765060891</v>
      </c>
      <c r="J9" s="1">
        <f ca="1">I9*('Updated Population'!J$4/'Updated Population'!I$4)</f>
        <v>0.13753662262188537</v>
      </c>
      <c r="K9" s="1">
        <f ca="1">J9*('Updated Population'!K$4/'Updated Population'!J$4)</f>
        <v>0.13745303359387123</v>
      </c>
    </row>
    <row r="10" spans="1:11" x14ac:dyDescent="0.2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OFFSET(Northland_Reference,36,5)</f>
        <v>1.2831617314999999</v>
      </c>
      <c r="D10" s="4">
        <f ca="1">OFFSET(Northland_Reference,37,5)</f>
        <v>1.2551150879999999</v>
      </c>
      <c r="E10" s="4">
        <f ca="1">OFFSET(Northland_Reference,38,5)</f>
        <v>1.1458003323999999</v>
      </c>
      <c r="F10" s="4">
        <f ca="1">OFFSET(Northland_Reference,39,5)</f>
        <v>1.0806990407999999</v>
      </c>
      <c r="G10" s="4">
        <f ca="1">OFFSET(Northland_Reference,40,5)</f>
        <v>1.0382334813</v>
      </c>
      <c r="H10" s="4">
        <f ca="1">OFFSET(Northland_Reference,41,5)</f>
        <v>0.97757925700000003</v>
      </c>
      <c r="I10" s="1">
        <f ca="1">H10*('Updated Population'!I$4/'Updated Population'!H$4)</f>
        <v>0.98221581327138952</v>
      </c>
      <c r="J10" s="1">
        <f ca="1">I10*('Updated Population'!J$4/'Updated Population'!I$4)</f>
        <v>0.98373296911329822</v>
      </c>
      <c r="K10" s="1">
        <f ca="1">J10*('Updated Population'!K$4/'Updated Population'!J$4)</f>
        <v>0.98313509720728443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OFFSET(Northland_Reference,43,5)</f>
        <v>2.9476991101999999</v>
      </c>
      <c r="D12" s="4">
        <f ca="1">OFFSET(Northland_Reference,44,5)</f>
        <v>2.6875250338000001</v>
      </c>
      <c r="E12" s="4">
        <f ca="1">OFFSET(Northland_Reference,45,5)</f>
        <v>2.3876127337000002</v>
      </c>
      <c r="F12" s="4">
        <f ca="1">OFFSET(Northland_Reference,46,5)</f>
        <v>2.1321704370000001</v>
      </c>
      <c r="G12" s="4">
        <f ca="1">OFFSET(Northland_Reference,47,5)</f>
        <v>1.9077919666000001</v>
      </c>
      <c r="H12" s="4">
        <f ca="1">OFFSET(Northland_Reference,48,5)</f>
        <v>1.7081827898999999</v>
      </c>
      <c r="I12" s="1">
        <f ca="1">H12*('Updated Population'!I$4/'Updated Population'!H$4)</f>
        <v>1.7162845223891852</v>
      </c>
      <c r="J12" s="1">
        <f ca="1">I12*('Updated Population'!J$4/'Updated Population'!I$4)</f>
        <v>1.7189355396649586</v>
      </c>
      <c r="K12" s="1">
        <f ca="1">J12*('Updated Population'!K$4/'Updated Population'!J$4)</f>
        <v>1.7178908422727988</v>
      </c>
    </row>
    <row r="13" spans="1:11" x14ac:dyDescent="0.2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OFFSET(Northland_Reference,50,5)</f>
        <v>4.7155710599999998E-2</v>
      </c>
      <c r="D13" s="4">
        <f ca="1">OFFSET(Northland_Reference,51,5)</f>
        <v>4.7227851699999997E-2</v>
      </c>
      <c r="E13" s="4">
        <f ca="1">OFFSET(Northland_Reference,52,5)</f>
        <v>4.6518637100000003E-2</v>
      </c>
      <c r="F13" s="4">
        <f ca="1">OFFSET(Northland_Reference,53,5)</f>
        <v>4.2824268399999997E-2</v>
      </c>
      <c r="G13" s="4">
        <f ca="1">OFFSET(Northland_Reference,54,5)</f>
        <v>3.6977945800000002E-2</v>
      </c>
      <c r="H13" s="4">
        <f ca="1">OFFSET(Northland_Reference,55,5)</f>
        <v>3.1208928800000001E-2</v>
      </c>
      <c r="I13" s="1">
        <f ca="1">H13*('Updated Population'!I$4/'Updated Population'!H$4)</f>
        <v>3.135694948836347E-2</v>
      </c>
      <c r="J13" s="1">
        <f ca="1">I13*('Updated Population'!J$4/'Updated Population'!I$4)</f>
        <v>3.1405384240133817E-2</v>
      </c>
      <c r="K13" s="1">
        <f ca="1">J13*('Updated Population'!K$4/'Updated Population'!J$4)</f>
        <v>3.1386297356269723E-2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OFFSET(Northland_Reference,57,5)</f>
        <v>0.1202875133</v>
      </c>
      <c r="D14" s="4">
        <f ca="1">OFFSET(Northland_Reference,58,5)</f>
        <v>0.1156731498</v>
      </c>
      <c r="E14" s="4">
        <f ca="1">OFFSET(Northland_Reference,59,5)</f>
        <v>0.1118567536</v>
      </c>
      <c r="F14" s="4">
        <f ca="1">OFFSET(Northland_Reference,60,5)</f>
        <v>0.10673383810000001</v>
      </c>
      <c r="G14" s="4">
        <f ca="1">OFFSET(Northland_Reference,61,5)</f>
        <v>0.1004058888</v>
      </c>
      <c r="H14" s="4">
        <f ca="1">OFFSET(Northland_Reference,62,5)</f>
        <v>9.3674162599999999E-2</v>
      </c>
      <c r="I14" s="1">
        <f ca="1">H14*('Updated Population'!I$4/'Updated Population'!H$4)</f>
        <v>9.4118449365456797E-2</v>
      </c>
      <c r="J14" s="1">
        <f ca="1">I14*('Updated Population'!J$4/'Updated Population'!I$4)</f>
        <v>9.4263827146344487E-2</v>
      </c>
      <c r="K14" s="1">
        <f ca="1">J14*('Updated Population'!K$4/'Updated Population'!J$4)</f>
        <v>9.4206537520222733E-2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OFFSET(Auckland_Reference,1,5)</f>
        <v>378.35663090999998</v>
      </c>
      <c r="D16" s="4">
        <f ca="1">OFFSET(Auckland_Reference,2,5)</f>
        <v>377.54142388000002</v>
      </c>
      <c r="E16" s="4">
        <f ca="1">OFFSET(Auckland_Reference,3,5)</f>
        <v>392.27071245000002</v>
      </c>
      <c r="F16" s="4">
        <f ca="1">OFFSET(Auckland_Reference,4,5)</f>
        <v>402.95570027000002</v>
      </c>
      <c r="G16" s="4">
        <f ca="1">OFFSET(Auckland_Reference,5,5)</f>
        <v>412.53105502</v>
      </c>
      <c r="H16" s="4">
        <f ca="1">OFFSET(Auckland_Reference,6,5)</f>
        <v>418.58699025999999</v>
      </c>
      <c r="I16" s="1">
        <f ca="1">H16*('Updated Population'!I$15/'Updated Population'!H$15)</f>
        <v>440.90123990097351</v>
      </c>
      <c r="J16" s="1">
        <f ca="1">I16*('Updated Population'!J$15/'Updated Population'!I$15)</f>
        <v>469.22770448716602</v>
      </c>
      <c r="K16" s="1">
        <f ca="1">J16*('Updated Population'!K$15/'Updated Population'!J$15)</f>
        <v>498.6755338448416</v>
      </c>
    </row>
    <row r="17" spans="1:11" x14ac:dyDescent="0.2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OFFSET(Auckland_Reference,8,5)</f>
        <v>8.4046914219000008</v>
      </c>
      <c r="D17" s="4">
        <f ca="1">OFFSET(Auckland_Reference,9,5)</f>
        <v>8.5384516923000007</v>
      </c>
      <c r="E17" s="4">
        <f ca="1">OFFSET(Auckland_Reference,10,5)</f>
        <v>9.0929885669000008</v>
      </c>
      <c r="F17" s="4">
        <f ca="1">OFFSET(Auckland_Reference,11,5)</f>
        <v>9.5751436711999993</v>
      </c>
      <c r="G17" s="4">
        <f ca="1">OFFSET(Auckland_Reference,12,5)</f>
        <v>10.318749950000001</v>
      </c>
      <c r="H17" s="4">
        <f ca="1">OFFSET(Auckland_Reference,13,5)</f>
        <v>11.047654407</v>
      </c>
      <c r="I17" s="1">
        <f ca="1">H17*('Updated Population'!I$15/'Updated Population'!H$15)</f>
        <v>11.636588425785142</v>
      </c>
      <c r="J17" s="1">
        <f ca="1">I17*('Updated Population'!J$15/'Updated Population'!I$15)</f>
        <v>12.38420122456324</v>
      </c>
      <c r="K17" s="1">
        <f ca="1">J17*('Updated Population'!K$15/'Updated Population'!J$15)</f>
        <v>13.161409903642907</v>
      </c>
    </row>
    <row r="18" spans="1:11" x14ac:dyDescent="0.2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OFFSET(Auckland_Reference,15,5)</f>
        <v>1178.5075670000001</v>
      </c>
      <c r="D18" s="4">
        <f ca="1">OFFSET(Auckland_Reference,16,5)</f>
        <v>1186.3189405999999</v>
      </c>
      <c r="E18" s="4">
        <f ca="1">OFFSET(Auckland_Reference,17,5)</f>
        <v>1269.2684030999999</v>
      </c>
      <c r="F18" s="4">
        <f ca="1">OFFSET(Auckland_Reference,18,5)</f>
        <v>1347.3383454</v>
      </c>
      <c r="G18" s="4">
        <f ca="1">OFFSET(Auckland_Reference,19,5)</f>
        <v>1422.0167128999999</v>
      </c>
      <c r="H18" s="4">
        <f ca="1">OFFSET(Auckland_Reference,20,5)</f>
        <v>1488.2035705999999</v>
      </c>
      <c r="I18" s="1">
        <f ca="1">H18*('Updated Population'!I$15/'Updated Population'!H$15)</f>
        <v>1567.5374886711988</v>
      </c>
      <c r="J18" s="1">
        <f ca="1">I18*('Updated Population'!J$15/'Updated Population'!I$15)</f>
        <v>1668.2466524067027</v>
      </c>
      <c r="K18" s="1">
        <f ca="1">J18*('Updated Population'!K$15/'Updated Population'!J$15)</f>
        <v>1772.9426076471923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OFFSET(Auckland_Reference,22,5)</f>
        <v>559.84114346000001</v>
      </c>
      <c r="D19" s="4">
        <f ca="1">OFFSET(Auckland_Reference,23,5)</f>
        <v>557.95609408999997</v>
      </c>
      <c r="E19" s="4">
        <f ca="1">OFFSET(Auckland_Reference,24,5)</f>
        <v>590.44803548000004</v>
      </c>
      <c r="F19" s="4">
        <f ca="1">OFFSET(Auckland_Reference,25,5)</f>
        <v>621.10611399000004</v>
      </c>
      <c r="G19" s="4">
        <f ca="1">OFFSET(Auckland_Reference,26,5)</f>
        <v>649.48164191000001</v>
      </c>
      <c r="H19" s="4">
        <f ca="1">OFFSET(Auckland_Reference,27,5)</f>
        <v>675.18984021999995</v>
      </c>
      <c r="I19" s="1">
        <f ca="1">H19*('Updated Population'!I$15/'Updated Population'!H$15)</f>
        <v>711.18320599651349</v>
      </c>
      <c r="J19" s="1">
        <f ca="1">I19*('Updated Population'!J$15/'Updated Population'!I$15)</f>
        <v>756.8744041058219</v>
      </c>
      <c r="K19" s="1">
        <f ca="1">J19*('Updated Population'!K$15/'Updated Population'!J$15)</f>
        <v>804.37438776867964</v>
      </c>
    </row>
    <row r="20" spans="1:11" x14ac:dyDescent="0.2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OFFSET(Auckland_Reference,29,5)</f>
        <v>7.7766894449999997</v>
      </c>
      <c r="D20" s="4">
        <f ca="1">OFFSET(Auckland_Reference,30,5)</f>
        <v>8.7690258763000006</v>
      </c>
      <c r="E20" s="4">
        <f ca="1">OFFSET(Auckland_Reference,31,5)</f>
        <v>10.077282658</v>
      </c>
      <c r="F20" s="4">
        <f ca="1">OFFSET(Auckland_Reference,32,5)</f>
        <v>11.293465664999999</v>
      </c>
      <c r="G20" s="4">
        <f ca="1">OFFSET(Auckland_Reference,33,5)</f>
        <v>12.365525685</v>
      </c>
      <c r="H20" s="4">
        <f ca="1">OFFSET(Auckland_Reference,34,5)</f>
        <v>13.379728389</v>
      </c>
      <c r="I20" s="1">
        <f ca="1">H20*('Updated Population'!I$15/'Updated Population'!H$15)</f>
        <v>14.092981801904974</v>
      </c>
      <c r="J20" s="1">
        <f ca="1">I20*('Updated Population'!J$15/'Updated Population'!I$15)</f>
        <v>14.998409851994328</v>
      </c>
      <c r="K20" s="1">
        <f ca="1">J20*('Updated Population'!K$15/'Updated Population'!J$15)</f>
        <v>15.939681242695192</v>
      </c>
    </row>
    <row r="21" spans="1:11" x14ac:dyDescent="0.2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OFFSET(Auckland_Reference,36,5)</f>
        <v>5.0545336453000003</v>
      </c>
      <c r="D21" s="4">
        <f ca="1">OFFSET(Auckland_Reference,37,5)</f>
        <v>5.3517868892999996</v>
      </c>
      <c r="E21" s="4">
        <f ca="1">OFFSET(Auckland_Reference,38,5)</f>
        <v>6.0906354239000002</v>
      </c>
      <c r="F21" s="4">
        <f ca="1">OFFSET(Auckland_Reference,39,5)</f>
        <v>6.6667197094999997</v>
      </c>
      <c r="G21" s="4">
        <f ca="1">OFFSET(Auckland_Reference,40,5)</f>
        <v>6.8946236752000001</v>
      </c>
      <c r="H21" s="4">
        <f ca="1">OFFSET(Auckland_Reference,41,5)</f>
        <v>7.0601239640999998</v>
      </c>
      <c r="I21" s="1">
        <f ca="1">H21*('Updated Population'!I$15/'Updated Population'!H$15)</f>
        <v>7.4364886679654782</v>
      </c>
      <c r="J21" s="1">
        <f ca="1">I21*('Updated Population'!J$15/'Updated Population'!I$15)</f>
        <v>7.914258775724889</v>
      </c>
      <c r="K21" s="1">
        <f ca="1">J21*('Updated Population'!K$15/'Updated Population'!J$15)</f>
        <v>8.4109424533750587</v>
      </c>
    </row>
    <row r="22" spans="1:11" x14ac:dyDescent="0.2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12.59448115</v>
      </c>
      <c r="D22" s="4">
        <f ca="1">OFFSET(Auckland_Reference,44,5)</f>
        <v>12.675712211</v>
      </c>
      <c r="E22" s="4">
        <f ca="1">OFFSET(Auckland_Reference,45,5)</f>
        <v>13.266622479</v>
      </c>
      <c r="F22" s="4">
        <f ca="1">OFFSET(Auckland_Reference,46,5)</f>
        <v>13.645572839</v>
      </c>
      <c r="G22" s="4">
        <f ca="1">OFFSET(Auckland_Reference,47,5)</f>
        <v>13.862134079</v>
      </c>
      <c r="H22" s="4">
        <f ca="1">OFFSET(Auckland_Reference,48,5)</f>
        <v>13.964401064</v>
      </c>
      <c r="I22" s="1">
        <f ca="1">H22*('Updated Population'!I$15/'Updated Population'!H$15)</f>
        <v>14.708822507282846</v>
      </c>
      <c r="J22" s="1">
        <f ca="1">I22*('Updated Population'!J$15/'Updated Population'!I$15)</f>
        <v>15.653816311225693</v>
      </c>
      <c r="K22" s="1">
        <f ca="1">J22*('Updated Population'!K$15/'Updated Population'!J$15)</f>
        <v>16.636219752286749</v>
      </c>
    </row>
    <row r="23" spans="1:11" x14ac:dyDescent="0.2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62.495851436000002</v>
      </c>
      <c r="D23" s="4">
        <f ca="1">OFFSET(Auckland_Reference,51,5)</f>
        <v>60.680366450000001</v>
      </c>
      <c r="E23" s="4">
        <f ca="1">OFFSET(Auckland_Reference,52,5)</f>
        <v>60.382540472000002</v>
      </c>
      <c r="F23" s="4">
        <f ca="1">OFFSET(Auckland_Reference,53,5)</f>
        <v>59.022287951999999</v>
      </c>
      <c r="G23" s="4">
        <f ca="1">OFFSET(Auckland_Reference,54,5)</f>
        <v>57.884490976000002</v>
      </c>
      <c r="H23" s="4">
        <f ca="1">OFFSET(Auckland_Reference,55,5)</f>
        <v>56.194005267000001</v>
      </c>
      <c r="I23" s="1">
        <f ca="1">H23*('Updated Population'!I$15/'Updated Population'!H$15)</f>
        <v>59.189624077501392</v>
      </c>
      <c r="J23" s="1">
        <f ca="1">I23*('Updated Population'!J$15/'Updated Population'!I$15)</f>
        <v>62.992364098550013</v>
      </c>
      <c r="K23" s="1">
        <f ca="1">J23*('Updated Population'!K$15/'Updated Population'!J$15)</f>
        <v>66.945643862450666</v>
      </c>
    </row>
    <row r="24" spans="1:11" x14ac:dyDescent="0.2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OFFSET(Auckland_Reference,57,5)</f>
        <v>5.3110850196000001</v>
      </c>
      <c r="D24" s="4">
        <f ca="1">OFFSET(Auckland_Reference,58,5)</f>
        <v>5.5646096021</v>
      </c>
      <c r="E24" s="4">
        <f ca="1">OFFSET(Auckland_Reference,59,5)</f>
        <v>5.8640151065000001</v>
      </c>
      <c r="F24" s="4">
        <f ca="1">OFFSET(Auckland_Reference,60,5)</f>
        <v>6.0690330551000002</v>
      </c>
      <c r="G24" s="4">
        <f ca="1">OFFSET(Auckland_Reference,61,5)</f>
        <v>6.3985964363000001</v>
      </c>
      <c r="H24" s="4">
        <f ca="1">OFFSET(Auckland_Reference,62,5)</f>
        <v>6.6357903042000004</v>
      </c>
      <c r="I24" s="1">
        <f ca="1">H24*('Updated Population'!I$15/'Updated Population'!H$15)</f>
        <v>6.9895344120163871</v>
      </c>
      <c r="J24" s="1">
        <f ca="1">I24*('Updated Population'!J$15/'Updated Population'!I$15)</f>
        <v>7.4385891686789547</v>
      </c>
      <c r="K24" s="1">
        <f ca="1">J24*('Updated Population'!K$15/'Updated Population'!J$15)</f>
        <v>7.905420735541612</v>
      </c>
    </row>
    <row r="25" spans="1:11" x14ac:dyDescent="0.2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OFFSET(Auckland_Reference,64,5)</f>
        <v>2.6861294898999999</v>
      </c>
      <c r="D25" s="4">
        <f ca="1">OFFSET(Auckland_Reference,65,5)</f>
        <v>2.7512611528000002</v>
      </c>
      <c r="E25" s="4">
        <f ca="1">OFFSET(Auckland_Reference,66,5)</f>
        <v>3.0173034431999999</v>
      </c>
      <c r="F25" s="4">
        <f ca="1">OFFSET(Auckland_Reference,67,5)</f>
        <v>3.2698787788999999</v>
      </c>
      <c r="G25" s="4">
        <f ca="1">OFFSET(Auckland_Reference,68,5)</f>
        <v>3.5384276850999998</v>
      </c>
      <c r="H25" s="4">
        <f ca="1">OFFSET(Auckland_Reference,69,5)</f>
        <v>3.7948069404</v>
      </c>
      <c r="I25" s="1">
        <f ca="1">H25*('Updated Population'!I$15/'Updated Population'!H$15)</f>
        <v>3.9971024521520198</v>
      </c>
      <c r="J25" s="1">
        <f ca="1">I25*('Updated Population'!J$15/'Updated Population'!I$15)</f>
        <v>4.2539032293140382</v>
      </c>
      <c r="K25" s="1">
        <f ca="1">J25*('Updated Population'!K$15/'Updated Population'!J$15)</f>
        <v>4.5208700243327051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OFFSET(Waikato_Reference,1,5)</f>
        <v>77.477468924999997</v>
      </c>
      <c r="D27" s="4">
        <f ca="1">OFFSET(Waikato_Reference,2,5)</f>
        <v>82.685328600000005</v>
      </c>
      <c r="E27" s="4">
        <f ca="1">OFFSET(Waikato_Reference,3,5)</f>
        <v>88.844293397000001</v>
      </c>
      <c r="F27" s="4">
        <f ca="1">OFFSET(Waikato_Reference,4,5)</f>
        <v>94.012953396</v>
      </c>
      <c r="G27" s="4">
        <f ca="1">OFFSET(Waikato_Reference,5,5)</f>
        <v>98.726638777000005</v>
      </c>
      <c r="H27" s="4">
        <f ca="1">OFFSET(Waikato_Reference,6,5)</f>
        <v>102.79374092</v>
      </c>
      <c r="I27" s="1">
        <f ca="1">H27*('Updated Population'!I$26/'Updated Population'!H$26)</f>
        <v>108.27352230306137</v>
      </c>
      <c r="J27" s="1">
        <f ca="1">I27*('Updated Population'!J$26/'Updated Population'!I$26)</f>
        <v>115.22974246662643</v>
      </c>
      <c r="K27" s="1">
        <f ca="1">J27*('Updated Population'!K$26/'Updated Population'!J$26)</f>
        <v>122.46133975007056</v>
      </c>
    </row>
    <row r="28" spans="1:11" x14ac:dyDescent="0.2">
      <c r="A28" t="str">
        <f ca="1">OFFSET(Waikato_Reference,7,2)</f>
        <v>Cyclist</v>
      </c>
      <c r="B28" s="4">
        <f ca="1">OFFSET(Waikato_Reference,7,5)</f>
        <v>5.8956498267999997</v>
      </c>
      <c r="C28" s="4">
        <f ca="1">OFFSET(Waikato_Reference,8,5)</f>
        <v>6.6558277756999997</v>
      </c>
      <c r="D28" s="4">
        <f ca="1">OFFSET(Waikato_Reference,9,5)</f>
        <v>7.2762665024000004</v>
      </c>
      <c r="E28" s="4">
        <f ca="1">OFFSET(Waikato_Reference,10,5)</f>
        <v>7.8152054329</v>
      </c>
      <c r="F28" s="4">
        <f ca="1">OFFSET(Waikato_Reference,11,5)</f>
        <v>8.3755920436999993</v>
      </c>
      <c r="G28" s="4">
        <f ca="1">OFFSET(Waikato_Reference,12,5)</f>
        <v>9.0778970890000004</v>
      </c>
      <c r="H28" s="4">
        <f ca="1">OFFSET(Waikato_Reference,13,5)</f>
        <v>9.8050515016999995</v>
      </c>
      <c r="I28" s="1">
        <f ca="1">H28*('Updated Population'!I$26/'Updated Population'!H$26)</f>
        <v>10.327744208455258</v>
      </c>
      <c r="J28" s="1">
        <f ca="1">I28*('Updated Population'!J$26/'Updated Population'!I$26)</f>
        <v>10.991268041234155</v>
      </c>
      <c r="K28" s="1">
        <f ca="1">J28*('Updated Population'!K$26/'Updated Population'!J$26)</f>
        <v>11.681058909521621</v>
      </c>
    </row>
    <row r="29" spans="1:11" x14ac:dyDescent="0.2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OFFSET(Waikato_Reference,15,5)</f>
        <v>357.39801752</v>
      </c>
      <c r="D29" s="4">
        <f ca="1">OFFSET(Waikato_Reference,16,5)</f>
        <v>385.64827931000002</v>
      </c>
      <c r="E29" s="4">
        <f ca="1">OFFSET(Waikato_Reference,17,5)</f>
        <v>421.97454600999998</v>
      </c>
      <c r="F29" s="4">
        <f ca="1">OFFSET(Waikato_Reference,18,5)</f>
        <v>454.96527090000001</v>
      </c>
      <c r="G29" s="4">
        <f ca="1">OFFSET(Waikato_Reference,19,5)</f>
        <v>484.90380269000002</v>
      </c>
      <c r="H29" s="4">
        <f ca="1">OFFSET(Waikato_Reference,20,5)</f>
        <v>511.11804837</v>
      </c>
      <c r="I29" s="1">
        <f ca="1">H29*('Updated Population'!I$26/'Updated Population'!H$26)</f>
        <v>538.36499104313737</v>
      </c>
      <c r="J29" s="1">
        <f ca="1">I29*('Updated Population'!J$26/'Updated Population'!I$26)</f>
        <v>572.95318330282441</v>
      </c>
      <c r="K29" s="1">
        <f ca="1">J29*('Updated Population'!K$26/'Updated Population'!J$26)</f>
        <v>608.91062445664284</v>
      </c>
    </row>
    <row r="30" spans="1:11" x14ac:dyDescent="0.2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OFFSET(Waikato_Reference,22,5)</f>
        <v>152.70590949999999</v>
      </c>
      <c r="D30" s="4">
        <f ca="1">OFFSET(Waikato_Reference,23,5)</f>
        <v>164.17498388000001</v>
      </c>
      <c r="E30" s="4">
        <f ca="1">OFFSET(Waikato_Reference,24,5)</f>
        <v>177.09094365000001</v>
      </c>
      <c r="F30" s="4">
        <f ca="1">OFFSET(Waikato_Reference,25,5)</f>
        <v>188.96772576999999</v>
      </c>
      <c r="G30" s="4">
        <f ca="1">OFFSET(Waikato_Reference,26,5)</f>
        <v>199.6338792</v>
      </c>
      <c r="H30" s="4">
        <f ca="1">OFFSET(Waikato_Reference,27,5)</f>
        <v>208.83891847000001</v>
      </c>
      <c r="I30" s="1">
        <f ca="1">H30*('Updated Population'!I$26/'Updated Population'!H$26)</f>
        <v>219.97181048510049</v>
      </c>
      <c r="J30" s="1">
        <f ca="1">I30*('Updated Population'!J$26/'Updated Population'!I$26)</f>
        <v>234.10428083393947</v>
      </c>
      <c r="K30" s="1">
        <f ca="1">J30*('Updated Population'!K$26/'Updated Population'!J$26)</f>
        <v>248.79621578998331</v>
      </c>
    </row>
    <row r="31" spans="1:11" x14ac:dyDescent="0.2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OFFSET(Waikato_Reference,29,5)</f>
        <v>0.90802271059999995</v>
      </c>
      <c r="D31" s="4">
        <f ca="1">OFFSET(Waikato_Reference,30,5)</f>
        <v>1.0281455984000001</v>
      </c>
      <c r="E31" s="4">
        <f ca="1">OFFSET(Waikato_Reference,31,5)</f>
        <v>1.1180348716999999</v>
      </c>
      <c r="F31" s="4">
        <f ca="1">OFFSET(Waikato_Reference,32,5)</f>
        <v>1.1835895395</v>
      </c>
      <c r="G31" s="4">
        <f ca="1">OFFSET(Waikato_Reference,33,5)</f>
        <v>1.2295843244</v>
      </c>
      <c r="H31" s="4">
        <f ca="1">OFFSET(Waikato_Reference,34,5)</f>
        <v>1.2623509158999999</v>
      </c>
      <c r="I31" s="1">
        <f ca="1">H31*('Updated Population'!I$26/'Updated Population'!H$26)</f>
        <v>1.3296449649921795</v>
      </c>
      <c r="J31" s="1">
        <f ca="1">I31*('Updated Population'!J$26/'Updated Population'!I$26)</f>
        <v>1.4150703110890051</v>
      </c>
      <c r="K31" s="1">
        <f ca="1">J31*('Updated Population'!K$26/'Updated Population'!J$26)</f>
        <v>1.5038774054944923</v>
      </c>
    </row>
    <row r="32" spans="1:11" x14ac:dyDescent="0.2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OFFSET(Waikato_Reference,36,5)</f>
        <v>1.8667946105</v>
      </c>
      <c r="D32" s="4">
        <f ca="1">OFFSET(Waikato_Reference,37,5)</f>
        <v>1.8134552229000001</v>
      </c>
      <c r="E32" s="4">
        <f ca="1">OFFSET(Waikato_Reference,38,5)</f>
        <v>1.7565931056999999</v>
      </c>
      <c r="F32" s="4">
        <f ca="1">OFFSET(Waikato_Reference,39,5)</f>
        <v>1.6755998818</v>
      </c>
      <c r="G32" s="4">
        <f ca="1">OFFSET(Waikato_Reference,40,5)</f>
        <v>1.5507946350999999</v>
      </c>
      <c r="H32" s="4">
        <f ca="1">OFFSET(Waikato_Reference,41,5)</f>
        <v>1.4224620802000001</v>
      </c>
      <c r="I32" s="1">
        <f ca="1">H32*('Updated Population'!I$26/'Updated Population'!H$26)</f>
        <v>1.4982914172338282</v>
      </c>
      <c r="J32" s="1">
        <f ca="1">I32*('Updated Population'!J$26/'Updated Population'!I$26)</f>
        <v>1.5945517470519128</v>
      </c>
      <c r="K32" s="1">
        <f ca="1">J32*('Updated Population'!K$26/'Updated Population'!J$26)</f>
        <v>1.694622751598603</v>
      </c>
    </row>
    <row r="33" spans="1:11" x14ac:dyDescent="0.2">
      <c r="A33" t="str">
        <f ca="1">OFFSET(Waikato_Reference,42,2)</f>
        <v>Local Train</v>
      </c>
      <c r="B33" s="4">
        <f ca="1">OFFSET(Waikato_Reference,42,5)</f>
        <v>0.12019006359999999</v>
      </c>
      <c r="C33" s="4">
        <f ca="1">OFFSET(Waikato_Reference,43,5)</f>
        <v>0.13036404509999999</v>
      </c>
      <c r="D33" s="4">
        <f ca="1">OFFSET(Waikato_Reference,44,5)</f>
        <v>0.14213165750000001</v>
      </c>
      <c r="E33" s="4">
        <f ca="1">OFFSET(Waikato_Reference,45,5)</f>
        <v>0.158638003</v>
      </c>
      <c r="F33" s="4">
        <f ca="1">OFFSET(Waikato_Reference,46,5)</f>
        <v>0.16996753789999999</v>
      </c>
      <c r="G33" s="4">
        <f ca="1">OFFSET(Waikato_Reference,47,5)</f>
        <v>0.1783852148</v>
      </c>
      <c r="H33" s="4">
        <f ca="1">OFFSET(Waikato_Reference,48,5)</f>
        <v>0.18324634349999999</v>
      </c>
      <c r="I33" s="1">
        <f ca="1">H33*('Updated Population'!I$26/'Updated Population'!H$26)</f>
        <v>0.1930149334222877</v>
      </c>
      <c r="J33" s="1">
        <f ca="1">I33*('Updated Population'!J$26/'Updated Population'!I$26)</f>
        <v>0.20541551246674836</v>
      </c>
      <c r="K33" s="1">
        <f ca="1">J33*('Updated Population'!K$26/'Updated Population'!J$26)</f>
        <v>0.21830699543055049</v>
      </c>
    </row>
    <row r="34" spans="1:11" x14ac:dyDescent="0.2">
      <c r="A34" t="str">
        <f ca="1">OFFSET(Waikato_Reference,49,2)</f>
        <v>Local Bus</v>
      </c>
      <c r="B34" s="4">
        <f ca="1">OFFSET(Waikato_Reference,49,5)</f>
        <v>5.7199103379</v>
      </c>
      <c r="C34" s="4">
        <f ca="1">OFFSET(Waikato_Reference,50,5)</f>
        <v>6.0962613693999996</v>
      </c>
      <c r="D34" s="4">
        <f ca="1">OFFSET(Waikato_Reference,51,5)</f>
        <v>6.3549353684999996</v>
      </c>
      <c r="E34" s="4">
        <f ca="1">OFFSET(Waikato_Reference,52,5)</f>
        <v>6.7914566711999997</v>
      </c>
      <c r="F34" s="4">
        <f ca="1">OFFSET(Waikato_Reference,53,5)</f>
        <v>7.1908860648999999</v>
      </c>
      <c r="G34" s="4">
        <f ca="1">OFFSET(Waikato_Reference,54,5)</f>
        <v>7.6466632158000003</v>
      </c>
      <c r="H34" s="4">
        <f ca="1">OFFSET(Waikato_Reference,55,5)</f>
        <v>8.0588552128999993</v>
      </c>
      <c r="I34" s="1">
        <f ca="1">H34*('Updated Population'!I$26/'Updated Population'!H$26)</f>
        <v>8.4884607936406091</v>
      </c>
      <c r="J34" s="1">
        <f ca="1">I34*('Updated Population'!J$26/'Updated Population'!I$26)</f>
        <v>9.0338166745094153</v>
      </c>
      <c r="K34" s="1">
        <f ca="1">J34*('Updated Population'!K$26/'Updated Population'!J$26)</f>
        <v>9.6007616552415875</v>
      </c>
    </row>
    <row r="35" spans="1:11" x14ac:dyDescent="0.2">
      <c r="A35" t="str">
        <f ca="1">OFFSET(Waikato_Reference,56,2)</f>
        <v>Local Ferry</v>
      </c>
      <c r="B35" s="4">
        <f ca="1">OFFSET(Waikato_Reference,56,5)</f>
        <v>0.2446181519</v>
      </c>
      <c r="C35" s="4">
        <f ca="1">OFFSET(Waikato_Reference,57,5)</f>
        <v>0.28753891269999998</v>
      </c>
      <c r="D35" s="4">
        <f ca="1">OFFSET(Waikato_Reference,58,5)</f>
        <v>0.3031783985</v>
      </c>
      <c r="E35" s="4">
        <f ca="1">OFFSET(Waikato_Reference,59,5)</f>
        <v>0.3355506378</v>
      </c>
      <c r="F35" s="4">
        <f ca="1">OFFSET(Waikato_Reference,60,5)</f>
        <v>0.34914429340000003</v>
      </c>
      <c r="G35" s="4">
        <f ca="1">OFFSET(Waikato_Reference,61,5)</f>
        <v>0.3433485</v>
      </c>
      <c r="H35" s="4">
        <f ca="1">OFFSET(Waikato_Reference,62,5)</f>
        <v>0.33064341720000001</v>
      </c>
      <c r="I35" s="1">
        <f ca="1">H35*('Updated Population'!I$26/'Updated Population'!H$26)</f>
        <v>0.3482695258111696</v>
      </c>
      <c r="J35" s="1">
        <f ca="1">I35*('Updated Population'!J$26/'Updated Population'!I$26)</f>
        <v>0.37064470532201854</v>
      </c>
      <c r="K35" s="1">
        <f ca="1">J35*('Updated Population'!K$26/'Updated Population'!J$26)</f>
        <v>0.39390565502782876</v>
      </c>
    </row>
    <row r="36" spans="1:11" x14ac:dyDescent="0.2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OFFSET(Waikato_Reference,64,5)</f>
        <v>2.1109372978000001</v>
      </c>
      <c r="D36" s="4">
        <f ca="1">OFFSET(Waikato_Reference,65,5)</f>
        <v>2.3159901019000002</v>
      </c>
      <c r="E36" s="4">
        <f ca="1">OFFSET(Waikato_Reference,66,5)</f>
        <v>2.4531408495</v>
      </c>
      <c r="F36" s="4">
        <f ca="1">OFFSET(Waikato_Reference,67,5)</f>
        <v>2.5804062957</v>
      </c>
      <c r="G36" s="4">
        <f ca="1">OFFSET(Waikato_Reference,68,5)</f>
        <v>2.6090711172000001</v>
      </c>
      <c r="H36" s="4">
        <f ca="1">OFFSET(Waikato_Reference,69,5)</f>
        <v>2.4973065691</v>
      </c>
      <c r="I36" s="1">
        <f ca="1">H36*('Updated Population'!I$26/'Updated Population'!H$26)</f>
        <v>2.6304342665908544</v>
      </c>
      <c r="J36" s="1">
        <f ca="1">I36*('Updated Population'!J$26/'Updated Population'!I$26)</f>
        <v>2.7994310766602211</v>
      </c>
      <c r="K36" s="1">
        <f ca="1">J36*('Updated Population'!K$26/'Updated Population'!J$26)</f>
        <v>2.9751179933868506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OFFSET(BOP_Reference,0,5)</f>
        <v>43.402809341999998</v>
      </c>
      <c r="C38" s="4">
        <f ca="1">OFFSET(BOP_Reference,1,5)</f>
        <v>45.934142506999997</v>
      </c>
      <c r="D38" s="4">
        <f ca="1">OFFSET(BOP_Reference,2,5)</f>
        <v>49.685100239</v>
      </c>
      <c r="E38" s="4">
        <f ca="1">OFFSET(BOP_Reference,3,5)</f>
        <v>53.768865067</v>
      </c>
      <c r="F38" s="4">
        <f ca="1">OFFSET(BOP_Reference,4,5)</f>
        <v>57.597267168000002</v>
      </c>
      <c r="G38" s="4">
        <f ca="1">OFFSET(BOP_Reference,5,5)</f>
        <v>61.473643576000001</v>
      </c>
      <c r="H38" s="4">
        <f ca="1">OFFSET(BOP_Reference,6,5)</f>
        <v>65.171720121000007</v>
      </c>
      <c r="I38" s="1">
        <f ca="1">H38*('Updated Population'!I$37/'Updated Population'!H$37)</f>
        <v>68.645927552550518</v>
      </c>
      <c r="J38" s="1">
        <f ca="1">I38*('Updated Population'!J$37/'Updated Population'!I$37)</f>
        <v>73.056204185567907</v>
      </c>
      <c r="K38" s="1">
        <f ca="1">J38*('Updated Population'!K$37/'Updated Population'!J$37)</f>
        <v>77.641071220917794</v>
      </c>
    </row>
    <row r="39" spans="1:11" x14ac:dyDescent="0.2">
      <c r="A39" t="str">
        <f ca="1">OFFSET(BOP_Reference,7,2)</f>
        <v>Cyclist</v>
      </c>
      <c r="B39" s="4">
        <f ca="1">OFFSET(BOP_Reference,7,5)</f>
        <v>5.1579391552000002</v>
      </c>
      <c r="C39" s="4">
        <f ca="1">OFFSET(BOP_Reference,8,5)</f>
        <v>5.2308373600999998</v>
      </c>
      <c r="D39" s="4">
        <f ca="1">OFFSET(BOP_Reference,9,5)</f>
        <v>5.6097752838000003</v>
      </c>
      <c r="E39" s="4">
        <f ca="1">OFFSET(BOP_Reference,10,5)</f>
        <v>6.1446513771999998</v>
      </c>
      <c r="F39" s="4">
        <f ca="1">OFFSET(BOP_Reference,11,5)</f>
        <v>6.6560279222999998</v>
      </c>
      <c r="G39" s="4">
        <f ca="1">OFFSET(BOP_Reference,12,5)</f>
        <v>7.1434943006999996</v>
      </c>
      <c r="H39" s="4">
        <f ca="1">OFFSET(BOP_Reference,13,5)</f>
        <v>7.6365353724</v>
      </c>
      <c r="I39" s="1">
        <f ca="1">H39*('Updated Population'!I$37/'Updated Population'!H$37)</f>
        <v>8.0436277108073977</v>
      </c>
      <c r="J39" s="1">
        <f ca="1">I39*('Updated Population'!J$37/'Updated Population'!I$37)</f>
        <v>8.5604045190238516</v>
      </c>
      <c r="K39" s="1">
        <f ca="1">J39*('Updated Population'!K$37/'Updated Population'!J$37)</f>
        <v>9.0976390622919254</v>
      </c>
    </row>
    <row r="40" spans="1:11" x14ac:dyDescent="0.2">
      <c r="A40" t="str">
        <f ca="1">OFFSET(BOP_Reference,14,2)</f>
        <v>Light Vehicle Driver</v>
      </c>
      <c r="B40" s="4">
        <f ca="1">OFFSET(BOP_Reference,14,5)</f>
        <v>178.59124365</v>
      </c>
      <c r="C40" s="4">
        <f ca="1">OFFSET(BOP_Reference,15,5)</f>
        <v>194.34567933</v>
      </c>
      <c r="D40" s="4">
        <f ca="1">OFFSET(BOP_Reference,16,5)</f>
        <v>212.64479111</v>
      </c>
      <c r="E40" s="4">
        <f ca="1">OFFSET(BOP_Reference,17,5)</f>
        <v>236.22519788</v>
      </c>
      <c r="F40" s="4">
        <f ca="1">OFFSET(BOP_Reference,18,5)</f>
        <v>256.51564825999998</v>
      </c>
      <c r="G40" s="4">
        <f ca="1">OFFSET(BOP_Reference,19,5)</f>
        <v>272.66662051999998</v>
      </c>
      <c r="H40" s="4">
        <f ca="1">OFFSET(BOP_Reference,20,5)</f>
        <v>287.47025480000002</v>
      </c>
      <c r="I40" s="1">
        <f ca="1">H40*('Updated Population'!I$37/'Updated Population'!H$37)</f>
        <v>302.7948663603762</v>
      </c>
      <c r="J40" s="1">
        <f ca="1">I40*('Updated Population'!J$37/'Updated Population'!I$37)</f>
        <v>322.24844753144413</v>
      </c>
      <c r="K40" s="1">
        <f ca="1">J40*('Updated Population'!K$37/'Updated Population'!J$37)</f>
        <v>342.47214106644805</v>
      </c>
    </row>
    <row r="41" spans="1:11" x14ac:dyDescent="0.2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OFFSET(BOP_Reference,22,5)</f>
        <v>102.84895456</v>
      </c>
      <c r="D41" s="4">
        <f ca="1">OFFSET(BOP_Reference,23,5)</f>
        <v>111.25140664</v>
      </c>
      <c r="E41" s="4">
        <f ca="1">OFFSET(BOP_Reference,24,5)</f>
        <v>119.98846928</v>
      </c>
      <c r="F41" s="4">
        <f ca="1">OFFSET(BOP_Reference,25,5)</f>
        <v>128.27306325999999</v>
      </c>
      <c r="G41" s="4">
        <f ca="1">OFFSET(BOP_Reference,26,5)</f>
        <v>136.21036971999999</v>
      </c>
      <c r="H41" s="4">
        <f ca="1">OFFSET(BOP_Reference,27,5)</f>
        <v>144.09257395</v>
      </c>
      <c r="I41" s="1">
        <f ca="1">H41*('Updated Population'!I$37/'Updated Population'!H$37)</f>
        <v>151.77393467392881</v>
      </c>
      <c r="J41" s="1">
        <f ca="1">I41*('Updated Population'!J$37/'Updated Population'!I$37)</f>
        <v>161.52491425070147</v>
      </c>
      <c r="K41" s="1">
        <f ca="1">J41*('Updated Population'!K$37/'Updated Population'!J$37)</f>
        <v>171.66190758332328</v>
      </c>
    </row>
    <row r="42" spans="1:11" x14ac:dyDescent="0.2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OFFSET(BOP_Reference,29,5)</f>
        <v>0.1428360062</v>
      </c>
      <c r="D42" s="4">
        <f ca="1">OFFSET(BOP_Reference,30,5)</f>
        <v>0.13872412210000001</v>
      </c>
      <c r="E42" s="4">
        <f ca="1">OFFSET(BOP_Reference,31,5)</f>
        <v>0.13531017840000001</v>
      </c>
      <c r="F42" s="4">
        <f ca="1">OFFSET(BOP_Reference,32,5)</f>
        <v>0.13361230190000001</v>
      </c>
      <c r="G42" s="4">
        <f ca="1">OFFSET(BOP_Reference,33,5)</f>
        <v>0.1334085542</v>
      </c>
      <c r="H42" s="4">
        <f ca="1">OFFSET(BOP_Reference,34,5)</f>
        <v>0.13205134099999999</v>
      </c>
      <c r="I42" s="1">
        <f ca="1">H42*('Updated Population'!I$37/'Updated Population'!H$37)</f>
        <v>0.13909080151134809</v>
      </c>
      <c r="J42" s="1">
        <f ca="1">I42*('Updated Population'!J$37/'Updated Population'!I$37)</f>
        <v>0.14802693120824176</v>
      </c>
      <c r="K42" s="1">
        <f ca="1">J42*('Updated Population'!K$37/'Updated Population'!J$37)</f>
        <v>0.1573168170544427</v>
      </c>
    </row>
    <row r="43" spans="1:11" x14ac:dyDescent="0.2">
      <c r="A43" t="str">
        <f ca="1">OFFSET(BOP_Reference,35,2)</f>
        <v>Motorcyclist</v>
      </c>
      <c r="B43" s="4">
        <f ca="1">OFFSET(BOP_Reference,35,5)</f>
        <v>0.90641599910000004</v>
      </c>
      <c r="C43" s="4">
        <f ca="1">OFFSET(BOP_Reference,36,5)</f>
        <v>1.0300694527000001</v>
      </c>
      <c r="D43" s="4">
        <f ca="1">OFFSET(BOP_Reference,37,5)</f>
        <v>1.1004107425</v>
      </c>
      <c r="E43" s="4">
        <f ca="1">OFFSET(BOP_Reference,38,5)</f>
        <v>1.2286701550000001</v>
      </c>
      <c r="F43" s="4">
        <f ca="1">OFFSET(BOP_Reference,39,5)</f>
        <v>1.3167143603</v>
      </c>
      <c r="G43" s="4">
        <f ca="1">OFFSET(BOP_Reference,40,5)</f>
        <v>1.3781432322</v>
      </c>
      <c r="H43" s="4">
        <f ca="1">OFFSET(BOP_Reference,41,5)</f>
        <v>1.4246634074</v>
      </c>
      <c r="I43" s="1">
        <f ca="1">H43*('Updated Population'!I$37/'Updated Population'!H$37)</f>
        <v>1.5006100939115359</v>
      </c>
      <c r="J43" s="1">
        <f ca="1">I43*('Updated Population'!J$37/'Updated Population'!I$37)</f>
        <v>1.5970193911328709</v>
      </c>
      <c r="K43" s="1">
        <f ca="1">J43*('Updated Population'!K$37/'Updated Population'!J$37)</f>
        <v>1.6972452602817929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OFFSET(BOP_Reference,42,5)</f>
        <v>7.4672006229000001</v>
      </c>
      <c r="C45" s="4">
        <f ca="1">OFFSET(BOP_Reference,43,5)</f>
        <v>7.5586600339999999</v>
      </c>
      <c r="D45" s="4">
        <f ca="1">OFFSET(BOP_Reference,44,5)</f>
        <v>8.2733592537000007</v>
      </c>
      <c r="E45" s="4">
        <f ca="1">OFFSET(BOP_Reference,45,5)</f>
        <v>8.9481632001999998</v>
      </c>
      <c r="F45" s="4">
        <f ca="1">OFFSET(BOP_Reference,46,5)</f>
        <v>9.6824298881999997</v>
      </c>
      <c r="G45" s="4">
        <f ca="1">OFFSET(BOP_Reference,47,5)</f>
        <v>10.422957627000001</v>
      </c>
      <c r="H45" s="4">
        <f ca="1">OFFSET(BOP_Reference,48,5)</f>
        <v>11.156395733</v>
      </c>
      <c r="I45" s="1">
        <f ca="1">H45*('Updated Population'!I$37/'Updated Population'!H$37)</f>
        <v>11.751126590079489</v>
      </c>
      <c r="J45" s="1">
        <f ca="1">I45*('Updated Population'!J$37/'Updated Population'!I$37)</f>
        <v>12.506098091807434</v>
      </c>
      <c r="K45" s="1">
        <f ca="1">J45*('Updated Population'!K$37/'Updated Population'!J$37)</f>
        <v>13.290956784114188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OFFSET(BOP_Reference,50,5)</f>
        <v>0.61298969579999996</v>
      </c>
      <c r="D47" s="4">
        <f ca="1">OFFSET(BOP_Reference,51,5)</f>
        <v>0.59499340690000002</v>
      </c>
      <c r="E47" s="4">
        <f ca="1">OFFSET(BOP_Reference,52,5)</f>
        <v>0.52851421399999998</v>
      </c>
      <c r="F47" s="4">
        <f ca="1">OFFSET(BOP_Reference,53,5)</f>
        <v>0.4676912848</v>
      </c>
      <c r="G47" s="4">
        <f ca="1">OFFSET(BOP_Reference,54,5)</f>
        <v>0.41949895790000002</v>
      </c>
      <c r="H47" s="4">
        <f ca="1">OFFSET(BOP_Reference,55,5)</f>
        <v>0.37366664630000002</v>
      </c>
      <c r="I47" s="1">
        <f ca="1">H47*('Updated Population'!I$37/'Updated Population'!H$37)</f>
        <v>0.39358625924082374</v>
      </c>
      <c r="J47" s="1">
        <f ca="1">I47*('Updated Population'!J$37/'Updated Population'!I$37)</f>
        <v>0.41887289086041551</v>
      </c>
      <c r="K47" s="1">
        <f ca="1">J47*('Updated Population'!K$37/'Updated Population'!J$37)</f>
        <v>0.44516054884534839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OFFSET(Gisborne_Reference,0,5)</f>
        <v>12.564280467</v>
      </c>
      <c r="C49" s="4">
        <f ca="1">OFFSET(Gisborne_Reference,1,5)</f>
        <v>11.031352663</v>
      </c>
      <c r="D49" s="4">
        <f ca="1">OFFSET(Gisborne_Reference,2,5)</f>
        <v>10.5963881</v>
      </c>
      <c r="E49" s="4">
        <f ca="1">OFFSET(Gisborne_Reference,3,5)</f>
        <v>9.9976077593999992</v>
      </c>
      <c r="F49" s="4">
        <f ca="1">OFFSET(Gisborne_Reference,4,5)</f>
        <v>9.4589008146999998</v>
      </c>
      <c r="G49" s="4">
        <f ca="1">OFFSET(Gisborne_Reference,5,5)</f>
        <v>8.9565942764000006</v>
      </c>
      <c r="H49" s="4">
        <f ca="1">OFFSET(Gisborne_Reference,6,5)</f>
        <v>8.5269986341999999</v>
      </c>
      <c r="I49" s="1">
        <f ca="1">H49*('Updated Population'!I$48/'Updated Population'!H$48)</f>
        <v>8.4469685143436379</v>
      </c>
      <c r="J49" s="1">
        <f ca="1">I49*('Updated Population'!J$48/'Updated Population'!I$48)</f>
        <v>8.3410537194130097</v>
      </c>
      <c r="K49" s="1">
        <f ca="1">J49*('Updated Population'!K$48/'Updated Population'!J$48)</f>
        <v>8.2187662687805556</v>
      </c>
    </row>
    <row r="50" spans="1:11" x14ac:dyDescent="0.2">
      <c r="A50" t="str">
        <f ca="1">OFFSET(Gisborne_Reference,7,2)</f>
        <v>Cyclist</v>
      </c>
      <c r="B50" s="4">
        <f ca="1">OFFSET(Gisborne_Reference,7,5)</f>
        <v>1.1119455742</v>
      </c>
      <c r="C50" s="4">
        <f ca="1">OFFSET(Gisborne_Reference,8,5)</f>
        <v>0.96763615169999995</v>
      </c>
      <c r="D50" s="4">
        <f ca="1">OFFSET(Gisborne_Reference,9,5)</f>
        <v>0.94639081530000002</v>
      </c>
      <c r="E50" s="4">
        <f ca="1">OFFSET(Gisborne_Reference,10,5)</f>
        <v>0.86330203189999999</v>
      </c>
      <c r="F50" s="4">
        <f ca="1">OFFSET(Gisborne_Reference,11,5)</f>
        <v>0.78762650069999995</v>
      </c>
      <c r="G50" s="4">
        <f ca="1">OFFSET(Gisborne_Reference,12,5)</f>
        <v>0.72151186450000004</v>
      </c>
      <c r="H50" s="4">
        <f ca="1">OFFSET(Gisborne_Reference,13,5)</f>
        <v>0.66868773560000005</v>
      </c>
      <c r="I50" s="1">
        <f ca="1">H50*('Updated Population'!I$48/'Updated Population'!H$48)</f>
        <v>0.66241176888271813</v>
      </c>
      <c r="J50" s="1">
        <f ca="1">I50*('Updated Population'!J$48/'Updated Population'!I$48)</f>
        <v>0.65410592442009086</v>
      </c>
      <c r="K50" s="1">
        <f ca="1">J50*('Updated Population'!K$48/'Updated Population'!J$48)</f>
        <v>0.64451613533208252</v>
      </c>
    </row>
    <row r="51" spans="1:11" x14ac:dyDescent="0.2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OFFSET(Gisborne_Reference,15,5)</f>
        <v>26.895989644</v>
      </c>
      <c r="D51" s="4">
        <f ca="1">OFFSET(Gisborne_Reference,16,5)</f>
        <v>27.004577224999998</v>
      </c>
      <c r="E51" s="4">
        <f ca="1">OFFSET(Gisborne_Reference,17,5)</f>
        <v>25.930514348999999</v>
      </c>
      <c r="F51" s="4">
        <f ca="1">OFFSET(Gisborne_Reference,18,5)</f>
        <v>24.841491005000002</v>
      </c>
      <c r="G51" s="4">
        <f ca="1">OFFSET(Gisborne_Reference,19,5)</f>
        <v>23.870676761999999</v>
      </c>
      <c r="H51" s="4">
        <f ca="1">OFFSET(Gisborne_Reference,20,5)</f>
        <v>22.983705869000001</v>
      </c>
      <c r="I51" s="1">
        <f ca="1">H51*('Updated Population'!I$48/'Updated Population'!H$48)</f>
        <v>22.767992367175097</v>
      </c>
      <c r="J51" s="1">
        <f ca="1">I51*('Updated Population'!J$48/'Updated Population'!I$48)</f>
        <v>22.482509209701906</v>
      </c>
      <c r="K51" s="1">
        <f ca="1">J51*('Updated Population'!K$48/'Updated Population'!J$48)</f>
        <v>22.152895131246048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OFFSET(Gisborne_Reference,22,5)</f>
        <v>16.066332581000001</v>
      </c>
      <c r="D52" s="4">
        <f ca="1">OFFSET(Gisborne_Reference,23,5)</f>
        <v>15.169250449</v>
      </c>
      <c r="E52" s="4">
        <f ca="1">OFFSET(Gisborne_Reference,24,5)</f>
        <v>13.777104926</v>
      </c>
      <c r="F52" s="4">
        <f ca="1">OFFSET(Gisborne_Reference,25,5)</f>
        <v>12.618683002999999</v>
      </c>
      <c r="G52" s="4">
        <f ca="1">OFFSET(Gisborne_Reference,26,5)</f>
        <v>11.754636698000001</v>
      </c>
      <c r="H52" s="4">
        <f ca="1">OFFSET(Gisborne_Reference,27,5)</f>
        <v>11.012423116000001</v>
      </c>
      <c r="I52" s="1">
        <f ca="1">H52*('Updated Population'!I$48/'Updated Population'!H$48)</f>
        <v>10.909066052197076</v>
      </c>
      <c r="J52" s="1">
        <f ca="1">I52*('Updated Population'!J$48/'Updated Population'!I$48)</f>
        <v>10.772279524362729</v>
      </c>
      <c r="K52" s="1">
        <f ca="1">J52*('Updated Population'!K$48/'Updated Population'!J$48)</f>
        <v>10.614348087298778</v>
      </c>
    </row>
    <row r="53" spans="1:11" x14ac:dyDescent="0.2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OFFSET(Gisborne_Reference,29,5)</f>
        <v>2.45635731E-2</v>
      </c>
      <c r="D53" s="4">
        <f ca="1">OFFSET(Gisborne_Reference,30,5)</f>
        <v>3.2278462199999997E-2</v>
      </c>
      <c r="E53" s="4">
        <f ca="1">OFFSET(Gisborne_Reference,31,5)</f>
        <v>4.4749733100000001E-2</v>
      </c>
      <c r="F53" s="4">
        <f ca="1">OFFSET(Gisborne_Reference,32,5)</f>
        <v>5.9789534800000002E-2</v>
      </c>
      <c r="G53" s="4">
        <f ca="1">OFFSET(Gisborne_Reference,33,5)</f>
        <v>7.1550029200000004E-2</v>
      </c>
      <c r="H53" s="4">
        <f ca="1">OFFSET(Gisborne_Reference,34,5)</f>
        <v>8.3970096499999994E-2</v>
      </c>
      <c r="I53" s="1">
        <f ca="1">H53*('Updated Population'!I$48/'Updated Population'!H$48)</f>
        <v>8.3181995413611612E-2</v>
      </c>
      <c r="J53" s="1">
        <f ca="1">I53*('Updated Population'!J$48/'Updated Population'!I$48)</f>
        <v>8.2138993540076422E-2</v>
      </c>
      <c r="K53" s="1">
        <f ca="1">J53*('Updated Population'!K$48/'Updated Population'!J$48)</f>
        <v>8.0934761022768226E-2</v>
      </c>
    </row>
    <row r="54" spans="1:11" x14ac:dyDescent="0.2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OFFSET(Gisborne_Reference,36,5)</f>
        <v>0.1800229364</v>
      </c>
      <c r="D54" s="4">
        <f ca="1">OFFSET(Gisborne_Reference,37,5)</f>
        <v>0.17083532200000001</v>
      </c>
      <c r="E54" s="4">
        <f ca="1">OFFSET(Gisborne_Reference,38,5)</f>
        <v>0.14971215430000001</v>
      </c>
      <c r="F54" s="4">
        <f ca="1">OFFSET(Gisborne_Reference,39,5)</f>
        <v>0.13077002670000001</v>
      </c>
      <c r="G54" s="4">
        <f ca="1">OFFSET(Gisborne_Reference,40,5)</f>
        <v>0.1149460833</v>
      </c>
      <c r="H54" s="4">
        <f ca="1">OFFSET(Gisborne_Reference,41,5)</f>
        <v>9.9504337999999998E-2</v>
      </c>
      <c r="I54" s="1">
        <f ca="1">H54*('Updated Population'!I$48/'Updated Population'!H$48)</f>
        <v>9.8570440337060458E-2</v>
      </c>
      <c r="J54" s="1">
        <f ca="1">I54*('Updated Population'!J$48/'Updated Population'!I$48)</f>
        <v>9.7334485928470757E-2</v>
      </c>
      <c r="K54" s="1">
        <f ca="1">J54*('Updated Population'!K$48/'Updated Population'!J$48)</f>
        <v>9.5907473641628549E-2</v>
      </c>
    </row>
    <row r="55" spans="1:11" x14ac:dyDescent="0.2">
      <c r="A55" t="str">
        <f ca="1">OFFSET(Gisborne_Reference,42,2)</f>
        <v>Local Train</v>
      </c>
      <c r="B55" s="4">
        <f ca="1">OFFSET(Gisborne_Reference,42,5)</f>
        <v>2.2764127700000001E-2</v>
      </c>
      <c r="C55" s="4">
        <f ca="1">OFFSET(Gisborne_Reference,43,5)</f>
        <v>3.77778842E-2</v>
      </c>
      <c r="D55" s="4">
        <f ca="1">OFFSET(Gisborne_Reference,44,5)</f>
        <v>6.4978466799999995E-2</v>
      </c>
      <c r="E55" s="4">
        <f ca="1">OFFSET(Gisborne_Reference,45,5)</f>
        <v>0.105513359</v>
      </c>
      <c r="F55" s="4">
        <f ca="1">OFFSET(Gisborne_Reference,46,5)</f>
        <v>0.15251805830000001</v>
      </c>
      <c r="G55" s="4">
        <f ca="1">OFFSET(Gisborne_Reference,47,5)</f>
        <v>0.1861490596</v>
      </c>
      <c r="H55" s="4">
        <f ca="1">OFFSET(Gisborne_Reference,48,5)</f>
        <v>0.22067698899999999</v>
      </c>
      <c r="I55" s="1">
        <f ca="1">H55*('Updated Population'!I$48/'Updated Population'!H$48)</f>
        <v>0.21860582578808421</v>
      </c>
      <c r="J55" s="1">
        <f ca="1">I55*('Updated Population'!J$48/'Updated Population'!I$48)</f>
        <v>0.215864772454019</v>
      </c>
      <c r="K55" s="1">
        <f ca="1">J55*('Updated Population'!K$48/'Updated Population'!J$48)</f>
        <v>0.21269999812301102</v>
      </c>
    </row>
    <row r="56" spans="1:11" x14ac:dyDescent="0.2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OFFSET(Gisborne_Reference,50,5)</f>
        <v>0.32561049520000002</v>
      </c>
      <c r="D56" s="4">
        <f ca="1">OFFSET(Gisborne_Reference,51,5)</f>
        <v>0.30948882170000003</v>
      </c>
      <c r="E56" s="4">
        <f ca="1">OFFSET(Gisborne_Reference,52,5)</f>
        <v>0.31035847319999998</v>
      </c>
      <c r="F56" s="4">
        <f ca="1">OFFSET(Gisborne_Reference,53,5)</f>
        <v>0.32691121229999998</v>
      </c>
      <c r="G56" s="4">
        <f ca="1">OFFSET(Gisborne_Reference,54,5)</f>
        <v>0.33939189320000002</v>
      </c>
      <c r="H56" s="4">
        <f ca="1">OFFSET(Gisborne_Reference,55,5)</f>
        <v>0.35667972619999999</v>
      </c>
      <c r="I56" s="1">
        <f ca="1">H56*('Updated Population'!I$48/'Updated Population'!H$48)</f>
        <v>0.35333210970999235</v>
      </c>
      <c r="J56" s="1">
        <f ca="1">I56*('Updated Population'!J$48/'Updated Population'!I$48)</f>
        <v>0.34890175130640738</v>
      </c>
      <c r="K56" s="1">
        <f ca="1">J56*('Updated Population'!K$48/'Updated Population'!J$48)</f>
        <v>0.34378653359846267</v>
      </c>
    </row>
    <row r="57" spans="1:11" x14ac:dyDescent="0.2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OFFSET(Gisborne_Reference,57,5)</f>
        <v>1.4467232E-2</v>
      </c>
      <c r="D57" s="4">
        <f ca="1">OFFSET(Gisborne_Reference,58,5)</f>
        <v>1.31863398E-2</v>
      </c>
      <c r="E57" s="4">
        <f ca="1">OFFSET(Gisborne_Reference,59,5)</f>
        <v>1.3009267E-2</v>
      </c>
      <c r="F57" s="4">
        <f ca="1">OFFSET(Gisborne_Reference,60,5)</f>
        <v>1.4411093E-2</v>
      </c>
      <c r="G57" s="4">
        <f ca="1">OFFSET(Gisborne_Reference,61,5)</f>
        <v>1.7040618300000001E-2</v>
      </c>
      <c r="H57" s="4">
        <f ca="1">OFFSET(Gisborne_Reference,62,5)</f>
        <v>1.9717857200000001E-2</v>
      </c>
      <c r="I57" s="1">
        <f ca="1">H57*('Updated Population'!I$48/'Updated Population'!H$48)</f>
        <v>1.9532795310967029E-2</v>
      </c>
      <c r="J57" s="1">
        <f ca="1">I57*('Updated Population'!J$48/'Updated Population'!I$48)</f>
        <v>1.9287877621707267E-2</v>
      </c>
      <c r="K57" s="1">
        <f ca="1">J57*('Updated Population'!K$48/'Updated Population'!J$48)</f>
        <v>1.9005099754328257E-2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OFFSET(Gisborne_Reference,64,5)</f>
        <v>2.3792926799999999E-2</v>
      </c>
      <c r="D58" s="4">
        <f ca="1">OFFSET(Gisborne_Reference,65,5)</f>
        <v>1.7145705899999999E-2</v>
      </c>
      <c r="E58" s="4">
        <f ca="1">OFFSET(Gisborne_Reference,66,5)</f>
        <v>1.31948359E-2</v>
      </c>
      <c r="F58" s="4">
        <f ca="1">OFFSET(Gisborne_Reference,67,5)</f>
        <v>9.4502109000000004E-3</v>
      </c>
      <c r="G58" s="4">
        <f ca="1">OFFSET(Gisborne_Reference,68,5)</f>
        <v>5.6836604999999998E-3</v>
      </c>
      <c r="H58" s="4">
        <f ca="1">OFFSET(Gisborne_Reference,69,5)</f>
        <v>3.1182524999999999E-3</v>
      </c>
      <c r="I58" s="1">
        <f ca="1">H58*('Updated Population'!I$48/'Updated Population'!H$48)</f>
        <v>3.088986150605209E-3</v>
      </c>
      <c r="J58" s="1">
        <f ca="1">I58*('Updated Population'!J$48/'Updated Population'!I$48)</f>
        <v>3.0502539907623803E-3</v>
      </c>
      <c r="K58" s="1">
        <f ca="1">J58*('Updated Population'!K$48/'Updated Population'!J$48)</f>
        <v>3.0055344868652094E-3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OFFSET(Hawkes_Bay_Reference,1,5)</f>
        <v>25.790480690999999</v>
      </c>
      <c r="D60" s="4">
        <f ca="1">OFFSET(Hawkes_Bay_Reference,2,5)</f>
        <v>27.202256567999999</v>
      </c>
      <c r="E60" s="4">
        <f ca="1">OFFSET(Hawkes_Bay_Reference,3,5)</f>
        <v>26.611566149000002</v>
      </c>
      <c r="F60" s="4">
        <f ca="1">OFFSET(Hawkes_Bay_Reference,4,5)</f>
        <v>25.634795661999998</v>
      </c>
      <c r="G60" s="4">
        <f ca="1">OFFSET(Hawkes_Bay_Reference,5,5)</f>
        <v>24.606867941000001</v>
      </c>
      <c r="H60" s="4">
        <f ca="1">OFFSET(Hawkes_Bay_Reference,6,5)</f>
        <v>23.519077129999999</v>
      </c>
      <c r="I60" s="1">
        <f ca="1">H60*('Updated Population'!I$59/'Updated Population'!H$59)</f>
        <v>23.356360970138422</v>
      </c>
      <c r="J60" s="1">
        <f ca="1">I60*('Updated Population'!J$59/'Updated Population'!I$59)</f>
        <v>23.120937606802514</v>
      </c>
      <c r="K60" s="1">
        <f ca="1">J60*('Updated Population'!K$59/'Updated Population'!J$59)</f>
        <v>22.838699674891473</v>
      </c>
    </row>
    <row r="61" spans="1:11" x14ac:dyDescent="0.2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OFFSET(Hawkes_Bay_Reference,8,5)</f>
        <v>3.0986368579999999</v>
      </c>
      <c r="D61" s="4">
        <f ca="1">OFFSET(Hawkes_Bay_Reference,9,5)</f>
        <v>3.2697771376000002</v>
      </c>
      <c r="E61" s="4">
        <f ca="1">OFFSET(Hawkes_Bay_Reference,10,5)</f>
        <v>3.2775508490999998</v>
      </c>
      <c r="F61" s="4">
        <f ca="1">OFFSET(Hawkes_Bay_Reference,11,5)</f>
        <v>3.1906249385000001</v>
      </c>
      <c r="G61" s="4">
        <f ca="1">OFFSET(Hawkes_Bay_Reference,12,5)</f>
        <v>3.1018794663000002</v>
      </c>
      <c r="H61" s="4">
        <f ca="1">OFFSET(Hawkes_Bay_Reference,13,5)</f>
        <v>2.9833470930999999</v>
      </c>
      <c r="I61" s="1">
        <f ca="1">H61*('Updated Population'!I$59/'Updated Population'!H$59)</f>
        <v>2.9627068792072437</v>
      </c>
      <c r="J61" s="1">
        <f ca="1">I61*('Updated Population'!J$59/'Updated Population'!I$59)</f>
        <v>2.9328439044496109</v>
      </c>
      <c r="K61" s="1">
        <f ca="1">J61*('Updated Population'!K$59/'Updated Population'!J$59)</f>
        <v>2.8970425968951017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OFFSET(Hawkes_Bay_Reference,15,5)</f>
        <v>110.15783963</v>
      </c>
      <c r="D62" s="4">
        <f ca="1">OFFSET(Hawkes_Bay_Reference,16,5)</f>
        <v>117.14312771</v>
      </c>
      <c r="E62" s="4">
        <f ca="1">OFFSET(Hawkes_Bay_Reference,17,5)</f>
        <v>119.72515236</v>
      </c>
      <c r="F62" s="4">
        <f ca="1">OFFSET(Hawkes_Bay_Reference,18,5)</f>
        <v>120.71939752</v>
      </c>
      <c r="G62" s="4">
        <f ca="1">OFFSET(Hawkes_Bay_Reference,19,5)</f>
        <v>119.48841401</v>
      </c>
      <c r="H62" s="4">
        <f ca="1">OFFSET(Hawkes_Bay_Reference,20,5)</f>
        <v>117.82202875</v>
      </c>
      <c r="I62" s="1">
        <f ca="1">H62*('Updated Population'!I$59/'Updated Population'!H$59)</f>
        <v>117.00687992594831</v>
      </c>
      <c r="J62" s="1">
        <f ca="1">I62*('Updated Population'!J$59/'Updated Population'!I$59)</f>
        <v>115.82749443688066</v>
      </c>
      <c r="K62" s="1">
        <f ca="1">J62*('Updated Population'!K$59/'Updated Population'!J$59)</f>
        <v>114.41358497333518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OFFSET(Hawkes_Bay_Reference,22,5)</f>
        <v>55.911286386</v>
      </c>
      <c r="D63" s="4">
        <f ca="1">OFFSET(Hawkes_Bay_Reference,23,5)</f>
        <v>58.452653067999996</v>
      </c>
      <c r="E63" s="4">
        <f ca="1">OFFSET(Hawkes_Bay_Reference,24,5)</f>
        <v>59.282564911999998</v>
      </c>
      <c r="F63" s="4">
        <f ca="1">OFFSET(Hawkes_Bay_Reference,25,5)</f>
        <v>59.090741975999997</v>
      </c>
      <c r="G63" s="4">
        <f ca="1">OFFSET(Hawkes_Bay_Reference,26,5)</f>
        <v>58.745729402000002</v>
      </c>
      <c r="H63" s="4">
        <f ca="1">OFFSET(Hawkes_Bay_Reference,27,5)</f>
        <v>58.195328977000003</v>
      </c>
      <c r="I63" s="1">
        <f ca="1">H63*('Updated Population'!I$59/'Updated Population'!H$59)</f>
        <v>57.792706016894996</v>
      </c>
      <c r="J63" s="1">
        <f ca="1">I63*('Updated Population'!J$59/'Updated Population'!I$59)</f>
        <v>57.210177204115638</v>
      </c>
      <c r="K63" s="1">
        <f ca="1">J63*('Updated Population'!K$59/'Updated Population'!J$59)</f>
        <v>56.511810971182115</v>
      </c>
    </row>
    <row r="64" spans="1:11" x14ac:dyDescent="0.2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OFFSET(Hawkes_Bay_Reference,29,5)</f>
        <v>0.31852379790000002</v>
      </c>
      <c r="D64" s="4">
        <f ca="1">OFFSET(Hawkes_Bay_Reference,30,5)</f>
        <v>0.33841531380000001</v>
      </c>
      <c r="E64" s="4">
        <f ca="1">OFFSET(Hawkes_Bay_Reference,31,5)</f>
        <v>0.34275326010000001</v>
      </c>
      <c r="F64" s="4">
        <f ca="1">OFFSET(Hawkes_Bay_Reference,32,5)</f>
        <v>0.33840122239999998</v>
      </c>
      <c r="G64" s="4">
        <f ca="1">OFFSET(Hawkes_Bay_Reference,33,5)</f>
        <v>0.30471381240000001</v>
      </c>
      <c r="H64" s="4">
        <f ca="1">OFFSET(Hawkes_Bay_Reference,34,5)</f>
        <v>0.25969020929999997</v>
      </c>
      <c r="I64" s="1">
        <f ca="1">H64*('Updated Population'!I$59/'Updated Population'!H$59)</f>
        <v>0.25789354893882255</v>
      </c>
      <c r="J64" s="1">
        <f ca="1">I64*('Updated Population'!J$59/'Updated Population'!I$59)</f>
        <v>0.25529407863814363</v>
      </c>
      <c r="K64" s="1">
        <f ca="1">J64*('Updated Population'!K$59/'Updated Population'!J$59)</f>
        <v>0.25217769668126466</v>
      </c>
    </row>
    <row r="65" spans="1:11" x14ac:dyDescent="0.2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OFFSET(Hawkes_Bay_Reference,36,5)</f>
        <v>0.56268429389999997</v>
      </c>
      <c r="D65" s="4">
        <f ca="1">OFFSET(Hawkes_Bay_Reference,37,5)</f>
        <v>0.49586737190000002</v>
      </c>
      <c r="E65" s="4">
        <f ca="1">OFFSET(Hawkes_Bay_Reference,38,5)</f>
        <v>0.43699670899999998</v>
      </c>
      <c r="F65" s="4">
        <f ca="1">OFFSET(Hawkes_Bay_Reference,39,5)</f>
        <v>0.37858385880000001</v>
      </c>
      <c r="G65" s="4">
        <f ca="1">OFFSET(Hawkes_Bay_Reference,40,5)</f>
        <v>0.33150135200000003</v>
      </c>
      <c r="H65" s="4">
        <f ca="1">OFFSET(Hawkes_Bay_Reference,41,5)</f>
        <v>0.29141081600000002</v>
      </c>
      <c r="I65" s="1">
        <f ca="1">H65*('Updated Population'!I$59/'Updated Population'!H$59)</f>
        <v>0.28939469739723539</v>
      </c>
      <c r="J65" s="1">
        <f ca="1">I65*('Updated Population'!J$59/'Updated Population'!I$59)</f>
        <v>0.28647770732845113</v>
      </c>
      <c r="K65" s="1">
        <f ca="1">J65*('Updated Population'!K$59/'Updated Population'!J$59)</f>
        <v>0.28298066594414284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OFFSET(Hawkes_Bay_Reference,43,5)</f>
        <v>4.2128943276999999</v>
      </c>
      <c r="D67" s="4">
        <f ca="1">OFFSET(Hawkes_Bay_Reference,44,5)</f>
        <v>4.3603953235999997</v>
      </c>
      <c r="E67" s="4">
        <f ca="1">OFFSET(Hawkes_Bay_Reference,45,5)</f>
        <v>4.4003058816999996</v>
      </c>
      <c r="F67" s="4">
        <f ca="1">OFFSET(Hawkes_Bay_Reference,46,5)</f>
        <v>4.3032782383999999</v>
      </c>
      <c r="G67" s="4">
        <f ca="1">OFFSET(Hawkes_Bay_Reference,47,5)</f>
        <v>4.2865295565999997</v>
      </c>
      <c r="H67" s="4">
        <f ca="1">OFFSET(Hawkes_Bay_Reference,48,5)</f>
        <v>4.2449323743000003</v>
      </c>
      <c r="I67" s="1">
        <f ca="1">H67*('Updated Population'!I$59/'Updated Population'!H$59)</f>
        <v>4.2155639134968705</v>
      </c>
      <c r="J67" s="1">
        <f ca="1">I67*('Updated Population'!J$59/'Updated Population'!I$59)</f>
        <v>4.1730726094730217</v>
      </c>
      <c r="K67" s="1">
        <f ca="1">J67*('Updated Population'!K$59/'Updated Population'!J$59)</f>
        <v>4.1221317954350241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OFFSET(Hawkes_Bay_Reference,50,5)</f>
        <v>0.50665771959999995</v>
      </c>
      <c r="D69" s="4">
        <f ca="1">OFFSET(Hawkes_Bay_Reference,51,5)</f>
        <v>0.5787658242</v>
      </c>
      <c r="E69" s="4">
        <f ca="1">OFFSET(Hawkes_Bay_Reference,52,5)</f>
        <v>0.67262502700000004</v>
      </c>
      <c r="F69" s="4">
        <f ca="1">OFFSET(Hawkes_Bay_Reference,53,5)</f>
        <v>0.75037808930000005</v>
      </c>
      <c r="G69" s="4">
        <f ca="1">OFFSET(Hawkes_Bay_Reference,54,5)</f>
        <v>0.83222729689999997</v>
      </c>
      <c r="H69" s="4">
        <f ca="1">OFFSET(Hawkes_Bay_Reference,55,5)</f>
        <v>0.91127611720000001</v>
      </c>
      <c r="I69" s="1">
        <f ca="1">H69*('Updated Population'!I$59/'Updated Population'!H$59)</f>
        <v>0.90497147567241165</v>
      </c>
      <c r="J69" s="1">
        <f ca="1">I69*('Updated Population'!J$59/'Updated Population'!I$59)</f>
        <v>0.89584970243049911</v>
      </c>
      <c r="K69" s="1">
        <f ca="1">J69*('Updated Population'!K$59/'Updated Population'!J$59)</f>
        <v>0.88491404006174146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OFFSET(Taranaki_Reference,1,5)</f>
        <v>22.622772427000001</v>
      </c>
      <c r="D71" s="4">
        <f ca="1">OFFSET(Taranaki_Reference,2,5)</f>
        <v>23.619524414000001</v>
      </c>
      <c r="E71" s="4">
        <f ca="1">OFFSET(Taranaki_Reference,3,5)</f>
        <v>23.182809510999999</v>
      </c>
      <c r="F71" s="4">
        <f ca="1">OFFSET(Taranaki_Reference,4,5)</f>
        <v>22.684795899000001</v>
      </c>
      <c r="G71" s="4">
        <f ca="1">OFFSET(Taranaki_Reference,5,5)</f>
        <v>22.150002843999999</v>
      </c>
      <c r="H71" s="4">
        <f ca="1">OFFSET(Taranaki_Reference,6,5)</f>
        <v>21.617359099000002</v>
      </c>
      <c r="I71" s="1">
        <f ca="1">H71*('Updated Population'!I$70/'Updated Population'!H$70)</f>
        <v>21.759477667674727</v>
      </c>
      <c r="J71" s="1">
        <f ca="1">I71*('Updated Population'!J$70/'Updated Population'!I$70)</f>
        <v>21.832811034908577</v>
      </c>
      <c r="K71" s="1">
        <f ca="1">J71*('Updated Population'!K$70/'Updated Population'!J$70)</f>
        <v>21.859313298590276</v>
      </c>
    </row>
    <row r="72" spans="1:11" x14ac:dyDescent="0.2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OFFSET(Taranaki_Reference,8,5)</f>
        <v>2.0337103172000002</v>
      </c>
      <c r="D72" s="4">
        <f ca="1">OFFSET(Taranaki_Reference,9,5)</f>
        <v>2.0569300792999998</v>
      </c>
      <c r="E72" s="4">
        <f ca="1">OFFSET(Taranaki_Reference,10,5)</f>
        <v>1.9511277787000001</v>
      </c>
      <c r="F72" s="4">
        <f ca="1">OFFSET(Taranaki_Reference,11,5)</f>
        <v>1.8640259592999999</v>
      </c>
      <c r="G72" s="4">
        <f ca="1">OFFSET(Taranaki_Reference,12,5)</f>
        <v>1.7694692982</v>
      </c>
      <c r="H72" s="4">
        <f ca="1">OFFSET(Taranaki_Reference,13,5)</f>
        <v>1.6936086236000001</v>
      </c>
      <c r="I72" s="1">
        <f ca="1">H72*('Updated Population'!I$70/'Updated Population'!H$70)</f>
        <v>1.7047428806745535</v>
      </c>
      <c r="J72" s="1">
        <f ca="1">I72*('Updated Population'!J$70/'Updated Population'!I$70)</f>
        <v>1.7104881718813143</v>
      </c>
      <c r="K72" s="1">
        <f ca="1">J72*('Updated Population'!K$70/'Updated Population'!J$70)</f>
        <v>1.7125644875917898</v>
      </c>
    </row>
    <row r="73" spans="1:11" x14ac:dyDescent="0.2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OFFSET(Taranaki_Reference,15,5)</f>
        <v>90.072080670000005</v>
      </c>
      <c r="D73" s="4">
        <f ca="1">OFFSET(Taranaki_Reference,16,5)</f>
        <v>96.582340439999996</v>
      </c>
      <c r="E73" s="4">
        <f ca="1">OFFSET(Taranaki_Reference,17,5)</f>
        <v>97.664051392999994</v>
      </c>
      <c r="F73" s="4">
        <f ca="1">OFFSET(Taranaki_Reference,18,5)</f>
        <v>96.632365640000003</v>
      </c>
      <c r="G73" s="4">
        <f ca="1">OFFSET(Taranaki_Reference,19,5)</f>
        <v>95.079907431999999</v>
      </c>
      <c r="H73" s="4">
        <f ca="1">OFFSET(Taranaki_Reference,20,5)</f>
        <v>93.023229925999999</v>
      </c>
      <c r="I73" s="1">
        <f ca="1">H73*('Updated Population'!I$70/'Updated Population'!H$70)</f>
        <v>93.6347906735473</v>
      </c>
      <c r="J73" s="1">
        <f ca="1">I73*('Updated Population'!J$70/'Updated Population'!I$70)</f>
        <v>93.950356818801268</v>
      </c>
      <c r="K73" s="1">
        <f ca="1">J73*('Updated Population'!K$70/'Updated Population'!J$70)</f>
        <v>94.06440063686118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OFFSET(Taranaki_Reference,22,5)</f>
        <v>42.519870167999997</v>
      </c>
      <c r="D74" s="4">
        <f ca="1">OFFSET(Taranaki_Reference,23,5)</f>
        <v>43.504686757999998</v>
      </c>
      <c r="E74" s="4">
        <f ca="1">OFFSET(Taranaki_Reference,24,5)</f>
        <v>42.752245596000002</v>
      </c>
      <c r="F74" s="4">
        <f ca="1">OFFSET(Taranaki_Reference,25,5)</f>
        <v>42.013913219000003</v>
      </c>
      <c r="G74" s="4">
        <f ca="1">OFFSET(Taranaki_Reference,26,5)</f>
        <v>40.992621790000001</v>
      </c>
      <c r="H74" s="4">
        <f ca="1">OFFSET(Taranaki_Reference,27,5)</f>
        <v>39.868114945000002</v>
      </c>
      <c r="I74" s="1">
        <f ca="1">H74*('Updated Population'!I$70/'Updated Population'!H$70)</f>
        <v>40.130219090367369</v>
      </c>
      <c r="J74" s="1">
        <f ca="1">I74*('Updated Population'!J$70/'Updated Population'!I$70)</f>
        <v>40.265465172036905</v>
      </c>
      <c r="K74" s="1">
        <f ca="1">J74*('Updated Population'!K$70/'Updated Population'!J$70)</f>
        <v>40.314342340146375</v>
      </c>
    </row>
    <row r="75" spans="1:11" x14ac:dyDescent="0.2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OFFSET(Taranaki_Reference,29,5)</f>
        <v>0.65963815029999995</v>
      </c>
      <c r="D75" s="4">
        <f ca="1">OFFSET(Taranaki_Reference,30,5)</f>
        <v>0.77940576070000001</v>
      </c>
      <c r="E75" s="4">
        <f ca="1">OFFSET(Taranaki_Reference,31,5)</f>
        <v>0.84687472850000001</v>
      </c>
      <c r="F75" s="4">
        <f ca="1">OFFSET(Taranaki_Reference,32,5)</f>
        <v>0.8650466912</v>
      </c>
      <c r="G75" s="4">
        <f ca="1">OFFSET(Taranaki_Reference,33,5)</f>
        <v>0.8743959751</v>
      </c>
      <c r="H75" s="4">
        <f ca="1">OFFSET(Taranaki_Reference,34,5)</f>
        <v>0.8712388741</v>
      </c>
      <c r="I75" s="1">
        <f ca="1">H75*('Updated Population'!I$70/'Updated Population'!H$70)</f>
        <v>0.8769666422882334</v>
      </c>
      <c r="J75" s="1">
        <f ca="1">I75*('Updated Population'!J$70/'Updated Population'!I$70)</f>
        <v>0.87992217816151852</v>
      </c>
      <c r="K75" s="1">
        <f ca="1">J75*('Updated Population'!K$70/'Updated Population'!J$70)</f>
        <v>0.88099029209094903</v>
      </c>
    </row>
    <row r="76" spans="1:11" x14ac:dyDescent="0.2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OFFSET(Taranaki_Reference,36,5)</f>
        <v>1.0657180475000001</v>
      </c>
      <c r="D76" s="4">
        <f ca="1">OFFSET(Taranaki_Reference,37,5)</f>
        <v>1.0362364829999999</v>
      </c>
      <c r="E76" s="4">
        <f ca="1">OFFSET(Taranaki_Reference,38,5)</f>
        <v>0.91454221999999996</v>
      </c>
      <c r="F76" s="4">
        <f ca="1">OFFSET(Taranaki_Reference,39,5)</f>
        <v>0.81172604650000002</v>
      </c>
      <c r="G76" s="4">
        <f ca="1">OFFSET(Taranaki_Reference,40,5)</f>
        <v>0.74469353559999996</v>
      </c>
      <c r="H76" s="4">
        <f ca="1">OFFSET(Taranaki_Reference,41,5)</f>
        <v>0.68301997079999999</v>
      </c>
      <c r="I76" s="1">
        <f ca="1">H76*('Updated Population'!I$70/'Updated Population'!H$70)</f>
        <v>0.68751033524191918</v>
      </c>
      <c r="J76" s="1">
        <f ca="1">I76*('Updated Population'!J$70/'Updated Population'!I$70)</f>
        <v>0.68982736916439524</v>
      </c>
      <c r="K76" s="1">
        <f ca="1">J76*('Updated Population'!K$70/'Updated Population'!J$70)</f>
        <v>0.69066473210420254</v>
      </c>
    </row>
    <row r="77" spans="1:11" x14ac:dyDescent="0.2">
      <c r="A77" t="str">
        <f ca="1">OFFSET(Taranaki_Reference,42,2)</f>
        <v>Local Train</v>
      </c>
      <c r="B77" s="4">
        <f ca="1">OFFSET(Taranaki_Reference,42,5)</f>
        <v>5.3266318100000001E-2</v>
      </c>
      <c r="C77" s="4">
        <f ca="1">OFFSET(Taranaki_Reference,43,5)</f>
        <v>4.7478185399999998E-2</v>
      </c>
      <c r="D77" s="4">
        <f ca="1">OFFSET(Taranaki_Reference,44,5)</f>
        <v>4.3247241499999999E-2</v>
      </c>
      <c r="E77" s="4">
        <f ca="1">OFFSET(Taranaki_Reference,45,5)</f>
        <v>4.2021550499999998E-2</v>
      </c>
      <c r="F77" s="4">
        <f ca="1">OFFSET(Taranaki_Reference,46,5)</f>
        <v>4.5695541800000003E-2</v>
      </c>
      <c r="G77" s="4">
        <f ca="1">OFFSET(Taranaki_Reference,47,5)</f>
        <v>5.2861065999999998E-2</v>
      </c>
      <c r="H77" s="4">
        <f ca="1">OFFSET(Taranaki_Reference,48,5)</f>
        <v>5.9825714299999999E-2</v>
      </c>
      <c r="I77" s="1">
        <f ca="1">H77*('Updated Population'!I$70/'Updated Population'!H$70)</f>
        <v>6.0219025288975166E-2</v>
      </c>
      <c r="J77" s="1">
        <f ca="1">I77*('Updated Population'!J$70/'Updated Population'!I$70)</f>
        <v>6.042197427347866E-2</v>
      </c>
      <c r="K77" s="1">
        <f ca="1">J77*('Updated Population'!K$70/'Updated Population'!J$70)</f>
        <v>6.049531888731717E-2</v>
      </c>
    </row>
    <row r="78" spans="1:11" x14ac:dyDescent="0.2">
      <c r="A78" t="str">
        <f ca="1">OFFSET(Taranaki_Reference,49,2)</f>
        <v>Local Bus</v>
      </c>
      <c r="B78" s="4">
        <f ca="1">OFFSET(Taranaki_Reference,49,5)</f>
        <v>1.2787514622</v>
      </c>
      <c r="C78" s="4">
        <f ca="1">OFFSET(Taranaki_Reference,50,5)</f>
        <v>1.2259846488999999</v>
      </c>
      <c r="D78" s="4">
        <f ca="1">OFFSET(Taranaki_Reference,51,5)</f>
        <v>1.2709805493999999</v>
      </c>
      <c r="E78" s="4">
        <f ca="1">OFFSET(Taranaki_Reference,52,5)</f>
        <v>1.2362657744000001</v>
      </c>
      <c r="F78" s="4">
        <f ca="1">OFFSET(Taranaki_Reference,53,5)</f>
        <v>1.1831858065</v>
      </c>
      <c r="G78" s="4">
        <f ca="1">OFFSET(Taranaki_Reference,54,5)</f>
        <v>1.1773097568999999</v>
      </c>
      <c r="H78" s="4">
        <f ca="1">OFFSET(Taranaki_Reference,55,5)</f>
        <v>1.1729988147999999</v>
      </c>
      <c r="I78" s="1">
        <f ca="1">H78*('Updated Population'!I$70/'Updated Population'!H$70)</f>
        <v>1.1807104372906601</v>
      </c>
      <c r="J78" s="1">
        <f ca="1">I78*('Updated Population'!J$70/'Updated Population'!I$70)</f>
        <v>1.1846896445775752</v>
      </c>
      <c r="K78" s="1">
        <f ca="1">J78*('Updated Population'!K$70/'Updated Population'!J$70)</f>
        <v>1.1861277075595418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OFFSET(Taranaki_Reference,57,5)</f>
        <v>0.16870602740000001</v>
      </c>
      <c r="D80" s="4">
        <f ca="1">OFFSET(Taranaki_Reference,58,5)</f>
        <v>0.17951274489999999</v>
      </c>
      <c r="E80" s="4">
        <f ca="1">OFFSET(Taranaki_Reference,59,5)</f>
        <v>0.17209788100000001</v>
      </c>
      <c r="F80" s="4">
        <f ca="1">OFFSET(Taranaki_Reference,60,5)</f>
        <v>0.17226914779999999</v>
      </c>
      <c r="G80" s="4">
        <f ca="1">OFFSET(Taranaki_Reference,61,5)</f>
        <v>0.16556097589999999</v>
      </c>
      <c r="H80" s="4">
        <f ca="1">OFFSET(Taranaki_Reference,62,5)</f>
        <v>0.15331027459999999</v>
      </c>
      <c r="I80" s="1">
        <f ca="1">H80*('Updated Population'!I$70/'Updated Population'!H$70)</f>
        <v>0.1543181792515117</v>
      </c>
      <c r="J80" s="1">
        <f ca="1">I80*('Updated Population'!J$70/'Updated Population'!I$70)</f>
        <v>0.15483825936936868</v>
      </c>
      <c r="K80" s="1">
        <f ca="1">J80*('Updated Population'!K$70/'Updated Population'!J$70)</f>
        <v>0.1550262133791048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OFFSET(Manawatu_Reference,1,5)</f>
        <v>35.281600984999997</v>
      </c>
      <c r="D82" s="4">
        <f ca="1">OFFSET(Manawatu_Reference,2,5)</f>
        <v>34.243383145000003</v>
      </c>
      <c r="E82" s="4">
        <f ca="1">OFFSET(Manawatu_Reference,3,5)</f>
        <v>30.658774294000001</v>
      </c>
      <c r="F82" s="4">
        <f ca="1">OFFSET(Manawatu_Reference,4,5)</f>
        <v>27.922635207999999</v>
      </c>
      <c r="G82" s="4">
        <f ca="1">OFFSET(Manawatu_Reference,5,5)</f>
        <v>25.797808886999999</v>
      </c>
      <c r="H82" s="4">
        <f ca="1">OFFSET(Manawatu_Reference,6,5)</f>
        <v>24.045328018999999</v>
      </c>
      <c r="I82" s="1">
        <f ca="1">H82*('Updated Population'!I$81/'Updated Population'!H$81)</f>
        <v>23.847278507364425</v>
      </c>
      <c r="J82" s="1">
        <f ca="1">I82*('Updated Population'!J$81/'Updated Population'!I$81)</f>
        <v>23.575575468645756</v>
      </c>
      <c r="K82" s="1">
        <f ca="1">J82*('Updated Population'!K$81/'Updated Population'!J$81)</f>
        <v>23.256879888284566</v>
      </c>
    </row>
    <row r="83" spans="1:11" x14ac:dyDescent="0.2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OFFSET(Manawatu_Reference,8,5)</f>
        <v>4.6079092990000001</v>
      </c>
      <c r="D83" s="4">
        <f ca="1">OFFSET(Manawatu_Reference,9,5)</f>
        <v>4.9822008565000004</v>
      </c>
      <c r="E83" s="4">
        <f ca="1">OFFSET(Manawatu_Reference,10,5)</f>
        <v>5.1462659110000004</v>
      </c>
      <c r="F83" s="4">
        <f ca="1">OFFSET(Manawatu_Reference,11,5)</f>
        <v>5.3332584908999996</v>
      </c>
      <c r="G83" s="4">
        <f ca="1">OFFSET(Manawatu_Reference,12,5)</f>
        <v>5.2482667657000004</v>
      </c>
      <c r="H83" s="4">
        <f ca="1">OFFSET(Manawatu_Reference,13,5)</f>
        <v>5.1379314098000002</v>
      </c>
      <c r="I83" s="1">
        <f ca="1">H83*('Updated Population'!I$81/'Updated Population'!H$81)</f>
        <v>5.0956128019721545</v>
      </c>
      <c r="J83" s="1">
        <f ca="1">I83*('Updated Population'!J$81/'Updated Population'!I$81)</f>
        <v>5.0375561360091172</v>
      </c>
      <c r="K83" s="1">
        <f ca="1">J83*('Updated Population'!K$81/'Updated Population'!J$81)</f>
        <v>4.9694582489181895</v>
      </c>
    </row>
    <row r="84" spans="1:11" x14ac:dyDescent="0.2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OFFSET(Manawatu_Reference,15,5)</f>
        <v>176.34949293</v>
      </c>
      <c r="D84" s="4">
        <f ca="1">OFFSET(Manawatu_Reference,16,5)</f>
        <v>185.6082236</v>
      </c>
      <c r="E84" s="4">
        <f ca="1">OFFSET(Manawatu_Reference,17,5)</f>
        <v>183.51670859999999</v>
      </c>
      <c r="F84" s="4">
        <f ca="1">OFFSET(Manawatu_Reference,18,5)</f>
        <v>181.43916185</v>
      </c>
      <c r="G84" s="4">
        <f ca="1">OFFSET(Manawatu_Reference,19,5)</f>
        <v>176.1530214</v>
      </c>
      <c r="H84" s="4">
        <f ca="1">OFFSET(Manawatu_Reference,20,5)</f>
        <v>169.94093574999999</v>
      </c>
      <c r="I84" s="1">
        <f ca="1">H84*('Updated Population'!I$81/'Updated Population'!H$81)</f>
        <v>168.54121604954153</v>
      </c>
      <c r="J84" s="1">
        <f ca="1">I84*('Updated Population'!J$81/'Updated Population'!I$81)</f>
        <v>166.62094826989286</v>
      </c>
      <c r="K84" s="1">
        <f ca="1">J84*('Updated Population'!K$81/'Updated Population'!J$81)</f>
        <v>164.36855956872088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OFFSET(Manawatu_Reference,22,5)</f>
        <v>77.122670146999994</v>
      </c>
      <c r="D85" s="4">
        <f ca="1">OFFSET(Manawatu_Reference,23,5)</f>
        <v>78.337310259999995</v>
      </c>
      <c r="E85" s="4">
        <f ca="1">OFFSET(Manawatu_Reference,24,5)</f>
        <v>75.259827618000003</v>
      </c>
      <c r="F85" s="4">
        <f ca="1">OFFSET(Manawatu_Reference,25,5)</f>
        <v>72.912658338</v>
      </c>
      <c r="G85" s="4">
        <f ca="1">OFFSET(Manawatu_Reference,26,5)</f>
        <v>69.736168839000001</v>
      </c>
      <c r="H85" s="4">
        <f ca="1">OFFSET(Manawatu_Reference,27,5)</f>
        <v>66.569127332999997</v>
      </c>
      <c r="I85" s="1">
        <f ca="1">H85*('Updated Population'!I$81/'Updated Population'!H$81)</f>
        <v>66.020830252257767</v>
      </c>
      <c r="J85" s="1">
        <f ca="1">I85*('Updated Population'!J$81/'Updated Population'!I$81)</f>
        <v>65.268624494576514</v>
      </c>
      <c r="K85" s="1">
        <f ca="1">J85*('Updated Population'!K$81/'Updated Population'!J$81)</f>
        <v>64.38632059534234</v>
      </c>
    </row>
    <row r="86" spans="1:11" x14ac:dyDescent="0.2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OFFSET(Manawatu_Reference,29,5)</f>
        <v>1.0348514642</v>
      </c>
      <c r="D86" s="4">
        <f ca="1">OFFSET(Manawatu_Reference,30,5)</f>
        <v>1.1040573650000001</v>
      </c>
      <c r="E86" s="4">
        <f ca="1">OFFSET(Manawatu_Reference,31,5)</f>
        <v>1.0458680064999999</v>
      </c>
      <c r="F86" s="4">
        <f ca="1">OFFSET(Manawatu_Reference,32,5)</f>
        <v>0.98423749299999996</v>
      </c>
      <c r="G86" s="4">
        <f ca="1">OFFSET(Manawatu_Reference,33,5)</f>
        <v>0.98584700530000002</v>
      </c>
      <c r="H86" s="4">
        <f ca="1">OFFSET(Manawatu_Reference,34,5)</f>
        <v>0.99307189650000005</v>
      </c>
      <c r="I86" s="1">
        <f ca="1">H86*('Updated Population'!I$81/'Updated Population'!H$81)</f>
        <v>0.98489245291056637</v>
      </c>
      <c r="J86" s="1">
        <f ca="1">I86*('Updated Population'!J$81/'Updated Population'!I$81)</f>
        <v>0.97367111911416504</v>
      </c>
      <c r="K86" s="1">
        <f ca="1">J86*('Updated Population'!K$81/'Updated Population'!J$81)</f>
        <v>0.96050899364241549</v>
      </c>
    </row>
    <row r="87" spans="1:11" x14ac:dyDescent="0.2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OFFSET(Manawatu_Reference,36,5)</f>
        <v>0.64176532379999995</v>
      </c>
      <c r="D87" s="4">
        <f ca="1">OFFSET(Manawatu_Reference,37,5)</f>
        <v>0.56650435450000003</v>
      </c>
      <c r="E87" s="4">
        <f ca="1">OFFSET(Manawatu_Reference,38,5)</f>
        <v>0.45233803490000002</v>
      </c>
      <c r="F87" s="4">
        <f ca="1">OFFSET(Manawatu_Reference,39,5)</f>
        <v>0.3805913038</v>
      </c>
      <c r="G87" s="4">
        <f ca="1">OFFSET(Manawatu_Reference,40,5)</f>
        <v>0.33518286990000001</v>
      </c>
      <c r="H87" s="4">
        <f ca="1">OFFSET(Manawatu_Reference,41,5)</f>
        <v>0.29123330730000002</v>
      </c>
      <c r="I87" s="1">
        <f ca="1">H87*('Updated Population'!I$81/'Updated Population'!H$81)</f>
        <v>0.2888345621368148</v>
      </c>
      <c r="J87" s="1">
        <f ca="1">I87*('Updated Population'!J$81/'Updated Population'!I$81)</f>
        <v>0.28554373680446865</v>
      </c>
      <c r="K87" s="1">
        <f ca="1">J87*('Updated Population'!K$81/'Updated Population'!J$81)</f>
        <v>0.28168374504984828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OFFSET(Manawatu_Reference,42,5)</f>
        <v>5.2110099151</v>
      </c>
      <c r="C89" s="4">
        <f ca="1">OFFSET(Manawatu_Reference,43,5)</f>
        <v>4.3126166013000002</v>
      </c>
      <c r="D89" s="4">
        <f ca="1">OFFSET(Manawatu_Reference,44,5)</f>
        <v>3.8923595990000002</v>
      </c>
      <c r="E89" s="4">
        <f ca="1">OFFSET(Manawatu_Reference,45,5)</f>
        <v>3.4443131826000002</v>
      </c>
      <c r="F89" s="4">
        <f ca="1">OFFSET(Manawatu_Reference,46,5)</f>
        <v>3.0860643437999999</v>
      </c>
      <c r="G89" s="4">
        <f ca="1">OFFSET(Manawatu_Reference,47,5)</f>
        <v>2.7663440989999999</v>
      </c>
      <c r="H89" s="4">
        <f ca="1">OFFSET(Manawatu_Reference,48,5)</f>
        <v>2.4487108268000002</v>
      </c>
      <c r="I89" s="1">
        <f ca="1">H89*('Updated Population'!I$81/'Updated Population'!H$81)</f>
        <v>2.4285420030267799</v>
      </c>
      <c r="J89" s="1">
        <f ca="1">I89*('Updated Population'!J$81/'Updated Population'!I$81)</f>
        <v>2.4008725043175443</v>
      </c>
      <c r="K89" s="1">
        <f ca="1">J89*('Updated Population'!K$81/'Updated Population'!J$81)</f>
        <v>2.3684174129389985</v>
      </c>
    </row>
    <row r="90" spans="1:11" x14ac:dyDescent="0.2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OFFSET(Manawatu_Reference,50,5)</f>
        <v>0.1060596151</v>
      </c>
      <c r="D90" s="4">
        <f ca="1">OFFSET(Manawatu_Reference,51,5)</f>
        <v>0.1141237985</v>
      </c>
      <c r="E90" s="4">
        <f ca="1">OFFSET(Manawatu_Reference,52,5)</f>
        <v>0.1197609025</v>
      </c>
      <c r="F90" s="4">
        <f ca="1">OFFSET(Manawatu_Reference,53,5)</f>
        <v>0.11512448760000001</v>
      </c>
      <c r="G90" s="4">
        <f ca="1">OFFSET(Manawatu_Reference,54,5)</f>
        <v>0.104391755</v>
      </c>
      <c r="H90" s="4">
        <f ca="1">OFFSET(Manawatu_Reference,55,5)</f>
        <v>9.2469770399999998E-2</v>
      </c>
      <c r="I90" s="1">
        <f ca="1">H90*('Updated Population'!I$81/'Updated Population'!H$81)</f>
        <v>9.1708142492312378E-2</v>
      </c>
      <c r="J90" s="1">
        <f ca="1">I90*('Updated Population'!J$81/'Updated Population'!I$81)</f>
        <v>9.0663269343256359E-2</v>
      </c>
      <c r="K90" s="1">
        <f ca="1">J90*('Updated Population'!K$81/'Updated Population'!J$81)</f>
        <v>8.9437679610389842E-2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OFFSET(Manawatu_Reference,57,5)</f>
        <v>0.2046765639</v>
      </c>
      <c r="D91" s="4">
        <f ca="1">OFFSET(Manawatu_Reference,58,5)</f>
        <v>0.1765352798</v>
      </c>
      <c r="E91" s="4">
        <f ca="1">OFFSET(Manawatu_Reference,59,5)</f>
        <v>0.13955092429999999</v>
      </c>
      <c r="F91" s="4">
        <f ca="1">OFFSET(Manawatu_Reference,60,5)</f>
        <v>0.1121803626</v>
      </c>
      <c r="G91" s="4">
        <f ca="1">OFFSET(Manawatu_Reference,61,5)</f>
        <v>8.7030184100000005E-2</v>
      </c>
      <c r="H91" s="4">
        <f ca="1">OFFSET(Manawatu_Reference,62,5)</f>
        <v>6.5350691799999999E-2</v>
      </c>
      <c r="I91" s="1">
        <f ca="1">H91*('Updated Population'!I$81/'Updated Population'!H$81)</f>
        <v>6.4812430372008248E-2</v>
      </c>
      <c r="J91" s="1">
        <f ca="1">I91*('Updated Population'!J$81/'Updated Population'!I$81)</f>
        <v>6.4073992471290198E-2</v>
      </c>
      <c r="K91" s="1">
        <f ca="1">J91*('Updated Population'!K$81/'Updated Population'!J$81)</f>
        <v>6.3207837655945232E-2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OFFSET(Wellington_Reference,1,5)</f>
        <v>177.88913851000001</v>
      </c>
      <c r="D93" s="4">
        <f ca="1">OFFSET(Wellington_Reference,2,5)</f>
        <v>185.20194710999999</v>
      </c>
      <c r="E93" s="4">
        <f ca="1">OFFSET(Wellington_Reference,3,5)</f>
        <v>184.1776749</v>
      </c>
      <c r="F93" s="4">
        <f ca="1">OFFSET(Wellington_Reference,4,5)</f>
        <v>182.662373</v>
      </c>
      <c r="G93" s="4">
        <f ca="1">OFFSET(Wellington_Reference,5,5)</f>
        <v>181.01789328999999</v>
      </c>
      <c r="H93" s="4">
        <f ca="1">OFFSET(Wellington_Reference,6,5)</f>
        <v>178.95579347</v>
      </c>
      <c r="I93" s="1">
        <f ca="1">H93*('Updated Population'!I$92/'Updated Population'!H$92)</f>
        <v>180.13928699533511</v>
      </c>
      <c r="J93" s="1">
        <f ca="1">I93*('Updated Population'!J$92/'Updated Population'!I$92)</f>
        <v>180.75340078537656</v>
      </c>
      <c r="K93" s="1">
        <f ca="1">J93*('Updated Population'!K$92/'Updated Population'!J$92)</f>
        <v>180.97983315250863</v>
      </c>
    </row>
    <row r="94" spans="1:11" x14ac:dyDescent="0.2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OFFSET(Wellington_Reference,8,5)</f>
        <v>7.5884396090999999</v>
      </c>
      <c r="D94" s="4">
        <f ca="1">OFFSET(Wellington_Reference,9,5)</f>
        <v>7.7282094037000002</v>
      </c>
      <c r="E94" s="4">
        <f ca="1">OFFSET(Wellington_Reference,10,5)</f>
        <v>7.2226084952000003</v>
      </c>
      <c r="F94" s="4">
        <f ca="1">OFFSET(Wellington_Reference,11,5)</f>
        <v>6.8972345065000003</v>
      </c>
      <c r="G94" s="4">
        <f ca="1">OFFSET(Wellington_Reference,12,5)</f>
        <v>6.7079273287000003</v>
      </c>
      <c r="H94" s="4">
        <f ca="1">OFFSET(Wellington_Reference,13,5)</f>
        <v>6.5500462530999997</v>
      </c>
      <c r="I94" s="1">
        <f ca="1">H94*('Updated Population'!I$92/'Updated Population'!H$92)</f>
        <v>6.5933638634487748</v>
      </c>
      <c r="J94" s="1">
        <f ca="1">I94*('Updated Population'!J$92/'Updated Population'!I$92)</f>
        <v>6.6158413348479463</v>
      </c>
      <c r="K94" s="1">
        <f ca="1">J94*('Updated Population'!K$92/'Updated Population'!J$92)</f>
        <v>6.624129093791959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OFFSET(Wellington_Reference,15,5)</f>
        <v>365.40659854</v>
      </c>
      <c r="D95" s="4">
        <f ca="1">OFFSET(Wellington_Reference,16,5)</f>
        <v>383.07034952999999</v>
      </c>
      <c r="E95" s="4">
        <f ca="1">OFFSET(Wellington_Reference,17,5)</f>
        <v>390.70102287999998</v>
      </c>
      <c r="F95" s="4">
        <f ca="1">OFFSET(Wellington_Reference,18,5)</f>
        <v>395.69365536999999</v>
      </c>
      <c r="G95" s="4">
        <f ca="1">OFFSET(Wellington_Reference,19,5)</f>
        <v>396.39454992999998</v>
      </c>
      <c r="H95" s="4">
        <f ca="1">OFFSET(Wellington_Reference,20,5)</f>
        <v>395.55123354</v>
      </c>
      <c r="I95" s="1">
        <f ca="1">H95*('Updated Population'!I$92/'Updated Population'!H$92)</f>
        <v>398.16714395427437</v>
      </c>
      <c r="J95" s="1">
        <f ca="1">I95*('Updated Population'!J$92/'Updated Population'!I$92)</f>
        <v>399.5245376573485</v>
      </c>
      <c r="K95" s="1">
        <f ca="1">J95*('Updated Population'!K$92/'Updated Population'!J$92)</f>
        <v>400.02502775267186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OFFSET(Wellington_Reference,22,5)</f>
        <v>172.51208758000001</v>
      </c>
      <c r="D96" s="4">
        <f ca="1">OFFSET(Wellington_Reference,23,5)</f>
        <v>178.04549179</v>
      </c>
      <c r="E96" s="4">
        <f ca="1">OFFSET(Wellington_Reference,24,5)</f>
        <v>176.16609156999999</v>
      </c>
      <c r="F96" s="4">
        <f ca="1">OFFSET(Wellington_Reference,25,5)</f>
        <v>174.79865082000001</v>
      </c>
      <c r="G96" s="4">
        <f ca="1">OFFSET(Wellington_Reference,26,5)</f>
        <v>172.59254505000001</v>
      </c>
      <c r="H96" s="4">
        <f ca="1">OFFSET(Wellington_Reference,27,5)</f>
        <v>169.91660947</v>
      </c>
      <c r="I96" s="1">
        <f ca="1">H96*('Updated Population'!I$92/'Updated Population'!H$92)</f>
        <v>171.04032389832528</v>
      </c>
      <c r="J96" s="1">
        <f ca="1">I96*('Updated Population'!J$92/'Updated Population'!I$92)</f>
        <v>171.6234183654519</v>
      </c>
      <c r="K96" s="1">
        <f ca="1">J96*('Updated Population'!K$92/'Updated Population'!J$92)</f>
        <v>171.83841347318949</v>
      </c>
    </row>
    <row r="97" spans="1:11" x14ac:dyDescent="0.2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OFFSET(Wellington_Reference,29,5)</f>
        <v>2.4168221678999999</v>
      </c>
      <c r="D97" s="4">
        <f ca="1">OFFSET(Wellington_Reference,30,5)</f>
        <v>2.5978669863000001</v>
      </c>
      <c r="E97" s="4">
        <f ca="1">OFFSET(Wellington_Reference,31,5)</f>
        <v>2.6792763157000001</v>
      </c>
      <c r="F97" s="4">
        <f ca="1">OFFSET(Wellington_Reference,32,5)</f>
        <v>2.7275156650999999</v>
      </c>
      <c r="G97" s="4">
        <f ca="1">OFFSET(Wellington_Reference,33,5)</f>
        <v>2.7373725566</v>
      </c>
      <c r="H97" s="4">
        <f ca="1">OFFSET(Wellington_Reference,34,5)</f>
        <v>2.7187060926000002</v>
      </c>
      <c r="I97" s="1">
        <f ca="1">H97*('Updated Population'!I$92/'Updated Population'!H$92)</f>
        <v>2.7366857902420358</v>
      </c>
      <c r="J97" s="1">
        <f ca="1">I97*('Updated Population'!J$92/'Updated Population'!I$92)</f>
        <v>2.7460154401525609</v>
      </c>
      <c r="K97" s="1">
        <f ca="1">J97*('Updated Population'!K$92/'Updated Population'!J$92)</f>
        <v>2.7494554129198407</v>
      </c>
    </row>
    <row r="98" spans="1:11" x14ac:dyDescent="0.2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OFFSET(Wellington_Reference,36,5)</f>
        <v>2.4736570579000001</v>
      </c>
      <c r="D98" s="4">
        <f ca="1">OFFSET(Wellington_Reference,37,5)</f>
        <v>2.5316279951</v>
      </c>
      <c r="E98" s="4">
        <f ca="1">OFFSET(Wellington_Reference,38,5)</f>
        <v>2.5050514668999999</v>
      </c>
      <c r="F98" s="4">
        <f ca="1">OFFSET(Wellington_Reference,39,5)</f>
        <v>2.4764686352999998</v>
      </c>
      <c r="G98" s="4">
        <f ca="1">OFFSET(Wellington_Reference,40,5)</f>
        <v>2.3926534435</v>
      </c>
      <c r="H98" s="4">
        <f ca="1">OFFSET(Wellington_Reference,41,5)</f>
        <v>2.2854672223999999</v>
      </c>
      <c r="I98" s="1">
        <f ca="1">H98*('Updated Population'!I$92/'Updated Population'!H$92)</f>
        <v>2.3005817688901051</v>
      </c>
      <c r="J98" s="1">
        <f ca="1">I98*('Updated Population'!J$92/'Updated Population'!I$92)</f>
        <v>2.3084246942894375</v>
      </c>
      <c r="K98" s="1">
        <f ca="1">J98*('Updated Population'!K$92/'Updated Population'!J$92)</f>
        <v>2.3113164908786188</v>
      </c>
    </row>
    <row r="99" spans="1:11" x14ac:dyDescent="0.2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10.128875609</v>
      </c>
      <c r="D99" s="4">
        <f ca="1">OFFSET(Wellington_Reference,44,5)</f>
        <v>10.859865211000001</v>
      </c>
      <c r="E99" s="4">
        <f ca="1">OFFSET(Wellington_Reference,45,5)</f>
        <v>10.683263460999999</v>
      </c>
      <c r="F99" s="4">
        <f ca="1">OFFSET(Wellington_Reference,46,5)</f>
        <v>10.385782411999999</v>
      </c>
      <c r="G99" s="4">
        <f ca="1">OFFSET(Wellington_Reference,47,5)</f>
        <v>10.128598181999999</v>
      </c>
      <c r="H99" s="4">
        <f ca="1">OFFSET(Wellington_Reference,48,5)</f>
        <v>9.8277317289999999</v>
      </c>
      <c r="I99" s="1">
        <f ca="1">H99*('Updated Population'!I$92/'Updated Population'!H$92)</f>
        <v>9.8927257515151279</v>
      </c>
      <c r="J99" s="1">
        <f ca="1">I99*('Updated Population'!J$92/'Updated Population'!I$92)</f>
        <v>9.9264510948671347</v>
      </c>
      <c r="K99" s="1">
        <f ca="1">J99*('Updated Population'!K$92/'Updated Population'!J$92)</f>
        <v>9.93888610194786</v>
      </c>
    </row>
    <row r="100" spans="1:11" x14ac:dyDescent="0.2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23.850128953999999</v>
      </c>
      <c r="D100" s="4">
        <f ca="1">OFFSET(Wellington_Reference,51,5)</f>
        <v>24.259543268000002</v>
      </c>
      <c r="E100" s="4">
        <f ca="1">OFFSET(Wellington_Reference,52,5)</f>
        <v>23.003972069</v>
      </c>
      <c r="F100" s="4">
        <f ca="1">OFFSET(Wellington_Reference,53,5)</f>
        <v>21.607857992</v>
      </c>
      <c r="G100" s="4">
        <f ca="1">OFFSET(Wellington_Reference,54,5)</f>
        <v>20.261840903</v>
      </c>
      <c r="H100" s="4">
        <f ca="1">OFFSET(Wellington_Reference,55,5)</f>
        <v>18.955095878000002</v>
      </c>
      <c r="I100" s="1">
        <f ca="1">H100*('Updated Population'!I$92/'Updated Population'!H$92)</f>
        <v>19.080452161854986</v>
      </c>
      <c r="J100" s="1">
        <f ca="1">I100*('Updated Population'!J$92/'Updated Population'!I$92)</f>
        <v>19.145499431599784</v>
      </c>
      <c r="K100" s="1">
        <f ca="1">J100*('Updated Population'!K$92/'Updated Population'!J$92)</f>
        <v>19.169483272221242</v>
      </c>
    </row>
    <row r="101" spans="1:11" x14ac:dyDescent="0.2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OFFSET(Wellington_Reference,57,5)</f>
        <v>0.25161437549999999</v>
      </c>
      <c r="D101" s="4">
        <f ca="1">OFFSET(Wellington_Reference,58,5)</f>
        <v>0.29867249950000002</v>
      </c>
      <c r="E101" s="4">
        <f ca="1">OFFSET(Wellington_Reference,59,5)</f>
        <v>0.33806518390000001</v>
      </c>
      <c r="F101" s="4">
        <f ca="1">OFFSET(Wellington_Reference,60,5)</f>
        <v>0.37676095970000001</v>
      </c>
      <c r="G101" s="4">
        <f ca="1">OFFSET(Wellington_Reference,61,5)</f>
        <v>0.42251739859999998</v>
      </c>
      <c r="H101" s="4">
        <f ca="1">OFFSET(Wellington_Reference,62,5)</f>
        <v>0.46676014850000003</v>
      </c>
      <c r="I101" s="1">
        <f ca="1">H101*('Updated Population'!I$92/'Updated Population'!H$92)</f>
        <v>0.46984698689133048</v>
      </c>
      <c r="J101" s="1">
        <f ca="1">I101*('Updated Population'!J$92/'Updated Population'!I$92)</f>
        <v>0.47144874472368414</v>
      </c>
      <c r="K101" s="1">
        <f ca="1">J101*('Updated Population'!K$92/'Updated Population'!J$92)</f>
        <v>0.47203933530059938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OFFSET(Wellington_Reference,64,5)</f>
        <v>0.31002510319999999</v>
      </c>
      <c r="D102" s="4">
        <f ca="1">OFFSET(Wellington_Reference,65,5)</f>
        <v>0.32476526610000001</v>
      </c>
      <c r="E102" s="4">
        <f ca="1">OFFSET(Wellington_Reference,66,5)</f>
        <v>0.3165565246</v>
      </c>
      <c r="F102" s="4">
        <f ca="1">OFFSET(Wellington_Reference,67,5)</f>
        <v>0.3005884607</v>
      </c>
      <c r="G102" s="4">
        <f ca="1">OFFSET(Wellington_Reference,68,5)</f>
        <v>0.28488795750000001</v>
      </c>
      <c r="H102" s="4">
        <f ca="1">OFFSET(Wellington_Reference,69,5)</f>
        <v>0.26677333040000001</v>
      </c>
      <c r="I102" s="1">
        <f ca="1">H102*('Updated Population'!I$92/'Updated Population'!H$92)</f>
        <v>0.26853759018247758</v>
      </c>
      <c r="J102" s="1">
        <f ca="1">I102*('Updated Population'!J$92/'Updated Population'!I$92)</f>
        <v>0.26945306309250316</v>
      </c>
      <c r="K102" s="1">
        <f ca="1">J102*('Updated Population'!K$92/'Updated Population'!J$92)</f>
        <v>0.26979061079363587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OFFSET(Nelson_Reference,0,5)</f>
        <v>34.609993433</v>
      </c>
      <c r="C104" s="4">
        <f ca="1">OFFSET(Nelson_Reference,1,5)</f>
        <v>32.992558275999997</v>
      </c>
      <c r="D104" s="4">
        <f ca="1">OFFSET(Nelson_Reference,2,5)</f>
        <v>34.554545754999999</v>
      </c>
      <c r="E104" s="4">
        <f ca="1">OFFSET(Nelson_Reference,3,5)</f>
        <v>34.477018751999999</v>
      </c>
      <c r="F104" s="4">
        <f ca="1">OFFSET(Nelson_Reference,4,5)</f>
        <v>33.591976072999998</v>
      </c>
      <c r="G104" s="4">
        <f ca="1">OFFSET(Nelson_Reference,5,5)</f>
        <v>32.353178698000001</v>
      </c>
      <c r="H104" s="4">
        <f ca="1">OFFSET(Nelson_Reference,6,5)</f>
        <v>30.996355791999999</v>
      </c>
      <c r="I104" s="1">
        <f ca="1">H104*('Updated Population'!I$103/'Updated Population'!H$103)</f>
        <v>30.949167370052162</v>
      </c>
      <c r="J104" s="1">
        <f ca="1">I104*('Updated Population'!J$103/'Updated Population'!I$103)</f>
        <v>30.805138537078051</v>
      </c>
      <c r="K104" s="1">
        <f ca="1">J104*('Updated Population'!K$103/'Updated Population'!J$103)</f>
        <v>30.597331893598028</v>
      </c>
    </row>
    <row r="105" spans="1:11" x14ac:dyDescent="0.2">
      <c r="A105" t="str">
        <f ca="1">OFFSET(Nelson_Reference,7,2)</f>
        <v>Cyclist</v>
      </c>
      <c r="B105" s="4">
        <f ca="1">OFFSET(Nelson_Reference,7,5)</f>
        <v>2.9519642961999999</v>
      </c>
      <c r="C105" s="4">
        <f ca="1">OFFSET(Nelson_Reference,8,5)</f>
        <v>2.6798533753</v>
      </c>
      <c r="D105" s="4">
        <f ca="1">OFFSET(Nelson_Reference,9,5)</f>
        <v>2.7426144341000001</v>
      </c>
      <c r="E105" s="4">
        <f ca="1">OFFSET(Nelson_Reference,10,5)</f>
        <v>2.7425096603000001</v>
      </c>
      <c r="F105" s="4">
        <f ca="1">OFFSET(Nelson_Reference,11,5)</f>
        <v>2.7261223426000001</v>
      </c>
      <c r="G105" s="4">
        <f ca="1">OFFSET(Nelson_Reference,12,5)</f>
        <v>2.7029097755999998</v>
      </c>
      <c r="H105" s="4">
        <f ca="1">OFFSET(Nelson_Reference,13,5)</f>
        <v>2.666393952</v>
      </c>
      <c r="I105" s="1">
        <f ca="1">H105*('Updated Population'!I$103/'Updated Population'!H$103)</f>
        <v>2.6623346708467421</v>
      </c>
      <c r="J105" s="1">
        <f ca="1">I105*('Updated Population'!J$103/'Updated Population'!I$103)</f>
        <v>2.6499449043937804</v>
      </c>
      <c r="K105" s="1">
        <f ca="1">J105*('Updated Population'!K$103/'Updated Population'!J$103)</f>
        <v>2.6320687907925953</v>
      </c>
    </row>
    <row r="106" spans="1:11" x14ac:dyDescent="0.2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OFFSET(Nelson_Reference,15,5)</f>
        <v>93.320697823000003</v>
      </c>
      <c r="D106" s="4">
        <f ca="1">OFFSET(Nelson_Reference,16,5)</f>
        <v>95.633854182999997</v>
      </c>
      <c r="E106" s="4">
        <f ca="1">OFFSET(Nelson_Reference,17,5)</f>
        <v>94.062710768000002</v>
      </c>
      <c r="F106" s="4">
        <f ca="1">OFFSET(Nelson_Reference,18,5)</f>
        <v>92.206593419000001</v>
      </c>
      <c r="G106" s="4">
        <f ca="1">OFFSET(Nelson_Reference,19,5)</f>
        <v>89.624540358999994</v>
      </c>
      <c r="H106" s="4">
        <f ca="1">OFFSET(Nelson_Reference,20,5)</f>
        <v>86.901663595000002</v>
      </c>
      <c r="I106" s="1">
        <f ca="1">H106*('Updated Population'!I$103/'Updated Population'!H$103)</f>
        <v>86.769365708202983</v>
      </c>
      <c r="J106" s="1">
        <f ca="1">I106*('Updated Population'!J$103/'Updated Population'!I$103)</f>
        <v>86.365565168710944</v>
      </c>
      <c r="K106" s="1">
        <f ca="1">J106*('Updated Population'!K$103/'Updated Population'!J$103)</f>
        <v>85.78295658253748</v>
      </c>
    </row>
    <row r="107" spans="1:11" x14ac:dyDescent="0.2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OFFSET(Nelson_Reference,22,5)</f>
        <v>41.644491457000001</v>
      </c>
      <c r="D107" s="4">
        <f ca="1">OFFSET(Nelson_Reference,23,5)</f>
        <v>41.787611198999997</v>
      </c>
      <c r="E107" s="4">
        <f ca="1">OFFSET(Nelson_Reference,24,5)</f>
        <v>40.415946781999999</v>
      </c>
      <c r="F107" s="4">
        <f ca="1">OFFSET(Nelson_Reference,25,5)</f>
        <v>38.568007258000002</v>
      </c>
      <c r="G107" s="4">
        <f ca="1">OFFSET(Nelson_Reference,26,5)</f>
        <v>36.804235571</v>
      </c>
      <c r="H107" s="4">
        <f ca="1">OFFSET(Nelson_Reference,27,5)</f>
        <v>35.133734687999997</v>
      </c>
      <c r="I107" s="1">
        <f ca="1">H107*('Updated Population'!I$103/'Updated Population'!H$103)</f>
        <v>35.080247577831756</v>
      </c>
      <c r="J107" s="1">
        <f ca="1">I107*('Updated Population'!J$103/'Updated Population'!I$103)</f>
        <v>34.916993844422208</v>
      </c>
      <c r="K107" s="1">
        <f ca="1">J107*('Updated Population'!K$103/'Updated Population'!J$103)</f>
        <v>34.681449268555802</v>
      </c>
    </row>
    <row r="108" spans="1:11" x14ac:dyDescent="0.2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OFFSET(Nelson_Reference,29,5)</f>
        <v>0.47115126349999997</v>
      </c>
      <c r="D108" s="4">
        <f ca="1">OFFSET(Nelson_Reference,30,5)</f>
        <v>0.57761952920000004</v>
      </c>
      <c r="E108" s="4">
        <f ca="1">OFFSET(Nelson_Reference,31,5)</f>
        <v>0.61547591440000005</v>
      </c>
      <c r="F108" s="4">
        <f ca="1">OFFSET(Nelson_Reference,32,5)</f>
        <v>0.62545510530000004</v>
      </c>
      <c r="G108" s="4">
        <f ca="1">OFFSET(Nelson_Reference,33,5)</f>
        <v>0.61200286410000004</v>
      </c>
      <c r="H108" s="4">
        <f ca="1">OFFSET(Nelson_Reference,34,5)</f>
        <v>0.59563472610000001</v>
      </c>
      <c r="I108" s="1">
        <f ca="1">H108*('Updated Population'!I$103/'Updated Population'!H$103)</f>
        <v>0.5947279400580987</v>
      </c>
      <c r="J108" s="1">
        <f ca="1">I108*('Updated Population'!J$103/'Updated Population'!I$103)</f>
        <v>0.59196024133071545</v>
      </c>
      <c r="K108" s="1">
        <f ca="1">J108*('Updated Population'!K$103/'Updated Population'!J$103)</f>
        <v>0.58796697018614663</v>
      </c>
    </row>
    <row r="109" spans="1:11" x14ac:dyDescent="0.2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OFFSET(Nelson_Reference,36,5)</f>
        <v>1.3979742711000001</v>
      </c>
      <c r="D109" s="4">
        <f ca="1">OFFSET(Nelson_Reference,37,5)</f>
        <v>1.4347554176999999</v>
      </c>
      <c r="E109" s="4">
        <f ca="1">OFFSET(Nelson_Reference,38,5)</f>
        <v>1.3911351139000001</v>
      </c>
      <c r="F109" s="4">
        <f ca="1">OFFSET(Nelson_Reference,39,5)</f>
        <v>1.3238666671999999</v>
      </c>
      <c r="G109" s="4">
        <f ca="1">OFFSET(Nelson_Reference,40,5)</f>
        <v>1.2245108917</v>
      </c>
      <c r="H109" s="4">
        <f ca="1">OFFSET(Nelson_Reference,41,5)</f>
        <v>1.1265865559999999</v>
      </c>
      <c r="I109" s="1">
        <f ca="1">H109*('Updated Population'!I$103/'Updated Population'!H$103)</f>
        <v>1.124871456259823</v>
      </c>
      <c r="J109" s="1">
        <f ca="1">I109*('Updated Population'!J$103/'Updated Population'!I$103)</f>
        <v>1.1196366167840519</v>
      </c>
      <c r="K109" s="1">
        <f ca="1">J109*('Updated Population'!K$103/'Updated Population'!J$103)</f>
        <v>1.1120837233935166</v>
      </c>
    </row>
    <row r="110" spans="1:11" x14ac:dyDescent="0.2">
      <c r="A110" t="str">
        <f ca="1">OFFSET(Nelson_Reference,42,2)</f>
        <v>Local Train</v>
      </c>
      <c r="B110" s="4">
        <f ca="1">OFFSET(Nelson_Reference,42,5)</f>
        <v>0.1284956481</v>
      </c>
      <c r="C110" s="4">
        <f ca="1">OFFSET(Nelson_Reference,43,5)</f>
        <v>0.1023821186</v>
      </c>
      <c r="D110" s="4">
        <f ca="1">OFFSET(Nelson_Reference,44,5)</f>
        <v>8.0518164899999994E-2</v>
      </c>
      <c r="E110" s="4">
        <f ca="1">OFFSET(Nelson_Reference,45,5)</f>
        <v>5.0888176200000003E-2</v>
      </c>
      <c r="F110" s="4">
        <f ca="1">OFFSET(Nelson_Reference,46,5)</f>
        <v>3.3986224600000003E-2</v>
      </c>
      <c r="G110" s="4">
        <f ca="1">OFFSET(Nelson_Reference,47,5)</f>
        <v>2.3697154000000002E-2</v>
      </c>
      <c r="H110" s="4">
        <f ca="1">OFFSET(Nelson_Reference,48,5)</f>
        <v>1.4741732E-2</v>
      </c>
      <c r="I110" s="1">
        <f ca="1">H110*('Updated Population'!I$103/'Updated Population'!H$103)</f>
        <v>1.4719289391761599E-2</v>
      </c>
      <c r="J110" s="1">
        <f ca="1">I110*('Updated Population'!J$103/'Updated Population'!I$103)</f>
        <v>1.4650789905234052E-2</v>
      </c>
      <c r="K110" s="1">
        <f ca="1">J110*('Updated Population'!K$103/'Updated Population'!J$103)</f>
        <v>1.4551957969423305E-2</v>
      </c>
    </row>
    <row r="111" spans="1:11" x14ac:dyDescent="0.2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OFFSET(Nelson_Reference,50,5)</f>
        <v>1.8124198828</v>
      </c>
      <c r="D111" s="4">
        <f ca="1">OFFSET(Nelson_Reference,51,5)</f>
        <v>1.7870786502</v>
      </c>
      <c r="E111" s="4">
        <f ca="1">OFFSET(Nelson_Reference,52,5)</f>
        <v>1.7873166658999999</v>
      </c>
      <c r="F111" s="4">
        <f ca="1">OFFSET(Nelson_Reference,53,5)</f>
        <v>1.7194626749999999</v>
      </c>
      <c r="G111" s="4">
        <f ca="1">OFFSET(Nelson_Reference,54,5)</f>
        <v>1.7755771412000001</v>
      </c>
      <c r="H111" s="4">
        <f ca="1">OFFSET(Nelson_Reference,55,5)</f>
        <v>1.8324453614</v>
      </c>
      <c r="I111" s="1">
        <f ca="1">H111*('Updated Population'!I$103/'Updated Population'!H$103)</f>
        <v>1.8296556720090806</v>
      </c>
      <c r="J111" s="1">
        <f ca="1">I111*('Updated Population'!J$103/'Updated Population'!I$103)</f>
        <v>1.8211409624521788</v>
      </c>
      <c r="K111" s="1">
        <f ca="1">J111*('Updated Population'!K$103/'Updated Population'!J$103)</f>
        <v>1.8088558305331759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OFFSET(Nelson_Reference,57,5)</f>
        <v>1.3950265872000001</v>
      </c>
      <c r="D113" s="4">
        <f ca="1">OFFSET(Nelson_Reference,58,5)</f>
        <v>1.4307022274000001</v>
      </c>
      <c r="E113" s="4">
        <f ca="1">OFFSET(Nelson_Reference,59,5)</f>
        <v>1.4528997164999999</v>
      </c>
      <c r="F113" s="4">
        <f ca="1">OFFSET(Nelson_Reference,60,5)</f>
        <v>1.4507889064999999</v>
      </c>
      <c r="G113" s="4">
        <f ca="1">OFFSET(Nelson_Reference,61,5)</f>
        <v>1.4760550403999999</v>
      </c>
      <c r="H113" s="4">
        <f ca="1">OFFSET(Nelson_Reference,62,5)</f>
        <v>1.4904348486000001</v>
      </c>
      <c r="I113" s="1">
        <f ca="1">H113*('Updated Population'!I$103/'Updated Population'!H$103)</f>
        <v>1.4881658312679804</v>
      </c>
      <c r="J113" s="1">
        <f ca="1">I113*('Updated Population'!J$103/'Updated Population'!I$103)</f>
        <v>1.4812403206270421</v>
      </c>
      <c r="K113" s="1">
        <f ca="1">J113*('Updated Population'!K$103/'Updated Population'!J$103)</f>
        <v>1.471248105242382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OFFSET(West_Coast_Reference,1,5)</f>
        <v>4.4539437897000003</v>
      </c>
      <c r="D115" s="4">
        <f ca="1">OFFSET(West_Coast_Reference,2,5)</f>
        <v>3.9772473815999998</v>
      </c>
      <c r="E115" s="4">
        <f ca="1">OFFSET(West_Coast_Reference,3,5)</f>
        <v>3.4907341464999999</v>
      </c>
      <c r="F115" s="4">
        <f ca="1">OFFSET(West_Coast_Reference,4,5)</f>
        <v>3.0950688073000001</v>
      </c>
      <c r="G115" s="4">
        <f ca="1">OFFSET(West_Coast_Reference,5,5)</f>
        <v>2.7792742825999999</v>
      </c>
      <c r="H115" s="4">
        <f ca="1">OFFSET(West_Coast_Reference,6,5)</f>
        <v>2.5520224347</v>
      </c>
      <c r="I115" s="1">
        <f ca="1">H115*('Updated Population'!I$114/'Updated Population'!H$114)</f>
        <v>2.4863910299486203</v>
      </c>
      <c r="J115" s="1">
        <f ca="1">I115*('Updated Population'!J$114/'Updated Population'!I$114)</f>
        <v>2.4147364271025555</v>
      </c>
      <c r="K115" s="1">
        <f ca="1">J115*('Updated Population'!K$114/'Updated Population'!J$114)</f>
        <v>2.3401069461052173</v>
      </c>
    </row>
    <row r="116" spans="1:11" x14ac:dyDescent="0.2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OFFSET(West_Coast_Reference,8,5)</f>
        <v>0.6496205665</v>
      </c>
      <c r="D116" s="4">
        <f ca="1">OFFSET(West_Coast_Reference,9,5)</f>
        <v>0.61162800500000003</v>
      </c>
      <c r="E116" s="4">
        <f ca="1">OFFSET(West_Coast_Reference,10,5)</f>
        <v>0.56921507090000001</v>
      </c>
      <c r="F116" s="4">
        <f ca="1">OFFSET(West_Coast_Reference,11,5)</f>
        <v>0.51175195009999996</v>
      </c>
      <c r="G116" s="4">
        <f ca="1">OFFSET(West_Coast_Reference,12,5)</f>
        <v>0.46584258490000002</v>
      </c>
      <c r="H116" s="4">
        <f ca="1">OFFSET(West_Coast_Reference,13,5)</f>
        <v>0.4228663735</v>
      </c>
      <c r="I116" s="1">
        <f ca="1">H116*('Updated Population'!I$114/'Updated Population'!H$114)</f>
        <v>0.41199134601687004</v>
      </c>
      <c r="J116" s="1">
        <f ca="1">I116*('Updated Population'!J$114/'Updated Population'!I$114)</f>
        <v>0.40011828344574885</v>
      </c>
      <c r="K116" s="1">
        <f ca="1">J116*('Updated Population'!K$114/'Updated Population'!J$114)</f>
        <v>0.38775228792923944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OFFSET(West_Coast_Reference,15,5)</f>
        <v>19.239156645000001</v>
      </c>
      <c r="D117" s="4">
        <f ca="1">OFFSET(West_Coast_Reference,16,5)</f>
        <v>18.054143529000001</v>
      </c>
      <c r="E117" s="4">
        <f ca="1">OFFSET(West_Coast_Reference,17,5)</f>
        <v>16.810062990999999</v>
      </c>
      <c r="F117" s="4">
        <f ca="1">OFFSET(West_Coast_Reference,18,5)</f>
        <v>15.441342178999999</v>
      </c>
      <c r="G117" s="4">
        <f ca="1">OFFSET(West_Coast_Reference,19,5)</f>
        <v>14.485827521999999</v>
      </c>
      <c r="H117" s="4">
        <f ca="1">OFFSET(West_Coast_Reference,20,5)</f>
        <v>13.618298472999999</v>
      </c>
      <c r="I117" s="1">
        <f ca="1">H117*('Updated Population'!I$114/'Updated Population'!H$114)</f>
        <v>13.268071121173591</v>
      </c>
      <c r="J117" s="1">
        <f ca="1">I117*('Updated Population'!J$114/'Updated Population'!I$114)</f>
        <v>12.885702316239204</v>
      </c>
      <c r="K117" s="1">
        <f ca="1">J117*('Updated Population'!K$114/'Updated Population'!J$114)</f>
        <v>12.487458737621798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OFFSET(West_Coast_Reference,22,5)</f>
        <v>9.4384707665000001</v>
      </c>
      <c r="D118" s="4">
        <f ca="1">OFFSET(West_Coast_Reference,23,5)</f>
        <v>8.6746145019000007</v>
      </c>
      <c r="E118" s="4">
        <f ca="1">OFFSET(West_Coast_Reference,24,5)</f>
        <v>8.0035270527000009</v>
      </c>
      <c r="F118" s="4">
        <f ca="1">OFFSET(West_Coast_Reference,25,5)</f>
        <v>7.2595228923999997</v>
      </c>
      <c r="G118" s="4">
        <f ca="1">OFFSET(West_Coast_Reference,26,5)</f>
        <v>6.5447979752999998</v>
      </c>
      <c r="H118" s="4">
        <f ca="1">OFFSET(West_Coast_Reference,27,5)</f>
        <v>5.9129659112999997</v>
      </c>
      <c r="I118" s="1">
        <f ca="1">H118*('Updated Population'!I$114/'Updated Population'!H$114)</f>
        <v>5.7608997485073274</v>
      </c>
      <c r="J118" s="1">
        <f ca="1">I118*('Updated Population'!J$114/'Updated Population'!I$114)</f>
        <v>5.5948780011059069</v>
      </c>
      <c r="K118" s="1">
        <f ca="1">J118*('Updated Population'!K$114/'Updated Population'!J$114)</f>
        <v>5.421963542708073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OFFSET(West_Coast_Reference,29,5)</f>
        <v>0.32214121179999999</v>
      </c>
      <c r="D119" s="4">
        <f ca="1">OFFSET(West_Coast_Reference,30,5)</f>
        <v>0.3590997742</v>
      </c>
      <c r="E119" s="4">
        <f ca="1">OFFSET(West_Coast_Reference,31,5)</f>
        <v>0.34218862729999999</v>
      </c>
      <c r="F119" s="4">
        <f ca="1">OFFSET(West_Coast_Reference,32,5)</f>
        <v>0.31229135479999998</v>
      </c>
      <c r="G119" s="4">
        <f ca="1">OFFSET(West_Coast_Reference,33,5)</f>
        <v>0.2901873525</v>
      </c>
      <c r="H119" s="4">
        <f ca="1">OFFSET(West_Coast_Reference,34,5)</f>
        <v>0.2677556385</v>
      </c>
      <c r="I119" s="1">
        <f ca="1">H119*('Updated Population'!I$114/'Updated Population'!H$114)</f>
        <v>0.26086965723043354</v>
      </c>
      <c r="J119" s="1">
        <f ca="1">I119*('Updated Population'!J$114/'Updated Population'!I$114)</f>
        <v>0.25335172804782141</v>
      </c>
      <c r="K119" s="1">
        <f ca="1">J119*('Updated Population'!K$114/'Updated Population'!J$114)</f>
        <v>0.24552167762833327</v>
      </c>
    </row>
    <row r="120" spans="1:11" x14ac:dyDescent="0.2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OFFSET(West_Coast_Reference,36,5)</f>
        <v>6.5401977200000003E-2</v>
      </c>
      <c r="D120" s="4">
        <f ca="1">OFFSET(West_Coast_Reference,37,5)</f>
        <v>7.0883292000000001E-2</v>
      </c>
      <c r="E120" s="4">
        <f ca="1">OFFSET(West_Coast_Reference,38,5)</f>
        <v>7.4151093599999995E-2</v>
      </c>
      <c r="F120" s="4">
        <f ca="1">OFFSET(West_Coast_Reference,39,5)</f>
        <v>7.68775815E-2</v>
      </c>
      <c r="G120" s="4">
        <f ca="1">OFFSET(West_Coast_Reference,40,5)</f>
        <v>8.0799788400000003E-2</v>
      </c>
      <c r="H120" s="4">
        <f ca="1">OFFSET(West_Coast_Reference,41,5)</f>
        <v>8.1170841699999996E-2</v>
      </c>
      <c r="I120" s="1">
        <f ca="1">H120*('Updated Population'!I$114/'Updated Population'!H$114)</f>
        <v>7.9083337964458128E-2</v>
      </c>
      <c r="J120" s="1">
        <f ca="1">I120*('Updated Population'!J$114/'Updated Population'!I$114)</f>
        <v>7.6804257520019154E-2</v>
      </c>
      <c r="K120" s="1">
        <f ca="1">J120*('Updated Population'!K$114/'Updated Population'!J$114)</f>
        <v>7.4430556683450999E-2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OFFSET(West_Coast_Reference,43,5)</f>
        <v>0.43164286330000001</v>
      </c>
      <c r="D122" s="4">
        <f ca="1">OFFSET(West_Coast_Reference,44,5)</f>
        <v>0.38467216900000001</v>
      </c>
      <c r="E122" s="4">
        <f ca="1">OFFSET(West_Coast_Reference,45,5)</f>
        <v>0.34927639059999999</v>
      </c>
      <c r="F122" s="4">
        <f ca="1">OFFSET(West_Coast_Reference,46,5)</f>
        <v>0.31038678120000002</v>
      </c>
      <c r="G122" s="4">
        <f ca="1">OFFSET(West_Coast_Reference,47,5)</f>
        <v>0.27032787409999998</v>
      </c>
      <c r="H122" s="4">
        <f ca="1">OFFSET(West_Coast_Reference,48,5)</f>
        <v>0.23596655350000001</v>
      </c>
      <c r="I122" s="1">
        <f ca="1">H122*('Updated Population'!I$114/'Updated Population'!H$114)</f>
        <v>0.22989810513137618</v>
      </c>
      <c r="J122" s="1">
        <f ca="1">I122*('Updated Population'!J$114/'Updated Population'!I$114)</f>
        <v>0.22327273638614223</v>
      </c>
      <c r="K122" s="1">
        <f ca="1">J122*('Updated Population'!K$114/'Updated Population'!J$114)</f>
        <v>0.21637230276103353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OFFSET(West_Coast_Reference,50,5)</f>
        <v>2.40422977E-2</v>
      </c>
      <c r="D124" s="4">
        <f ca="1">OFFSET(West_Coast_Reference,51,5)</f>
        <v>2.2316217999999999E-2</v>
      </c>
      <c r="E124" s="4">
        <f ca="1">OFFSET(West_Coast_Reference,52,5)</f>
        <v>1.83684447E-2</v>
      </c>
      <c r="F124" s="4">
        <f ca="1">OFFSET(West_Coast_Reference,53,5)</f>
        <v>1.5582880299999999E-2</v>
      </c>
      <c r="G124" s="4">
        <f ca="1">OFFSET(West_Coast_Reference,54,5)</f>
        <v>1.43053039E-2</v>
      </c>
      <c r="H124" s="4">
        <f ca="1">OFFSET(West_Coast_Reference,55,5)</f>
        <v>1.2843917099999999E-2</v>
      </c>
      <c r="I124" s="1">
        <f ca="1">H124*('Updated Population'!I$114/'Updated Population'!H$114)</f>
        <v>1.2513604830671394E-2</v>
      </c>
      <c r="J124" s="1">
        <f ca="1">I124*('Updated Population'!J$114/'Updated Population'!I$114)</f>
        <v>1.2152978777281519E-2</v>
      </c>
      <c r="K124" s="1">
        <f ca="1">J124*('Updated Population'!K$114/'Updated Population'!J$114)</f>
        <v>1.1777380642205361E-2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OFFSET(Canterbury_Reference,1,5)</f>
        <v>127.2899896</v>
      </c>
      <c r="D126" s="4">
        <f ca="1">OFFSET(Canterbury_Reference,2,5)</f>
        <v>131.65501852</v>
      </c>
      <c r="E126" s="4">
        <f ca="1">OFFSET(Canterbury_Reference,3,5)</f>
        <v>129.05447681999999</v>
      </c>
      <c r="F126" s="4">
        <f ca="1">OFFSET(Canterbury_Reference,4,5)</f>
        <v>125.79500289000001</v>
      </c>
      <c r="G126" s="4">
        <f ca="1">OFFSET(Canterbury_Reference,5,5)</f>
        <v>122.41910043</v>
      </c>
      <c r="H126" s="4">
        <f ca="1">OFFSET(Canterbury_Reference,6,5)</f>
        <v>119.35507585000001</v>
      </c>
      <c r="I126" s="1">
        <f ca="1">H126*('Updated Population'!I$125/'Updated Population'!H$125)</f>
        <v>122.37467904023106</v>
      </c>
      <c r="J126" s="1">
        <f ca="1">I126*('Updated Population'!J$125/'Updated Population'!I$125)</f>
        <v>125.07128138007438</v>
      </c>
      <c r="K126" s="1">
        <f ca="1">J126*('Updated Population'!K$125/'Updated Population'!J$125)</f>
        <v>127.55259589942384</v>
      </c>
    </row>
    <row r="127" spans="1:11" x14ac:dyDescent="0.2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OFFSET(Canterbury_Reference,8,5)</f>
        <v>23.592666787999999</v>
      </c>
      <c r="D127" s="4">
        <f ca="1">OFFSET(Canterbury_Reference,9,5)</f>
        <v>24.178052476000001</v>
      </c>
      <c r="E127" s="4">
        <f ca="1">OFFSET(Canterbury_Reference,10,5)</f>
        <v>23.301780278999999</v>
      </c>
      <c r="F127" s="4">
        <f ca="1">OFFSET(Canterbury_Reference,11,5)</f>
        <v>22.721390919000001</v>
      </c>
      <c r="G127" s="4">
        <f ca="1">OFFSET(Canterbury_Reference,12,5)</f>
        <v>22.162200831</v>
      </c>
      <c r="H127" s="4">
        <f ca="1">OFFSET(Canterbury_Reference,13,5)</f>
        <v>21.741257057999999</v>
      </c>
      <c r="I127" s="1">
        <f ca="1">H127*('Updated Population'!I$125/'Updated Population'!H$125)</f>
        <v>22.291296247405533</v>
      </c>
      <c r="J127" s="1">
        <f ca="1">I127*('Updated Population'!J$125/'Updated Population'!I$125)</f>
        <v>22.782498856395687</v>
      </c>
      <c r="K127" s="1">
        <f ca="1">J127*('Updated Population'!K$125/'Updated Population'!J$125)</f>
        <v>23.234485472153214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OFFSET(Canterbury_Reference,15,5)</f>
        <v>424.91188045000001</v>
      </c>
      <c r="D128" s="4">
        <f ca="1">OFFSET(Canterbury_Reference,16,5)</f>
        <v>455.02604502000003</v>
      </c>
      <c r="E128" s="4">
        <f ca="1">OFFSET(Canterbury_Reference,17,5)</f>
        <v>466.98607525</v>
      </c>
      <c r="F128" s="4">
        <f ca="1">OFFSET(Canterbury_Reference,18,5)</f>
        <v>476.26364869999998</v>
      </c>
      <c r="G128" s="4">
        <f ca="1">OFFSET(Canterbury_Reference,19,5)</f>
        <v>478.04695705</v>
      </c>
      <c r="H128" s="4">
        <f ca="1">OFFSET(Canterbury_Reference,20,5)</f>
        <v>478.14651831999998</v>
      </c>
      <c r="I128" s="1">
        <f ca="1">H128*('Updated Population'!I$125/'Updated Population'!H$125)</f>
        <v>490.24330383024892</v>
      </c>
      <c r="J128" s="1">
        <f ca="1">I128*('Updated Population'!J$125/'Updated Population'!I$125)</f>
        <v>501.04612064308452</v>
      </c>
      <c r="K128" s="1">
        <f ca="1">J128*('Updated Population'!K$125/'Updated Population'!J$125)</f>
        <v>510.98647625707497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OFFSET(Canterbury_Reference,22,5)</f>
        <v>182.69528686000001</v>
      </c>
      <c r="D129" s="4">
        <f ca="1">OFFSET(Canterbury_Reference,23,5)</f>
        <v>189.62871976</v>
      </c>
      <c r="E129" s="4">
        <f ca="1">OFFSET(Canterbury_Reference,24,5)</f>
        <v>190.12078695</v>
      </c>
      <c r="F129" s="4">
        <f ca="1">OFFSET(Canterbury_Reference,25,5)</f>
        <v>190.17923761</v>
      </c>
      <c r="G129" s="4">
        <f ca="1">OFFSET(Canterbury_Reference,26,5)</f>
        <v>189.50835878999999</v>
      </c>
      <c r="H129" s="4">
        <f ca="1">OFFSET(Canterbury_Reference,27,5)</f>
        <v>188.64573161000001</v>
      </c>
      <c r="I129" s="1">
        <f ca="1">H129*('Updated Population'!I$125/'Updated Population'!H$125)</f>
        <v>193.41834181477185</v>
      </c>
      <c r="J129" s="1">
        <f ca="1">I129*('Updated Population'!J$125/'Updated Population'!I$125)</f>
        <v>197.68043555178471</v>
      </c>
      <c r="K129" s="1">
        <f ca="1">J129*('Updated Population'!K$125/'Updated Population'!J$125)</f>
        <v>201.60225780796983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OFFSET(Canterbury_Reference,29,5)</f>
        <v>2.3009829149000001</v>
      </c>
      <c r="D130" s="4">
        <f ca="1">OFFSET(Canterbury_Reference,30,5)</f>
        <v>2.4624834484</v>
      </c>
      <c r="E130" s="4">
        <f ca="1">OFFSET(Canterbury_Reference,31,5)</f>
        <v>2.4726366943000002</v>
      </c>
      <c r="F130" s="4">
        <f ca="1">OFFSET(Canterbury_Reference,32,5)</f>
        <v>2.4845542909999998</v>
      </c>
      <c r="G130" s="4">
        <f ca="1">OFFSET(Canterbury_Reference,33,5)</f>
        <v>2.4453992224999999</v>
      </c>
      <c r="H130" s="4">
        <f ca="1">OFFSET(Canterbury_Reference,34,5)</f>
        <v>2.3995003456999999</v>
      </c>
      <c r="I130" s="1">
        <f ca="1">H130*('Updated Population'!I$125/'Updated Population'!H$125)</f>
        <v>2.4602060915364157</v>
      </c>
      <c r="J130" s="1">
        <f ca="1">I130*('Updated Population'!J$125/'Updated Population'!I$125)</f>
        <v>2.5144182664321133</v>
      </c>
      <c r="K130" s="1">
        <f ca="1">J130*('Updated Population'!K$125/'Updated Population'!J$125)</f>
        <v>2.5643023204161439</v>
      </c>
    </row>
    <row r="131" spans="1:11" x14ac:dyDescent="0.2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OFFSET(Canterbury_Reference,36,5)</f>
        <v>1.465069363</v>
      </c>
      <c r="D131" s="4">
        <f ca="1">OFFSET(Canterbury_Reference,37,5)</f>
        <v>1.5076881365999999</v>
      </c>
      <c r="E131" s="4">
        <f ca="1">OFFSET(Canterbury_Reference,38,5)</f>
        <v>1.4803109759999999</v>
      </c>
      <c r="F131" s="4">
        <f ca="1">OFFSET(Canterbury_Reference,39,5)</f>
        <v>1.4595520885</v>
      </c>
      <c r="G131" s="4">
        <f ca="1">OFFSET(Canterbury_Reference,40,5)</f>
        <v>1.4692609398000001</v>
      </c>
      <c r="H131" s="4">
        <f ca="1">OFFSET(Canterbury_Reference,41,5)</f>
        <v>1.4685398071</v>
      </c>
      <c r="I131" s="1">
        <f ca="1">H131*('Updated Population'!I$125/'Updated Population'!H$125)</f>
        <v>1.5056928770881872</v>
      </c>
      <c r="J131" s="1">
        <f ca="1">I131*('Updated Population'!J$125/'Updated Population'!I$125)</f>
        <v>1.5388717582692084</v>
      </c>
      <c r="K131" s="1">
        <f ca="1">J131*('Updated Population'!K$125/'Updated Population'!J$125)</f>
        <v>1.5694017472089279</v>
      </c>
    </row>
    <row r="132" spans="1:11" x14ac:dyDescent="0.2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1.99248107E-2</v>
      </c>
      <c r="D132" s="4">
        <f ca="1">OFFSET(Canterbury_Reference,44,5)</f>
        <v>1.6459804799999998E-2</v>
      </c>
      <c r="E132" s="4">
        <f ca="1">OFFSET(Canterbury_Reference,45,5)</f>
        <v>1.4009838300000001E-2</v>
      </c>
      <c r="F132" s="4">
        <f ca="1">OFFSET(Canterbury_Reference,46,5)</f>
        <v>1.22507378E-2</v>
      </c>
      <c r="G132" s="4">
        <f ca="1">OFFSET(Canterbury_Reference,47,5)</f>
        <v>9.6489904999999994E-3</v>
      </c>
      <c r="H132" s="4">
        <f ca="1">OFFSET(Canterbury_Reference,48,5)</f>
        <v>7.4421276E-3</v>
      </c>
      <c r="I132" s="1">
        <f ca="1">H132*('Updated Population'!I$125/'Updated Population'!H$125)</f>
        <v>7.6304084257883282E-3</v>
      </c>
      <c r="J132" s="1">
        <f ca="1">I132*('Updated Population'!J$125/'Updated Population'!I$125)</f>
        <v>7.7985492321734178E-3</v>
      </c>
      <c r="K132" s="1">
        <f ca="1">J132*('Updated Population'!K$125/'Updated Population'!J$125)</f>
        <v>7.9532662321604043E-3</v>
      </c>
    </row>
    <row r="133" spans="1:11" x14ac:dyDescent="0.2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18.950914411999999</v>
      </c>
      <c r="D133" s="4">
        <f ca="1">OFFSET(Canterbury_Reference,51,5)</f>
        <v>18.604709035999999</v>
      </c>
      <c r="E133" s="4">
        <f ca="1">OFFSET(Canterbury_Reference,52,5)</f>
        <v>17.364226896000002</v>
      </c>
      <c r="F133" s="4">
        <f ca="1">OFFSET(Canterbury_Reference,53,5)</f>
        <v>16.073011381000001</v>
      </c>
      <c r="G133" s="4">
        <f ca="1">OFFSET(Canterbury_Reference,54,5)</f>
        <v>15.092949816999999</v>
      </c>
      <c r="H133" s="4">
        <f ca="1">OFFSET(Canterbury_Reference,55,5)</f>
        <v>14.25533604</v>
      </c>
      <c r="I133" s="1">
        <f ca="1">H133*('Updated Population'!I$125/'Updated Population'!H$125)</f>
        <v>14.615986459579116</v>
      </c>
      <c r="J133" s="1">
        <f ca="1">I133*('Updated Population'!J$125/'Updated Population'!I$125)</f>
        <v>14.938058832680596</v>
      </c>
      <c r="K133" s="1">
        <f ca="1">J133*('Updated Population'!K$125/'Updated Population'!J$125)</f>
        <v>15.234418011729767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OFFSET(Canterbury_Reference,57,5)</f>
        <v>1.5795513725000001</v>
      </c>
      <c r="D135" s="4">
        <f ca="1">OFFSET(Canterbury_Reference,58,5)</f>
        <v>1.7706479574</v>
      </c>
      <c r="E135" s="4">
        <f ca="1">OFFSET(Canterbury_Reference,59,5)</f>
        <v>1.8259119762</v>
      </c>
      <c r="F135" s="4">
        <f ca="1">OFFSET(Canterbury_Reference,60,5)</f>
        <v>1.8011753214999999</v>
      </c>
      <c r="G135" s="4">
        <f ca="1">OFFSET(Canterbury_Reference,61,5)</f>
        <v>1.6973016487000001</v>
      </c>
      <c r="H135" s="4">
        <f ca="1">OFFSET(Canterbury_Reference,62,5)</f>
        <v>1.5291058887</v>
      </c>
      <c r="I135" s="1">
        <f ca="1">H135*('Updated Population'!I$125/'Updated Population'!H$125)</f>
        <v>1.5677912398410139</v>
      </c>
      <c r="J135" s="1">
        <f ca="1">I135*('Updated Population'!J$125/'Updated Population'!I$125)</f>
        <v>1.6023384971568126</v>
      </c>
      <c r="K135" s="1">
        <f ca="1">J135*('Updated Population'!K$125/'Updated Population'!J$125)</f>
        <v>1.6341276156022018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OFFSET(Otago_Reference,1,5)</f>
        <v>54.287146602</v>
      </c>
      <c r="D137" s="4">
        <f ca="1">OFFSET(Otago_Reference,2,5)</f>
        <v>54.728982379000001</v>
      </c>
      <c r="E137" s="4">
        <f ca="1">OFFSET(Otago_Reference,3,5)</f>
        <v>52.528809662999997</v>
      </c>
      <c r="F137" s="4">
        <f ca="1">OFFSET(Otago_Reference,4,5)</f>
        <v>50.579572689999999</v>
      </c>
      <c r="G137" s="4">
        <f ca="1">OFFSET(Otago_Reference,5,5)</f>
        <v>48.370310379999999</v>
      </c>
      <c r="H137" s="4">
        <f ca="1">OFFSET(Otago_Reference,6,5)</f>
        <v>46.452441802000003</v>
      </c>
      <c r="I137" s="1">
        <f ca="1">H137*('Updated Population'!I$136/'Updated Population'!H$136)</f>
        <v>46.915974106228624</v>
      </c>
      <c r="J137" s="1">
        <f ca="1">I137*('Updated Population'!J$136/'Updated Population'!I$136)</f>
        <v>47.233299977432054</v>
      </c>
      <c r="K137" s="1">
        <f ca="1">J137*('Updated Population'!K$136/'Updated Population'!J$136)</f>
        <v>47.450578169157069</v>
      </c>
    </row>
    <row r="138" spans="1:11" x14ac:dyDescent="0.2">
      <c r="A138" t="str">
        <f ca="1">OFFSET(Otago_Reference,7,2)</f>
        <v>Cyclist</v>
      </c>
      <c r="B138" s="4">
        <f ca="1">OFFSET(Otago_Reference,7,5)</f>
        <v>4.5847179276999999</v>
      </c>
      <c r="C138" s="4">
        <f ca="1">OFFSET(Otago_Reference,8,5)</f>
        <v>4.3579715829000003</v>
      </c>
      <c r="D138" s="4">
        <f ca="1">OFFSET(Otago_Reference,9,5)</f>
        <v>4.4352158516999998</v>
      </c>
      <c r="E138" s="4">
        <f ca="1">OFFSET(Otago_Reference,10,5)</f>
        <v>4.1764183595000004</v>
      </c>
      <c r="F138" s="4">
        <f ca="1">OFFSET(Otago_Reference,11,5)</f>
        <v>3.9884301282000001</v>
      </c>
      <c r="G138" s="4">
        <f ca="1">OFFSET(Otago_Reference,12,5)</f>
        <v>3.8280133262999998</v>
      </c>
      <c r="H138" s="4">
        <f ca="1">OFFSET(Otago_Reference,13,5)</f>
        <v>3.6575988158000001</v>
      </c>
      <c r="I138" s="1">
        <f ca="1">H138*('Updated Population'!I$136/'Updated Population'!H$136)</f>
        <v>3.6940966863373172</v>
      </c>
      <c r="J138" s="1">
        <f ca="1">I138*('Updated Population'!J$136/'Updated Population'!I$136)</f>
        <v>3.7190824714911646</v>
      </c>
      <c r="K138" s="1">
        <f ca="1">J138*('Updated Population'!K$136/'Updated Population'!J$136)</f>
        <v>3.7361906454842564</v>
      </c>
    </row>
    <row r="139" spans="1:11" x14ac:dyDescent="0.2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OFFSET(Otago_Reference,15,5)</f>
        <v>143.18840872000001</v>
      </c>
      <c r="D139" s="4">
        <f ca="1">OFFSET(Otago_Reference,16,5)</f>
        <v>147.76012986000001</v>
      </c>
      <c r="E139" s="4">
        <f ca="1">OFFSET(Otago_Reference,17,5)</f>
        <v>147.83028272000001</v>
      </c>
      <c r="F139" s="4">
        <f ca="1">OFFSET(Otago_Reference,18,5)</f>
        <v>146.98525810000001</v>
      </c>
      <c r="G139" s="4">
        <f ca="1">OFFSET(Otago_Reference,19,5)</f>
        <v>143.30428135</v>
      </c>
      <c r="H139" s="4">
        <f ca="1">OFFSET(Otago_Reference,20,5)</f>
        <v>139.43080549999999</v>
      </c>
      <c r="I139" s="1">
        <f ca="1">H139*('Updated Population'!I$136/'Updated Population'!H$136)</f>
        <v>140.82213564426564</v>
      </c>
      <c r="J139" s="1">
        <f ca="1">I139*('Updated Population'!J$136/'Updated Population'!I$136)</f>
        <v>141.77461521501618</v>
      </c>
      <c r="K139" s="1">
        <f ca="1">J139*('Updated Population'!K$136/'Updated Population'!J$136)</f>
        <v>142.42679348841963</v>
      </c>
    </row>
    <row r="140" spans="1:11" x14ac:dyDescent="0.2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OFFSET(Otago_Reference,22,5)</f>
        <v>65.037863856000001</v>
      </c>
      <c r="D140" s="4">
        <f ca="1">OFFSET(Otago_Reference,23,5)</f>
        <v>65.592450701999994</v>
      </c>
      <c r="E140" s="4">
        <f ca="1">OFFSET(Otago_Reference,24,5)</f>
        <v>63.239191171999998</v>
      </c>
      <c r="F140" s="4">
        <f ca="1">OFFSET(Otago_Reference,25,5)</f>
        <v>61.196358312999998</v>
      </c>
      <c r="G140" s="4">
        <f ca="1">OFFSET(Otago_Reference,26,5)</f>
        <v>58.683979483000002</v>
      </c>
      <c r="H140" s="4">
        <f ca="1">OFFSET(Otago_Reference,27,5)</f>
        <v>56.229205485999998</v>
      </c>
      <c r="I140" s="1">
        <f ca="1">H140*('Updated Population'!I$136/'Updated Population'!H$136)</f>
        <v>56.790296618624765</v>
      </c>
      <c r="J140" s="1">
        <f ca="1">I140*('Updated Population'!J$136/'Updated Population'!I$136)</f>
        <v>57.174409507544063</v>
      </c>
      <c r="K140" s="1">
        <f ca="1">J140*('Updated Population'!K$136/'Updated Population'!J$136)</f>
        <v>57.437417857938385</v>
      </c>
    </row>
    <row r="141" spans="1:11" x14ac:dyDescent="0.2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OFFSET(Otago_Reference,29,5)</f>
        <v>0.77659262890000003</v>
      </c>
      <c r="D141" s="4">
        <f ca="1">OFFSET(Otago_Reference,30,5)</f>
        <v>0.75199531259999997</v>
      </c>
      <c r="E141" s="4">
        <f ca="1">OFFSET(Otago_Reference,31,5)</f>
        <v>0.69849640930000001</v>
      </c>
      <c r="F141" s="4">
        <f ca="1">OFFSET(Otago_Reference,32,5)</f>
        <v>0.65359314769999999</v>
      </c>
      <c r="G141" s="4">
        <f ca="1">OFFSET(Otago_Reference,33,5)</f>
        <v>0.57970852279999996</v>
      </c>
      <c r="H141" s="4">
        <f ca="1">OFFSET(Otago_Reference,34,5)</f>
        <v>0.50574271849999997</v>
      </c>
      <c r="I141" s="1">
        <f ca="1">H141*('Updated Population'!I$136/'Updated Population'!H$136)</f>
        <v>0.51078934422211775</v>
      </c>
      <c r="J141" s="1">
        <f ca="1">I141*('Updated Population'!J$136/'Updated Population'!I$136)</f>
        <v>0.51424417334470429</v>
      </c>
      <c r="K141" s="1">
        <f ca="1">J141*('Updated Population'!K$136/'Updated Population'!J$136)</f>
        <v>0.51660975110748708</v>
      </c>
    </row>
    <row r="142" spans="1:11" x14ac:dyDescent="0.2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OFFSET(Otago_Reference,36,5)</f>
        <v>1.9403006162000001</v>
      </c>
      <c r="D142" s="4">
        <f ca="1">OFFSET(Otago_Reference,37,5)</f>
        <v>1.9016865743</v>
      </c>
      <c r="E142" s="4">
        <f ca="1">OFFSET(Otago_Reference,38,5)</f>
        <v>1.7451137674999999</v>
      </c>
      <c r="F142" s="4">
        <f ca="1">OFFSET(Otago_Reference,39,5)</f>
        <v>1.5557509677000001</v>
      </c>
      <c r="G142" s="4">
        <f ca="1">OFFSET(Otago_Reference,40,5)</f>
        <v>1.3527275229</v>
      </c>
      <c r="H142" s="4">
        <f ca="1">OFFSET(Otago_Reference,41,5)</f>
        <v>1.1668111465</v>
      </c>
      <c r="I142" s="1">
        <f ca="1">H142*('Updated Population'!I$136/'Updated Population'!H$136)</f>
        <v>1.1784543376511161</v>
      </c>
      <c r="J142" s="1">
        <f ca="1">I142*('Updated Population'!J$136/'Updated Population'!I$136)</f>
        <v>1.1864250567183976</v>
      </c>
      <c r="K142" s="1">
        <f ca="1">J142*('Updated Population'!K$136/'Updated Population'!J$136)</f>
        <v>1.1918827378684378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OFFSET(Otago_Reference,43,5)</f>
        <v>3.7319360836</v>
      </c>
      <c r="D144" s="4">
        <f ca="1">OFFSET(Otago_Reference,44,5)</f>
        <v>3.5728952671999998</v>
      </c>
      <c r="E144" s="4">
        <f ca="1">OFFSET(Otago_Reference,45,5)</f>
        <v>3.3080024543</v>
      </c>
      <c r="F144" s="4">
        <f ca="1">OFFSET(Otago_Reference,46,5)</f>
        <v>3.1039717783</v>
      </c>
      <c r="G144" s="4">
        <f ca="1">OFFSET(Otago_Reference,47,5)</f>
        <v>2.8628597602000001</v>
      </c>
      <c r="H144" s="4">
        <f ca="1">OFFSET(Otago_Reference,48,5)</f>
        <v>2.6635616125000001</v>
      </c>
      <c r="I144" s="1">
        <f ca="1">H144*('Updated Population'!I$136/'Updated Population'!H$136)</f>
        <v>2.6901403412772646</v>
      </c>
      <c r="J144" s="1">
        <f ca="1">I144*('Updated Population'!J$136/'Updated Population'!I$136)</f>
        <v>2.7083356605414974</v>
      </c>
      <c r="K144" s="1">
        <f ca="1">J144*('Updated Population'!K$136/'Updated Population'!J$136)</f>
        <v>2.7207942919559445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OFFSET(Otago_Reference,50,5)</f>
        <v>0.74411484989999999</v>
      </c>
      <c r="D146" s="4">
        <f ca="1">OFFSET(Otago_Reference,51,5)</f>
        <v>0.75876270879999996</v>
      </c>
      <c r="E146" s="4">
        <f ca="1">OFFSET(Otago_Reference,52,5)</f>
        <v>0.70367031800000002</v>
      </c>
      <c r="F146" s="4">
        <f ca="1">OFFSET(Otago_Reference,53,5)</f>
        <v>0.64313863940000005</v>
      </c>
      <c r="G146" s="4">
        <f ca="1">OFFSET(Otago_Reference,54,5)</f>
        <v>0.59688975460000004</v>
      </c>
      <c r="H146" s="4">
        <f ca="1">OFFSET(Otago_Reference,55,5)</f>
        <v>0.56622938609999995</v>
      </c>
      <c r="I146" s="1">
        <f ca="1">H146*('Updated Population'!I$136/'Updated Population'!H$136)</f>
        <v>0.57187958664660699</v>
      </c>
      <c r="J146" s="1">
        <f ca="1">I146*('Updated Population'!J$136/'Updated Population'!I$136)</f>
        <v>0.57574761222879356</v>
      </c>
      <c r="K146" s="1">
        <f ca="1">J146*('Updated Population'!K$136/'Updated Population'!J$136)</f>
        <v>0.57839611233644728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OFFSET(Southland_Reference,1,5)</f>
        <v>11.857773808999999</v>
      </c>
      <c r="D148" s="4">
        <f ca="1">OFFSET(Southland_Reference,2,5)</f>
        <v>12.193084632</v>
      </c>
      <c r="E148" s="4">
        <f ca="1">OFFSET(Southland_Reference,3,5)</f>
        <v>11.977231363</v>
      </c>
      <c r="F148" s="4">
        <f ca="1">OFFSET(Southland_Reference,4,5)</f>
        <v>11.594054611000001</v>
      </c>
      <c r="G148" s="4">
        <f ca="1">OFFSET(Southland_Reference,5,5)</f>
        <v>11.001923429</v>
      </c>
      <c r="H148" s="4">
        <f ca="1">OFFSET(Southland_Reference,6,5)</f>
        <v>10.361776565</v>
      </c>
      <c r="I148" s="1">
        <f ca="1">H148*('Updated Population'!I$147/'Updated Population'!H$147)</f>
        <v>10.222974353237127</v>
      </c>
      <c r="J148" s="1">
        <f ca="1">I148*('Updated Population'!J$147/'Updated Population'!I$147)</f>
        <v>10.053925904280947</v>
      </c>
      <c r="K148" s="1">
        <f ca="1">J148*('Updated Population'!K$147/'Updated Population'!J$147)</f>
        <v>9.866423615153332</v>
      </c>
    </row>
    <row r="149" spans="1:11" x14ac:dyDescent="0.2">
      <c r="A149" t="str">
        <f ca="1">OFFSET(Southland_Reference,7,2)</f>
        <v>Cyclist</v>
      </c>
      <c r="B149" s="4">
        <f ca="1">OFFSET(Southland_Reference,7,5)</f>
        <v>1.0312878256</v>
      </c>
      <c r="C149" s="4">
        <f ca="1">OFFSET(Southland_Reference,8,5)</f>
        <v>1.0073890549</v>
      </c>
      <c r="D149" s="4">
        <f ca="1">OFFSET(Southland_Reference,9,5)</f>
        <v>1.059799597</v>
      </c>
      <c r="E149" s="4">
        <f ca="1">OFFSET(Southland_Reference,10,5)</f>
        <v>1.0616554113000001</v>
      </c>
      <c r="F149" s="4">
        <f ca="1">OFFSET(Southland_Reference,11,5)</f>
        <v>1.0604580653</v>
      </c>
      <c r="G149" s="4">
        <f ca="1">OFFSET(Southland_Reference,12,5)</f>
        <v>1.0033851702000001</v>
      </c>
      <c r="H149" s="4">
        <f ca="1">OFFSET(Southland_Reference,13,5)</f>
        <v>0.94226306670000004</v>
      </c>
      <c r="I149" s="1">
        <f ca="1">H149*('Updated Population'!I$147/'Updated Population'!H$147)</f>
        <v>0.92964088778116449</v>
      </c>
      <c r="J149" s="1">
        <f ca="1">I149*('Updated Population'!J$147/'Updated Population'!I$147)</f>
        <v>0.91426822374666172</v>
      </c>
      <c r="K149" s="1">
        <f ca="1">J149*('Updated Population'!K$147/'Updated Population'!J$147)</f>
        <v>0.89721743319367553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OFFSET(Southland_Reference,15,5)</f>
        <v>65.392852241</v>
      </c>
      <c r="D150" s="4">
        <f ca="1">OFFSET(Southland_Reference,16,5)</f>
        <v>68.102487831000005</v>
      </c>
      <c r="E150" s="4">
        <f ca="1">OFFSET(Southland_Reference,17,5)</f>
        <v>67.216676777000004</v>
      </c>
      <c r="F150" s="4">
        <f ca="1">OFFSET(Southland_Reference,18,5)</f>
        <v>66.527659761999999</v>
      </c>
      <c r="G150" s="4">
        <f ca="1">OFFSET(Southland_Reference,19,5)</f>
        <v>65.170134719000004</v>
      </c>
      <c r="H150" s="4">
        <f ca="1">OFFSET(Southland_Reference,20,5)</f>
        <v>63.642317329000001</v>
      </c>
      <c r="I150" s="1">
        <f ca="1">H150*('Updated Population'!I$147/'Updated Population'!H$147)</f>
        <v>62.789790317674715</v>
      </c>
      <c r="J150" s="1">
        <f ca="1">I150*('Updated Population'!J$147/'Updated Population'!I$147)</f>
        <v>61.751490083641009</v>
      </c>
      <c r="K150" s="1">
        <f ca="1">J150*('Updated Population'!K$147/'Updated Population'!J$147)</f>
        <v>60.599845854515181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OFFSET(Southland_Reference,22,5)</f>
        <v>25.446795404</v>
      </c>
      <c r="D151" s="4">
        <f ca="1">OFFSET(Southland_Reference,23,5)</f>
        <v>25.191038403</v>
      </c>
      <c r="E151" s="4">
        <f ca="1">OFFSET(Southland_Reference,24,5)</f>
        <v>24.13937687</v>
      </c>
      <c r="F151" s="4">
        <f ca="1">OFFSET(Southland_Reference,25,5)</f>
        <v>22.951022318</v>
      </c>
      <c r="G151" s="4">
        <f ca="1">OFFSET(Southland_Reference,26,5)</f>
        <v>21.530759351</v>
      </c>
      <c r="H151" s="4">
        <f ca="1">OFFSET(Southland_Reference,27,5)</f>
        <v>20.078304930000002</v>
      </c>
      <c r="I151" s="1">
        <f ca="1">H151*('Updated Population'!I$147/'Updated Population'!H$147)</f>
        <v>19.80934399311327</v>
      </c>
      <c r="J151" s="1">
        <f ca="1">I151*('Updated Population'!J$147/'Updated Population'!I$147)</f>
        <v>19.48177407450002</v>
      </c>
      <c r="K151" s="1">
        <f ca="1">J151*('Updated Population'!K$147/'Updated Population'!J$147)</f>
        <v>19.11844563245527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OFFSET(Southland_Reference,29,5)</f>
        <v>0.4820430745</v>
      </c>
      <c r="D152" s="4">
        <f ca="1">OFFSET(Southland_Reference,30,5)</f>
        <v>0.5437090041</v>
      </c>
      <c r="E152" s="4">
        <f ca="1">OFFSET(Southland_Reference,31,5)</f>
        <v>0.57898426140000003</v>
      </c>
      <c r="F152" s="4">
        <f ca="1">OFFSET(Southland_Reference,32,5)</f>
        <v>0.61023498229999995</v>
      </c>
      <c r="G152" s="4">
        <f ca="1">OFFSET(Southland_Reference,33,5)</f>
        <v>0.62554769750000006</v>
      </c>
      <c r="H152" s="4">
        <f ca="1">OFFSET(Southland_Reference,34,5)</f>
        <v>0.63542328510000001</v>
      </c>
      <c r="I152" s="1">
        <f ca="1">H152*('Updated Population'!I$147/'Updated Population'!H$147)</f>
        <v>0.62691140908875442</v>
      </c>
      <c r="J152" s="1">
        <f ca="1">I152*('Updated Population'!J$147/'Updated Population'!I$147)</f>
        <v>0.61654471954445078</v>
      </c>
      <c r="K152" s="1">
        <f ca="1">J152*('Updated Population'!K$147/'Updated Population'!J$147)</f>
        <v>0.60504637080339796</v>
      </c>
    </row>
    <row r="153" spans="1:11" x14ac:dyDescent="0.2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OFFSET(Southland_Reference,36,5)</f>
        <v>0.68163207020000005</v>
      </c>
      <c r="D153" s="4">
        <f ca="1">OFFSET(Southland_Reference,37,5)</f>
        <v>0.78358841079999997</v>
      </c>
      <c r="E153" s="4">
        <f ca="1">OFFSET(Southland_Reference,38,5)</f>
        <v>0.80952731379999998</v>
      </c>
      <c r="F153" s="4">
        <f ca="1">OFFSET(Southland_Reference,39,5)</f>
        <v>0.79984297199999999</v>
      </c>
      <c r="G153" s="4">
        <f ca="1">OFFSET(Southland_Reference,40,5)</f>
        <v>0.76627698050000004</v>
      </c>
      <c r="H153" s="4">
        <f ca="1">OFFSET(Southland_Reference,41,5)</f>
        <v>0.72578124860000004</v>
      </c>
      <c r="I153" s="1">
        <f ca="1">H153*('Updated Population'!I$147/'Updated Population'!H$147)</f>
        <v>0.71605897347374625</v>
      </c>
      <c r="J153" s="1">
        <f ca="1">I153*('Updated Population'!J$147/'Updated Population'!I$147)</f>
        <v>0.70421812807550255</v>
      </c>
      <c r="K153" s="1">
        <f ca="1">J153*('Updated Population'!K$147/'Updated Population'!J$147)</f>
        <v>0.69108470016719692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OFFSET(Southland_Reference,43,5)</f>
        <v>2.5400170551999999</v>
      </c>
      <c r="D155" s="4">
        <f ca="1">OFFSET(Southland_Reference,44,5)</f>
        <v>2.7237699873999999</v>
      </c>
      <c r="E155" s="4">
        <f ca="1">OFFSET(Southland_Reference,45,5)</f>
        <v>2.7910842603999999</v>
      </c>
      <c r="F155" s="4">
        <f ca="1">OFFSET(Southland_Reference,46,5)</f>
        <v>2.7348446332999998</v>
      </c>
      <c r="G155" s="4">
        <f ca="1">OFFSET(Southland_Reference,47,5)</f>
        <v>2.6345027650000001</v>
      </c>
      <c r="H155" s="4">
        <f ca="1">OFFSET(Southland_Reference,48,5)</f>
        <v>2.5180137083999998</v>
      </c>
      <c r="I155" s="1">
        <f ca="1">H155*('Updated Population'!I$147/'Updated Population'!H$147)</f>
        <v>2.4842834045488518</v>
      </c>
      <c r="J155" s="1">
        <f ca="1">I155*('Updated Population'!J$147/'Updated Population'!I$147)</f>
        <v>2.4432029673105857</v>
      </c>
      <c r="K155" s="1">
        <f ca="1">J155*('Updated Population'!K$147/'Updated Population'!J$147)</f>
        <v>2.3976380652478948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OFFSET(Southland_Reference,50,5)</f>
        <v>0.47008191490000001</v>
      </c>
      <c r="D157" s="4">
        <f ca="1">OFFSET(Southland_Reference,51,5)</f>
        <v>0.54559941469999995</v>
      </c>
      <c r="E157" s="4">
        <f ca="1">OFFSET(Southland_Reference,52,5)</f>
        <v>0.60142967280000004</v>
      </c>
      <c r="F157" s="4">
        <f ca="1">OFFSET(Southland_Reference,53,5)</f>
        <v>0.64104500379999996</v>
      </c>
      <c r="G157" s="4">
        <f ca="1">OFFSET(Southland_Reference,54,5)</f>
        <v>0.64430218370000003</v>
      </c>
      <c r="H157" s="4">
        <f ca="1">OFFSET(Southland_Reference,55,5)</f>
        <v>0.63344300090000005</v>
      </c>
      <c r="I157" s="1">
        <f ca="1">H157*('Updated Population'!I$147/'Updated Population'!H$147)</f>
        <v>0.62495765198332698</v>
      </c>
      <c r="J157" s="1">
        <f ca="1">I157*('Updated Population'!J$147/'Updated Population'!I$147)</f>
        <v>0.61462327002357731</v>
      </c>
      <c r="K157" s="1">
        <f ca="1">J157*('Updated Population'!K$147/'Updated Population'!J$147)</f>
        <v>0.60316075566076011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986.56972308989998</v>
      </c>
      <c r="C159" s="4">
        <f t="shared" ref="C159:K168" ca="1" si="1">C5+C16+C27+C38+C49+C60+C71+C82+C93+C104+C115+C126+C137+C148</f>
        <v>1027.2177273716998</v>
      </c>
      <c r="D159" s="4">
        <f t="shared" ca="1" si="1"/>
        <v>1049.8488944636001</v>
      </c>
      <c r="E159" s="4">
        <f t="shared" ca="1" si="1"/>
        <v>1061.9964531669002</v>
      </c>
      <c r="F159" s="4">
        <f t="shared" ca="1" si="1"/>
        <v>1067.446885973</v>
      </c>
      <c r="G159" s="4">
        <f t="shared" ca="1" si="1"/>
        <v>1070.8448806309998</v>
      </c>
      <c r="H159" s="4">
        <f t="shared" ca="1" si="1"/>
        <v>1070.4464871329001</v>
      </c>
      <c r="I159" s="1">
        <f t="shared" ca="1" si="1"/>
        <v>1105.9141120181507</v>
      </c>
      <c r="J159" s="1">
        <f t="shared" ca="1" si="1"/>
        <v>1148.3378531671194</v>
      </c>
      <c r="K159" s="1">
        <f t="shared" ca="1" si="1"/>
        <v>1191.3498048666529</v>
      </c>
    </row>
    <row r="160" spans="1:11" x14ac:dyDescent="0.2">
      <c r="A160" t="str">
        <f t="shared" ca="1" si="0"/>
        <v>Cyclist</v>
      </c>
      <c r="B160" s="4">
        <f t="shared" ref="B160:H160" ca="1" si="2">B6+B17+B28+B39+B50+B61+B72+B83+B94+B105+B116+B127+B138+B149</f>
        <v>71.074316198400012</v>
      </c>
      <c r="C160" s="4">
        <f t="shared" ca="1" si="2"/>
        <v>71.467669367799999</v>
      </c>
      <c r="D160" s="4">
        <f t="shared" ca="1" si="2"/>
        <v>74.024875820499986</v>
      </c>
      <c r="E160" s="4">
        <f t="shared" ca="1" si="2"/>
        <v>73.8937815325</v>
      </c>
      <c r="F160" s="4">
        <f t="shared" ca="1" si="2"/>
        <v>74.133527478599987</v>
      </c>
      <c r="G160" s="4">
        <f t="shared" ca="1" si="2"/>
        <v>74.575296831100005</v>
      </c>
      <c r="H160" s="4">
        <f t="shared" ca="1" si="2"/>
        <v>75.171599156999989</v>
      </c>
      <c r="I160" s="1">
        <f t="shared" ca="1" si="1"/>
        <v>77.235551519102643</v>
      </c>
      <c r="J160" s="1">
        <f t="shared" ca="1" si="1"/>
        <v>79.572354017680908</v>
      </c>
      <c r="K160" s="1">
        <f t="shared" ca="1" si="1"/>
        <v>81.895131545350594</v>
      </c>
    </row>
    <row r="161" spans="1:11" x14ac:dyDescent="0.2">
      <c r="A161" t="str">
        <f t="shared" ca="1" si="0"/>
        <v>Light Vehicle Driver</v>
      </c>
      <c r="B161" s="4">
        <f t="shared" ref="B161:H161" ca="1" si="3">B7+B18+B29+B40+B51+B62+B73+B84+B95+B106+B117+B128+B139+B150</f>
        <v>3093.3887589700003</v>
      </c>
      <c r="C161" s="4">
        <f t="shared" ca="1" si="3"/>
        <v>3327.7739684760008</v>
      </c>
      <c r="D161" s="4">
        <f t="shared" ca="1" si="3"/>
        <v>3463.7610388009998</v>
      </c>
      <c r="E161" s="4">
        <f t="shared" ca="1" si="3"/>
        <v>3623.0985289140003</v>
      </c>
      <c r="F161" s="4">
        <f t="shared" ca="1" si="3"/>
        <v>3760.3402128769994</v>
      </c>
      <c r="G161" s="4">
        <f t="shared" ca="1" si="3"/>
        <v>3864.0713895789995</v>
      </c>
      <c r="H161" s="4">
        <f t="shared" ca="1" si="3"/>
        <v>3948.8108102299993</v>
      </c>
      <c r="I161" s="1">
        <f t="shared" ca="1" si="1"/>
        <v>4084.0502113554576</v>
      </c>
      <c r="J161" s="1">
        <f t="shared" ca="1" si="1"/>
        <v>4247.1454419684978</v>
      </c>
      <c r="K161" s="1">
        <f t="shared" ca="1" si="1"/>
        <v>4413.0516783159665</v>
      </c>
    </row>
    <row r="162" spans="1:11" x14ac:dyDescent="0.2">
      <c r="A162" t="str">
        <f t="shared" ca="1" si="0"/>
        <v>Light Vehicle Passenger</v>
      </c>
      <c r="B162" s="4">
        <f t="shared" ref="B162:H162" ca="1" si="4">B8+B19+B30+B41+B52+B63+B74+B85+B96+B107+B118+B129+B140+B151</f>
        <v>1512.9377645669999</v>
      </c>
      <c r="C162" s="4">
        <f t="shared" ca="1" si="4"/>
        <v>1549.2233587475002</v>
      </c>
      <c r="D162" s="4">
        <f t="shared" ca="1" si="4"/>
        <v>1582.9689995178996</v>
      </c>
      <c r="E162" s="4">
        <f t="shared" ca="1" si="4"/>
        <v>1624.5800068146998</v>
      </c>
      <c r="F162" s="4">
        <f t="shared" ca="1" si="4"/>
        <v>1662.7897364263999</v>
      </c>
      <c r="G162" s="4">
        <f t="shared" ca="1" si="4"/>
        <v>1693.6377137332997</v>
      </c>
      <c r="H162" s="4">
        <f t="shared" ca="1" si="4"/>
        <v>1719.7935681003</v>
      </c>
      <c r="I162" s="1">
        <f t="shared" ca="1" si="1"/>
        <v>1779.9821560192777</v>
      </c>
      <c r="J162" s="1">
        <f t="shared" ca="1" si="1"/>
        <v>1852.8552345853177</v>
      </c>
      <c r="K162" s="1">
        <f t="shared" ca="1" si="1"/>
        <v>1927.0979293150851</v>
      </c>
    </row>
    <row r="163" spans="1:11" x14ac:dyDescent="0.2">
      <c r="A163" t="str">
        <f t="shared" ca="1" si="0"/>
        <v>Taxi/Vehicle Share</v>
      </c>
      <c r="B163" s="4">
        <f t="shared" ref="B163:H163" ca="1" si="5">B9+B20+B31+B42+B53+B64+B75+B86+B97+B108+B119+B130+B141+B152</f>
        <v>15.600131729099999</v>
      </c>
      <c r="C163" s="4">
        <f t="shared" ca="1" si="5"/>
        <v>17.807690816199997</v>
      </c>
      <c r="D163" s="4">
        <f t="shared" ca="1" si="5"/>
        <v>19.656860827199996</v>
      </c>
      <c r="E163" s="4">
        <f t="shared" ca="1" si="5"/>
        <v>21.172955938999998</v>
      </c>
      <c r="F163" s="4">
        <f t="shared" ca="1" si="5"/>
        <v>22.436900481699993</v>
      </c>
      <c r="G163" s="4">
        <f t="shared" ca="1" si="5"/>
        <v>23.406077470699998</v>
      </c>
      <c r="H163" s="4">
        <f t="shared" ca="1" si="5"/>
        <v>24.241540795200002</v>
      </c>
      <c r="I163" s="1">
        <f t="shared" ca="1" si="1"/>
        <v>25.092166947988204</v>
      </c>
      <c r="J163" s="1">
        <f t="shared" ca="1" si="1"/>
        <v>26.12660465521973</v>
      </c>
      <c r="K163" s="1">
        <f t="shared" ca="1" si="1"/>
        <v>27.181842745336745</v>
      </c>
    </row>
    <row r="164" spans="1:11" x14ac:dyDescent="0.2">
      <c r="A164" t="str">
        <f t="shared" ca="1" si="0"/>
        <v>Motorcyclist</v>
      </c>
      <c r="B164" s="4">
        <f t="shared" ref="B164:H164" ca="1" si="6">B10+B21+B32+B43+B54+B65+B76+B87+B98+B109+B120+B131+B142+B153</f>
        <v>19.272283824500001</v>
      </c>
      <c r="C164" s="4">
        <f t="shared" ca="1" si="6"/>
        <v>19.7087853972</v>
      </c>
      <c r="D164" s="4">
        <f t="shared" ca="1" si="6"/>
        <v>20.020441300599998</v>
      </c>
      <c r="E164" s="4">
        <f t="shared" ca="1" si="6"/>
        <v>20.180577866900002</v>
      </c>
      <c r="F164" s="4">
        <f t="shared" ca="1" si="6"/>
        <v>20.133763140400003</v>
      </c>
      <c r="G164" s="4">
        <f t="shared" ca="1" si="6"/>
        <v>19.674348431400002</v>
      </c>
      <c r="H164" s="4">
        <f t="shared" ca="1" si="6"/>
        <v>19.104353963099999</v>
      </c>
      <c r="I164" s="1">
        <f t="shared" ca="1" si="1"/>
        <v>19.686658778822693</v>
      </c>
      <c r="J164" s="1">
        <f t="shared" ca="1" si="1"/>
        <v>20.383126693905378</v>
      </c>
      <c r="K164" s="1">
        <f t="shared" ca="1" si="1"/>
        <v>21.087382135402709</v>
      </c>
    </row>
    <row r="165" spans="1:11" x14ac:dyDescent="0.2">
      <c r="A165" t="str">
        <f t="shared" ca="1" si="0"/>
        <v>Local Train</v>
      </c>
      <c r="B165" s="4">
        <f t="shared" ref="B165:H165" ca="1" si="7">B11+B22+B33+B44+B55+B66+B77+B88+B99+B110+B121+B132+B143+B154</f>
        <v>21.100326668600001</v>
      </c>
      <c r="C165" s="4">
        <f t="shared" ca="1" si="7"/>
        <v>23.061283803000002</v>
      </c>
      <c r="D165" s="4">
        <f t="shared" ca="1" si="7"/>
        <v>23.882912757500002</v>
      </c>
      <c r="E165" s="4">
        <f t="shared" ca="1" si="7"/>
        <v>24.320956867</v>
      </c>
      <c r="F165" s="4">
        <f t="shared" ca="1" si="7"/>
        <v>24.445773351399996</v>
      </c>
      <c r="G165" s="4">
        <f t="shared" ca="1" si="7"/>
        <v>24.441473745900002</v>
      </c>
      <c r="H165" s="4">
        <f t="shared" ca="1" si="7"/>
        <v>24.278065699400003</v>
      </c>
      <c r="I165" s="1">
        <f t="shared" ca="1" si="1"/>
        <v>25.095737741114874</v>
      </c>
      <c r="J165" s="1">
        <f t="shared" ca="1" si="1"/>
        <v>26.084419004424479</v>
      </c>
      <c r="K165" s="1">
        <f t="shared" ca="1" si="1"/>
        <v>27.08911339087707</v>
      </c>
    </row>
    <row r="166" spans="1:11" x14ac:dyDescent="0.2">
      <c r="A166" t="str">
        <f t="shared" ca="1" si="0"/>
        <v>Local Bus</v>
      </c>
      <c r="B166" s="4">
        <f t="shared" ref="B166:H166" ca="1" si="8">B12+B23+B34+B45+B56+B67+B78+B89+B100+B111+B122+B133+B144+B155</f>
        <v>137.43780974689997</v>
      </c>
      <c r="C166" s="4">
        <f t="shared" ca="1" si="8"/>
        <v>140.4926372736</v>
      </c>
      <c r="D166" s="4">
        <f t="shared" ca="1" si="8"/>
        <v>139.16207877750003</v>
      </c>
      <c r="E166" s="4">
        <f t="shared" ca="1" si="8"/>
        <v>136.50489512519999</v>
      </c>
      <c r="F166" s="4">
        <f t="shared" ca="1" si="8"/>
        <v>132.47674918389998</v>
      </c>
      <c r="G166" s="4">
        <f t="shared" ca="1" si="8"/>
        <v>129.32953735160001</v>
      </c>
      <c r="H166" s="4">
        <f t="shared" ca="1" si="8"/>
        <v>125.80117989870003</v>
      </c>
      <c r="I166" s="1">
        <f t="shared" ca="1" si="1"/>
        <v>130.25406059153568</v>
      </c>
      <c r="J166" s="1">
        <f t="shared" ca="1" si="1"/>
        <v>135.63826150517716</v>
      </c>
      <c r="K166" s="1">
        <f t="shared" ca="1" si="1"/>
        <v>141.12327836806028</v>
      </c>
    </row>
    <row r="167" spans="1:11" x14ac:dyDescent="0.2">
      <c r="A167" t="str">
        <f t="shared" ca="1" si="0"/>
        <v>Local Ferry</v>
      </c>
      <c r="B167" s="4">
        <f t="shared" ref="B167:H167" ca="1" si="9">B13+B24+B35+B46+B57+B68+B79+B90+B101+B112+B123+B134+B145+B156</f>
        <v>4.9488267775000008</v>
      </c>
      <c r="C167" s="4">
        <f t="shared" ca="1" si="9"/>
        <v>6.0179208655000007</v>
      </c>
      <c r="D167" s="4">
        <f t="shared" ca="1" si="9"/>
        <v>6.3409984900999996</v>
      </c>
      <c r="E167" s="4">
        <f t="shared" ca="1" si="9"/>
        <v>6.7169197348000012</v>
      </c>
      <c r="F167" s="4">
        <f t="shared" ca="1" si="9"/>
        <v>6.967298157200001</v>
      </c>
      <c r="G167" s="4">
        <f t="shared" ca="1" si="9"/>
        <v>7.3228726540000011</v>
      </c>
      <c r="H167" s="4">
        <f t="shared" ca="1" si="9"/>
        <v>7.5765904263000001</v>
      </c>
      <c r="I167" s="1">
        <f t="shared" ca="1" si="1"/>
        <v>7.950248812010531</v>
      </c>
      <c r="J167" s="1">
        <f t="shared" ca="1" si="1"/>
        <v>8.4220391499297538</v>
      </c>
      <c r="K167" s="1">
        <f t="shared" ca="1" si="1"/>
        <v>8.9111948025910266</v>
      </c>
    </row>
    <row r="168" spans="1:11" x14ac:dyDescent="0.2">
      <c r="A168" t="str">
        <f t="shared" ca="1" si="0"/>
        <v>Other Household Travel</v>
      </c>
      <c r="B168" s="4">
        <f t="shared" ref="B168:H168" ca="1" si="10">B14+B25+B36+B47+B58+B69+B80+B91+B102+B113+B124+B135+B146+B157</f>
        <v>10.3599389081</v>
      </c>
      <c r="C168" s="4">
        <f t="shared" ca="1" si="10"/>
        <v>10.957019359899999</v>
      </c>
      <c r="D168" s="4">
        <f t="shared" ca="1" si="10"/>
        <v>11.5826711586</v>
      </c>
      <c r="E168" s="4">
        <f t="shared" ca="1" si="10"/>
        <v>12.0271205813</v>
      </c>
      <c r="F168" s="4">
        <f t="shared" ca="1" si="10"/>
        <v>12.321307220300001</v>
      </c>
      <c r="G168" s="4">
        <f t="shared" ca="1" si="10"/>
        <v>12.471647655200002</v>
      </c>
      <c r="H168" s="4">
        <f t="shared" ca="1" si="10"/>
        <v>12.3913400263</v>
      </c>
      <c r="I168" s="1">
        <f t="shared" ca="1" si="1"/>
        <v>12.77627800354777</v>
      </c>
      <c r="J168" s="1">
        <f t="shared" ca="1" si="1"/>
        <v>13.239838974148951</v>
      </c>
      <c r="K168" s="1">
        <f t="shared" ca="1" si="1"/>
        <v>13.710009309946416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02"/>
  <sheetViews>
    <sheetView topLeftCell="A50" workbookViewId="0">
      <selection activeCell="K182" sqref="K18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70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Distance Tables Sup #1'!B5*(1+'Other Assumptions'!D$44)*(1+'Active Mode Assumptions'!B9)</f>
        <v>17.849116999</v>
      </c>
      <c r="C5" s="4">
        <f ca="1">C159*'Total Distance Tables Sup #1'!C5*(1+'Other Assumptions'!G$44)*(1+'Active Mode Assumptions'!C9)</f>
        <v>18.593427401757175</v>
      </c>
      <c r="D5" s="4">
        <f ca="1">D159*'Total Distance Tables Sup #1'!D5*(1+'Other Assumptions'!H$44)*(1+'Active Mode Assumptions'!D9)</f>
        <v>19.405163052384665</v>
      </c>
      <c r="E5" s="4">
        <f ca="1">E159*'Total Distance Tables Sup #1'!E5*(1+'Other Assumptions'!I$44)*(1+'Active Mode Assumptions'!E9)</f>
        <v>19.852230391859777</v>
      </c>
      <c r="F5" s="4">
        <f ca="1">F159*'Total Distance Tables Sup #1'!F5*(1+'Other Assumptions'!J$44)*(1+'Active Mode Assumptions'!F9)</f>
        <v>20.089328352401985</v>
      </c>
      <c r="G5" s="4">
        <f ca="1">G159*'Total Distance Tables Sup #1'!G5*(1+'Other Assumptions'!K$44)*(1+'Active Mode Assumptions'!G9)</f>
        <v>20.294099418998865</v>
      </c>
      <c r="H5" s="4">
        <f ca="1">H159*'Total Distance Tables Sup #1'!H5*(1+'Other Assumptions'!L$44)*(1+'Active Mode Assumptions'!H9)</f>
        <v>20.347709488439389</v>
      </c>
      <c r="I5" s="1">
        <f ca="1">I159*'Total Distance Tables Sup #1'!I5*(1+'Other Assumptions'!M$44)*(1+'Active Mode Assumptions'!I9)</f>
        <v>20.823802849551146</v>
      </c>
      <c r="J5" s="1">
        <f ca="1">J159*'Total Distance Tables Sup #1'!J5*(1+'Other Assumptions'!N$44)*(1+'Active Mode Assumptions'!J9)</f>
        <v>21.243497139644468</v>
      </c>
      <c r="K5" s="1">
        <f ca="1">K159*'Total Distance Tables Sup #1'!K5*(1+'Other Assumptions'!O$44)*(1+'Active Mode Assumptions'!K9)</f>
        <v>21.61935943654505</v>
      </c>
    </row>
    <row r="6" spans="1:11" x14ac:dyDescent="0.2">
      <c r="A6" t="str">
        <f ca="1">OFFSET(Northland_Reference,7,2)</f>
        <v>Cyclist</v>
      </c>
      <c r="B6" s="4">
        <f ca="1">B160*'Total Distance Tables Sup #1'!B6*(1+'Other Assumptions'!D$44)*(1+'Active Mode Assumptions'!B18)</f>
        <v>1.0072239942000001</v>
      </c>
      <c r="C6" s="4">
        <f ca="1">C160*'Total Distance Tables Sup #1'!C6*(1+'Other Assumptions'!G$44)*(1+'Active Mode Assumptions'!C18)</f>
        <v>1.0752026625000661</v>
      </c>
      <c r="D6" s="4">
        <f ca="1">D160*'Total Distance Tables Sup #1'!D6*(1+'Other Assumptions'!H$44)*(1+'Active Mode Assumptions'!D18)</f>
        <v>1.2794691185531406</v>
      </c>
      <c r="E6" s="4">
        <f ca="1">E160*'Total Distance Tables Sup #1'!E6*(1+'Other Assumptions'!I$44)*(1+'Active Mode Assumptions'!E18)</f>
        <v>1.4347658243010681</v>
      </c>
      <c r="F6" s="4">
        <f ca="1">F160*'Total Distance Tables Sup #1'!F6*(1+'Other Assumptions'!J$44)*(1+'Active Mode Assumptions'!F18)</f>
        <v>1.6125245930250742</v>
      </c>
      <c r="G6" s="4">
        <f ca="1">G160*'Total Distance Tables Sup #1'!G6*(1+'Other Assumptions'!K$44)*(1+'Active Mode Assumptions'!G18)</f>
        <v>1.8230987369075939</v>
      </c>
      <c r="H6" s="4">
        <f ca="1">H160*'Total Distance Tables Sup #1'!H6*(1+'Other Assumptions'!L$44)*(1+'Active Mode Assumptions'!H18)</f>
        <v>2.0378195606631557</v>
      </c>
      <c r="I6" s="1">
        <f ca="1">I160*'Total Distance Tables Sup #1'!I6*(1+'Other Assumptions'!M$44)*(1+'Active Mode Assumptions'!I18)</f>
        <v>2.100698421386153</v>
      </c>
      <c r="J6" s="1">
        <f ca="1">J160*'Total Distance Tables Sup #1'!J6*(1+'Other Assumptions'!N$44)*(1+'Active Mode Assumptions'!J18)</f>
        <v>2.1651112411254898</v>
      </c>
      <c r="K6" s="1">
        <f ca="1">K160*'Total Distance Tables Sup #1'!K6*(1+'Other Assumptions'!O$44)*(1+'Active Mode Assumptions'!K18)</f>
        <v>2.2265732226054373</v>
      </c>
    </row>
    <row r="7" spans="1:11" x14ac:dyDescent="0.2">
      <c r="A7" t="str">
        <f ca="1">OFFSET(Northland_Reference,14,2)</f>
        <v>Light Vehicle Driver</v>
      </c>
      <c r="B7" s="4">
        <f ca="1">B161*'Total Distance Tables Sup #1'!B7*(1+'Other Assumptions'!D$44)-(B5*'Active Mode Assumptions'!B9*'Active Mode Assumptions'!B14/(1+'Active Mode Assumptions'!B9))-(B6*'Active Mode Assumptions'!B18*'Active Mode Assumptions'!B23/(1+'Active Mode Assumptions'!B18))</f>
        <v>1011.4273062</v>
      </c>
      <c r="C7" s="4">
        <f ca="1">C161*'Total Distance Tables Sup #1'!C7*(1+'Other Assumptions'!G$44)-(C5*'Active Mode Assumptions'!C9*'Active Mode Assumptions'!C14/(1+'Active Mode Assumptions'!C9))-(C6*'Active Mode Assumptions'!C18*'Active Mode Assumptions'!C23/(1+'Active Mode Assumptions'!C18))</f>
        <v>1097.7500660377677</v>
      </c>
      <c r="D7" s="4">
        <f ca="1">D161*'Total Distance Tables Sup #1'!D7*(1+'Other Assumptions'!H$44)-(D5*'Active Mode Assumptions'!D9*'Active Mode Assumptions'!D14/(1+'Active Mode Assumptions'!D9))-(D6*'Active Mode Assumptions'!D18*'Active Mode Assumptions'!D23/(1+'Active Mode Assumptions'!D18))</f>
        <v>1158.3705244046166</v>
      </c>
      <c r="E7" s="4">
        <f ca="1">E161*'Total Distance Tables Sup #1'!E7*(1+'Other Assumptions'!I$44)-(E5*'Active Mode Assumptions'!E9*'Active Mode Assumptions'!E14/(1+'Active Mode Assumptions'!E9))-(E6*'Active Mode Assumptions'!E18*'Active Mode Assumptions'!E23/(1+'Active Mode Assumptions'!E18))</f>
        <v>1215.5941475417151</v>
      </c>
      <c r="F7" s="4">
        <f ca="1">F161*'Total Distance Tables Sup #1'!F7*(1+'Other Assumptions'!J$44)-(F5*'Active Mode Assumptions'!F9*'Active Mode Assumptions'!F14/(1+'Active Mode Assumptions'!F9))-(F6*'Active Mode Assumptions'!F18*'Active Mode Assumptions'!F23/(1+'Active Mode Assumptions'!F18))</f>
        <v>1258.1333150408714</v>
      </c>
      <c r="G7" s="4">
        <f ca="1">G161*'Total Distance Tables Sup #1'!G7*(1+'Other Assumptions'!K$44)-(G5*'Active Mode Assumptions'!G9*'Active Mode Assumptions'!G14/(1+'Active Mode Assumptions'!G9))-(G6*'Active Mode Assumptions'!G18*'Active Mode Assumptions'!G23/(1+'Active Mode Assumptions'!G18))</f>
        <v>1284.7190576040132</v>
      </c>
      <c r="H7" s="4">
        <f ca="1">H161*'Total Distance Tables Sup #1'!H7*(1+'Other Assumptions'!L$44)-(H5*'Active Mode Assumptions'!H9*'Active Mode Assumptions'!H14/(1+'Active Mode Assumptions'!H9))-(H6*'Active Mode Assumptions'!H18*'Active Mode Assumptions'!H23/(1+'Active Mode Assumptions'!H18))</f>
        <v>1298.6482464109047</v>
      </c>
      <c r="I7" s="1">
        <f ca="1">I161*'Total Distance Tables Sup #1'!I7*(1+'Other Assumptions'!M$44)-(I5*'Active Mode Assumptions'!I9*'Active Mode Assumptions'!I14/(1+'Active Mode Assumptions'!I9))-(I6*'Active Mode Assumptions'!I18*'Active Mode Assumptions'!I23/(1+'Active Mode Assumptions'!I18))</f>
        <v>1328.5473487427378</v>
      </c>
      <c r="J7" s="1">
        <f ca="1">J161*'Total Distance Tables Sup #1'!J7*(1+'Other Assumptions'!N$44)-(J5*'Active Mode Assumptions'!J9*'Active Mode Assumptions'!J14/(1+'Active Mode Assumptions'!J9))-(J6*'Active Mode Assumptions'!J18*'Active Mode Assumptions'!J23/(1+'Active Mode Assumptions'!J18))</f>
        <v>1354.3443987722062</v>
      </c>
      <c r="K7" s="1">
        <f ca="1">K161*'Total Distance Tables Sup #1'!K7*(1+'Other Assumptions'!O$44)-(K5*'Active Mode Assumptions'!K9*'Active Mode Assumptions'!K14/(1+'Active Mode Assumptions'!K9))-(K6*'Active Mode Assumptions'!K18*'Active Mode Assumptions'!K23/(1+'Active Mode Assumptions'!K18))</f>
        <v>1377.24441157158</v>
      </c>
    </row>
    <row r="8" spans="1:11" x14ac:dyDescent="0.2">
      <c r="A8" t="str">
        <f ca="1">OFFSET(Northland_Reference,21,2)</f>
        <v>Light Vehicle Passenger</v>
      </c>
      <c r="B8" s="4">
        <f ca="1">B162*'Total Distance Tables Sup #1'!B8*(1+'Other Assumptions'!D$44)-(B5*'Active Mode Assumptions'!B9*'Active Mode Assumptions'!B15/(1+'Active Mode Assumptions'!B9))-(B6*'Active Mode Assumptions'!B18*'Active Mode Assumptions'!B24/(1+'Active Mode Assumptions'!B18))</f>
        <v>666.23785996000004</v>
      </c>
      <c r="C8" s="4">
        <f ca="1">C162*'Total Distance Tables Sup #1'!C8*(1+'Other Assumptions'!G$44)-(C5*'Active Mode Assumptions'!C9*'Active Mode Assumptions'!C15/(1+'Active Mode Assumptions'!C9))-(C6*'Active Mode Assumptions'!C18*'Active Mode Assumptions'!C24/(1+'Active Mode Assumptions'!C18))</f>
        <v>692.46159028338491</v>
      </c>
      <c r="D8" s="4">
        <f ca="1">D162*'Total Distance Tables Sup #1'!D8*(1+'Other Assumptions'!H$44)-(D5*'Active Mode Assumptions'!D9*'Active Mode Assumptions'!D15/(1+'Active Mode Assumptions'!D9))-(D6*'Active Mode Assumptions'!D18*'Active Mode Assumptions'!D24/(1+'Active Mode Assumptions'!D18))</f>
        <v>723.39686692545342</v>
      </c>
      <c r="E8" s="4">
        <f ca="1">E162*'Total Distance Tables Sup #1'!E8*(1+'Other Assumptions'!I$44)-(E5*'Active Mode Assumptions'!E9*'Active Mode Assumptions'!E15/(1+'Active Mode Assumptions'!E9))-(E6*'Active Mode Assumptions'!E18*'Active Mode Assumptions'!E24/(1+'Active Mode Assumptions'!E18))</f>
        <v>749.3665661992784</v>
      </c>
      <c r="F8" s="4">
        <f ca="1">F162*'Total Distance Tables Sup #1'!F8*(1+'Other Assumptions'!J$44)-(F5*'Active Mode Assumptions'!F9*'Active Mode Assumptions'!F15/(1+'Active Mode Assumptions'!F9))-(F6*'Active Mode Assumptions'!F18*'Active Mode Assumptions'!F24/(1+'Active Mode Assumptions'!F18))</f>
        <v>766.73771708477193</v>
      </c>
      <c r="G8" s="4">
        <f ca="1">G162*'Total Distance Tables Sup #1'!G8*(1+'Other Assumptions'!K$44)-(G5*'Active Mode Assumptions'!G9*'Active Mode Assumptions'!G15/(1+'Active Mode Assumptions'!G9))-(G6*'Active Mode Assumptions'!G18*'Active Mode Assumptions'!G24/(1+'Active Mode Assumptions'!G18))</f>
        <v>778.4548351437337</v>
      </c>
      <c r="H8" s="4">
        <f ca="1">H162*'Total Distance Tables Sup #1'!H8*(1+'Other Assumptions'!L$44)-(H5*'Active Mode Assumptions'!H9*'Active Mode Assumptions'!H15/(1+'Active Mode Assumptions'!H9))-(H6*'Active Mode Assumptions'!H18*'Active Mode Assumptions'!H24/(1+'Active Mode Assumptions'!H18))</f>
        <v>783.62487026087229</v>
      </c>
      <c r="I8" s="1">
        <f ca="1">I162*'Total Distance Tables Sup #1'!I8*(1+'Other Assumptions'!M$44)-(I5*'Active Mode Assumptions'!I9*'Active Mode Assumptions'!I15/(1+'Active Mode Assumptions'!I9))-(I6*'Active Mode Assumptions'!I18*'Active Mode Assumptions'!I24/(1+'Active Mode Assumptions'!I18))</f>
        <v>802.37222711700304</v>
      </c>
      <c r="J8" s="1">
        <f ca="1">J162*'Total Distance Tables Sup #1'!J8*(1+'Other Assumptions'!N$44)-(J5*'Active Mode Assumptions'!J9*'Active Mode Assumptions'!J15/(1+'Active Mode Assumptions'!J9))-(J6*'Active Mode Assumptions'!J18*'Active Mode Assumptions'!J24/(1+'Active Mode Assumptions'!J18))</f>
        <v>818.8543472299981</v>
      </c>
      <c r="K8" s="1">
        <f ca="1">K162*'Total Distance Tables Sup #1'!K8*(1+'Other Assumptions'!O$44)-(K5*'Active Mode Assumptions'!K9*'Active Mode Assumptions'!K15/(1+'Active Mode Assumptions'!K9))-(K6*'Active Mode Assumptions'!K18*'Active Mode Assumptions'!K24/(1+'Active Mode Assumptions'!K18))</f>
        <v>833.61190606001571</v>
      </c>
    </row>
    <row r="9" spans="1:11" x14ac:dyDescent="0.2">
      <c r="A9" t="str">
        <f ca="1">OFFSET(Northland_Reference,28,2)</f>
        <v>Taxi/Vehicle Share</v>
      </c>
      <c r="B9" s="4">
        <f ca="1">B163*'Total Distance Tables Sup #1'!B9*(1+'Other Assumptions'!D$44)</f>
        <v>0.75976041549999995</v>
      </c>
      <c r="C9" s="4">
        <f ca="1">C163*'Total Distance Tables Sup #1'!C9*(1+'Other Assumptions'!G$44)</f>
        <v>0.87533110207124132</v>
      </c>
      <c r="D9" s="4">
        <f ca="1">D163*'Total Distance Tables Sup #1'!D9*(1+'Other Assumptions'!H$44)</f>
        <v>1.0074532568605015</v>
      </c>
      <c r="E9" s="4">
        <f ca="1">E163*'Total Distance Tables Sup #1'!E9*(1+'Other Assumptions'!I$44)</f>
        <v>1.1267348792333578</v>
      </c>
      <c r="F9" s="4">
        <f ca="1">F163*'Total Distance Tables Sup #1'!F9*(1+'Other Assumptions'!J$44)</f>
        <v>1.2253343667865493</v>
      </c>
      <c r="G9" s="4">
        <f ca="1">G163*'Total Distance Tables Sup #1'!G9*(1+'Other Assumptions'!K$44)</f>
        <v>1.2978925743834062</v>
      </c>
      <c r="H9" s="4">
        <f ca="1">H163*'Total Distance Tables Sup #1'!H9*(1+'Other Assumptions'!L$44)</f>
        <v>1.3539332987067054</v>
      </c>
      <c r="I9" s="1">
        <f ca="1">I163*'Total Distance Tables Sup #1'!I9*(1+'Other Assumptions'!M$44)</f>
        <v>1.3877023906710293</v>
      </c>
      <c r="J9" s="1">
        <f ca="1">J163*'Total Distance Tables Sup #1'!J9*(1+'Other Assumptions'!N$44)</f>
        <v>1.4185498887401653</v>
      </c>
      <c r="K9" s="1">
        <f ca="1">K163*'Total Distance Tables Sup #1'!K9*(1+'Other Assumptions'!O$44)</f>
        <v>1.4465986538673679</v>
      </c>
    </row>
    <row r="10" spans="1:11" x14ac:dyDescent="0.2">
      <c r="A10" t="str">
        <f ca="1">OFFSET(Northland_Reference,35,2)</f>
        <v>Motorcyclist</v>
      </c>
      <c r="B10" s="4">
        <f ca="1">B164*'Total Distance Tables Sup #1'!B10*(1+'Other Assumptions'!D$44)</f>
        <v>9.2423909657000003</v>
      </c>
      <c r="C10" s="4">
        <f ca="1">C164*'Total Distance Tables Sup #1'!C10*(1+'Other Assumptions'!G$44)</f>
        <v>9.9632092377422943</v>
      </c>
      <c r="D10" s="4">
        <f ca="1">D164*'Total Distance Tables Sup #1'!D10*(1+'Other Assumptions'!H$44)</f>
        <v>10.558050803460839</v>
      </c>
      <c r="E10" s="4">
        <f ca="1">E164*'Total Distance Tables Sup #1'!E10*(1+'Other Assumptions'!I$44)</f>
        <v>10.831698849892621</v>
      </c>
      <c r="F10" s="4">
        <f ca="1">F164*'Total Distance Tables Sup #1'!F10*(1+'Other Assumptions'!J$44)</f>
        <v>10.839925199426119</v>
      </c>
      <c r="G10" s="4">
        <f ca="1">G164*'Total Distance Tables Sup #1'!G10*(1+'Other Assumptions'!K$44)</f>
        <v>10.589396826510015</v>
      </c>
      <c r="H10" s="4">
        <f ca="1">H164*'Total Distance Tables Sup #1'!H10*(1+'Other Assumptions'!L$44)</f>
        <v>10.219275489006334</v>
      </c>
      <c r="I10" s="1">
        <f ca="1">I164*'Total Distance Tables Sup #1'!I10*(1+'Other Assumptions'!M$44)</f>
        <v>10.48135329693687</v>
      </c>
      <c r="J10" s="1">
        <f ca="1">J164*'Total Distance Tables Sup #1'!J10*(1+'Other Assumptions'!N$44)</f>
        <v>10.713730815030242</v>
      </c>
      <c r="K10" s="1">
        <f ca="1">K164*'Total Distance Tables Sup #1'!K10*(1+'Other Assumptions'!O$44)</f>
        <v>10.923114359276667</v>
      </c>
    </row>
    <row r="11" spans="1:11" x14ac:dyDescent="0.2">
      <c r="A11" t="str">
        <f ca="1">OFFSET(Auckland_Reference,42,2)</f>
        <v>Local Train</v>
      </c>
      <c r="B11" s="4">
        <f ca="1">B165*'Total Distance Tables Sup #1'!B11*(1+'Other Assumptions'!D$44)</f>
        <v>0</v>
      </c>
      <c r="C11" s="4">
        <f ca="1">C165*'Total Distance Tables Sup #1'!C11*(1+'Other Assumptions'!G$44)</f>
        <v>0</v>
      </c>
      <c r="D11" s="4">
        <f ca="1">D165*'Total Distance Tables Sup #1'!D11*(1+'Other Assumptions'!H$44)</f>
        <v>0</v>
      </c>
      <c r="E11" s="4">
        <f ca="1">E165*'Total Distance Tables Sup #1'!E11*(1+'Other Assumptions'!I$44)</f>
        <v>0</v>
      </c>
      <c r="F11" s="4">
        <f ca="1">F165*'Total Distance Tables Sup #1'!F11*(1+'Other Assumptions'!J$44)</f>
        <v>0</v>
      </c>
      <c r="G11" s="4">
        <f ca="1">G165*'Total Distance Tables Sup #1'!G11*(1+'Other Assumptions'!K$44)</f>
        <v>0</v>
      </c>
      <c r="H11" s="4">
        <f ca="1">H165*'Total Distance Tables Sup #1'!H11*(1+'Other Assumptions'!L$44)</f>
        <v>0</v>
      </c>
      <c r="I11" s="1">
        <f ca="1">I165*'Total Distance Tables Sup #1'!I11*(1+'Other Assumptions'!M$44)</f>
        <v>0</v>
      </c>
      <c r="J11" s="1">
        <f ca="1">J165*'Total Distance Tables Sup #1'!J11*(1+'Other Assumptions'!N$44)</f>
        <v>0</v>
      </c>
      <c r="K11" s="1">
        <f ca="1">K165*'Total Distance Tables Sup #1'!K11*(1+'Other Assumptions'!O$44)</f>
        <v>0</v>
      </c>
    </row>
    <row r="12" spans="1:11" x14ac:dyDescent="0.2">
      <c r="A12" t="str">
        <f ca="1">OFFSET(Northland_Reference,42,2)</f>
        <v>Local Bus</v>
      </c>
      <c r="B12" s="4">
        <f ca="1">B166*'Total Distance Tables Sup #1'!B12*(1+'Other Assumptions'!D$44)</f>
        <v>44.734594063999999</v>
      </c>
      <c r="C12" s="4">
        <f ca="1">C166*'Total Distance Tables Sup #1'!C12*(1+'Other Assumptions'!G$44)</f>
        <v>41.283848159268807</v>
      </c>
      <c r="D12" s="4">
        <f ca="1">D166*'Total Distance Tables Sup #1'!D12*(1+'Other Assumptions'!H$44)</f>
        <v>41.947038823047691</v>
      </c>
      <c r="E12" s="4">
        <f ca="1">E166*'Total Distance Tables Sup #1'!E12*(1+'Other Assumptions'!I$44)</f>
        <v>41.630207567281708</v>
      </c>
      <c r="F12" s="4">
        <f ca="1">F166*'Total Distance Tables Sup #1'!F12*(1+'Other Assumptions'!J$44)</f>
        <v>40.843691837901908</v>
      </c>
      <c r="G12" s="4">
        <f ca="1">G166*'Total Distance Tables Sup #1'!G12*(1+'Other Assumptions'!K$44)</f>
        <v>40.481395047687904</v>
      </c>
      <c r="H12" s="4">
        <f ca="1">H166*'Total Distance Tables Sup #1'!H12*(1+'Other Assumptions'!L$44)</f>
        <v>40.045594917517874</v>
      </c>
      <c r="I12" s="1">
        <f ca="1">I166*'Total Distance Tables Sup #1'!I12*(1+'Other Assumptions'!M$44)</f>
        <v>41.10855347207017</v>
      </c>
      <c r="J12" s="1">
        <f ca="1">J166*'Total Distance Tables Sup #1'!J12*(1+'Other Assumptions'!N$44)</f>
        <v>42.081064020576292</v>
      </c>
      <c r="K12" s="1">
        <f ca="1">K166*'Total Distance Tables Sup #1'!K12*(1+'Other Assumptions'!O$44)</f>
        <v>42.970875154938966</v>
      </c>
    </row>
    <row r="13" spans="1:11" x14ac:dyDescent="0.2">
      <c r="A13" t="str">
        <f ca="1">OFFSET(Northland_Reference,49,2)</f>
        <v>Local Ferry</v>
      </c>
      <c r="B13" s="4">
        <f ca="1">B167*'Total Distance Tables Sup #1'!B13*(1+'Other Assumptions'!D$44)</f>
        <v>0</v>
      </c>
      <c r="C13" s="4">
        <f ca="1">C167*'Total Distance Tables Sup #1'!C13*(1+'Other Assumptions'!G$44)</f>
        <v>0</v>
      </c>
      <c r="D13" s="4">
        <f ca="1">D167*'Total Distance Tables Sup #1'!D13*(1+'Other Assumptions'!H$44)</f>
        <v>0</v>
      </c>
      <c r="E13" s="4">
        <f ca="1">E167*'Total Distance Tables Sup #1'!E13*(1+'Other Assumptions'!I$44)</f>
        <v>0</v>
      </c>
      <c r="F13" s="4">
        <f ca="1">F167*'Total Distance Tables Sup #1'!F13*(1+'Other Assumptions'!J$44)</f>
        <v>0</v>
      </c>
      <c r="G13" s="4">
        <f ca="1">G167*'Total Distance Tables Sup #1'!G13*(1+'Other Assumptions'!K$44)</f>
        <v>0</v>
      </c>
      <c r="H13" s="4">
        <f ca="1">H167*'Total Distance Tables Sup #1'!H13*(1+'Other Assumptions'!L$44)</f>
        <v>0</v>
      </c>
      <c r="I13" s="1">
        <f ca="1">I167*'Total Distance Tables Sup #1'!I13*(1+'Other Assumptions'!M$44)</f>
        <v>0</v>
      </c>
      <c r="J13" s="1">
        <f ca="1">J167*'Total Distance Tables Sup #1'!J13*(1+'Other Assumptions'!N$44)</f>
        <v>0</v>
      </c>
      <c r="K13" s="1">
        <f ca="1">K167*'Total Distance Tables Sup #1'!K13*(1+'Other Assumptions'!O$44)</f>
        <v>0</v>
      </c>
    </row>
    <row r="14" spans="1:11" x14ac:dyDescent="0.2">
      <c r="A14" t="str">
        <f ca="1">OFFSET(Northland_Reference,56,2)</f>
        <v>Other Household Travel</v>
      </c>
      <c r="B14" s="4">
        <f ca="1">B168*'Total Distance Tables Sup #1'!B14*(1+'Other Assumptions'!D$44)</f>
        <v>0</v>
      </c>
      <c r="C14" s="4">
        <f ca="1">C168*'Total Distance Tables Sup #1'!C14*(1+'Other Assumptions'!G$44)</f>
        <v>0</v>
      </c>
      <c r="D14" s="4">
        <f ca="1">D168*'Total Distance Tables Sup #1'!D14*(1+'Other Assumptions'!H$44)</f>
        <v>0</v>
      </c>
      <c r="E14" s="4">
        <f ca="1">E168*'Total Distance Tables Sup #1'!E14*(1+'Other Assumptions'!I$44)</f>
        <v>0</v>
      </c>
      <c r="F14" s="4">
        <f ca="1">F168*'Total Distance Tables Sup #1'!F14*(1+'Other Assumptions'!J$44)</f>
        <v>0</v>
      </c>
      <c r="G14" s="4">
        <f ca="1">G168*'Total Distance Tables Sup #1'!G14*(1+'Other Assumptions'!K$44)</f>
        <v>0</v>
      </c>
      <c r="H14" s="4">
        <f ca="1">H168*'Total Distance Tables Sup #1'!H14*(1+'Other Assumptions'!L$44)</f>
        <v>0</v>
      </c>
      <c r="I14" s="1">
        <f ca="1">I168*'Total Distance Tables Sup #1'!I14*(1+'Other Assumptions'!M$44)</f>
        <v>0</v>
      </c>
      <c r="J14" s="1">
        <f ca="1">J168*'Total Distance Tables Sup #1'!J14*(1+'Other Assumptions'!N$44)</f>
        <v>0</v>
      </c>
      <c r="K14" s="1">
        <f ca="1">K168*'Total Distance Tables Sup #1'!K14*(1+'Other Assumptions'!O$44)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(B159*'Total Distance Tables Sup #1'!B16)*(1+'Other Assumptions'!D$45)*(1+'Active Mode Assumptions'!B9)-('PT Assumptions'!B14*'Total Distance Tables Sup #2'!B170+'PT Assumptions'!B26*'Total Distance Tables Sup #2'!B173)*(1+'Other Assumptions'!D$45)</f>
        <v>294.55939388000002</v>
      </c>
      <c r="C16" s="4">
        <f ca="1">(C159*'Total Distance Tables Sup #1'!C16)*(1+'Other Assumptions'!G$45)*(1+'Active Mode Assumptions'!C9)-('PT Assumptions'!C14*'Total Distance Tables Sup #2'!C170+'PT Assumptions'!C26*'Total Distance Tables Sup #2'!C173)*(1+'Other Assumptions'!G$45)</f>
        <v>336.64750088348944</v>
      </c>
      <c r="D16" s="4">
        <f ca="1">(D159*'Total Distance Tables Sup #1'!D16)*(1+'Other Assumptions'!H$45)*(1+'Active Mode Assumptions'!D9)-('PT Assumptions'!D14*'Total Distance Tables Sup #2'!D170+'PT Assumptions'!D26*'Total Distance Tables Sup #2'!D173)*(1+'Other Assumptions'!H$45)</f>
        <v>371.91763052418048</v>
      </c>
      <c r="E16" s="56">
        <f ca="1">(E159*'Total Distance Tables Sup #1'!E16)*(1+'Other Assumptions'!I$45)*(1+'Active Mode Assumptions'!E9)-('PT Assumptions'!E14*'Total Distance Tables Sup #2'!E170+'PT Assumptions'!E26*'Total Distance Tables Sup #2'!E173)*(1+'Other Assumptions'!I$45)</f>
        <v>400.57550822164785</v>
      </c>
      <c r="F16" s="4">
        <f ca="1">(F159*'Total Distance Tables Sup #1'!F16)*(1+'Other Assumptions'!J$45)*(1+'Active Mode Assumptions'!F9)-('PT Assumptions'!F14*'Total Distance Tables Sup #2'!F170+'PT Assumptions'!F26*'Total Distance Tables Sup #2'!F173)*(1+'Other Assumptions'!J$45)</f>
        <v>429.72845802929851</v>
      </c>
      <c r="G16" s="4">
        <f ca="1">(G159*'Total Distance Tables Sup #1'!G16)*(1+'Other Assumptions'!K$45)*(1+'Active Mode Assumptions'!G9)-('PT Assumptions'!G14*'Total Distance Tables Sup #2'!G170+'PT Assumptions'!G26*'Total Distance Tables Sup #2'!G173)*(1+'Other Assumptions'!K$45)</f>
        <v>459.69089821559959</v>
      </c>
      <c r="H16" s="4">
        <f ca="1">(H159*'Total Distance Tables Sup #1'!H16)*(1+'Other Assumptions'!L$45)*(1+'Active Mode Assumptions'!H9)-('PT Assumptions'!H14*'Total Distance Tables Sup #2'!H170+'PT Assumptions'!H26*'Total Distance Tables Sup #2'!H173)*(1+'Other Assumptions'!L$45)</f>
        <v>487.46852360484769</v>
      </c>
      <c r="I16" s="1">
        <f ca="1">(I159*'Total Distance Tables Sup #1'!I16)*(1+'Other Assumptions'!M$45)*(1+'Active Mode Assumptions'!I9)-('PT Assumptions'!I14*'Total Distance Tables Sup #2'!I170+'PT Assumptions'!I26*'Total Distance Tables Sup #2'!I173)*(1+'Other Assumptions'!M$45)</f>
        <v>520.14648462893467</v>
      </c>
      <c r="J16" s="1">
        <f ca="1">(J159*'Total Distance Tables Sup #1'!J16)*(1+'Other Assumptions'!N$45)*(1+'Active Mode Assumptions'!J9)-('PT Assumptions'!J14*'Total Distance Tables Sup #2'!J170+'PT Assumptions'!J26*'Total Distance Tables Sup #2'!J173)*(1+'Other Assumptions'!N$45)</f>
        <v>561.23933915440159</v>
      </c>
      <c r="K16" s="1">
        <f ca="1">(K159*'Total Distance Tables Sup #1'!K16)*(1+'Other Assumptions'!O$45)*(1+'Active Mode Assumptions'!K9)-('PT Assumptions'!K14*'Total Distance Tables Sup #2'!K170+'PT Assumptions'!K26*'Total Distance Tables Sup #2'!K173)*(1+'Other Assumptions'!O$45)</f>
        <v>604.39205313289619</v>
      </c>
    </row>
    <row r="17" spans="1:11" x14ac:dyDescent="0.2">
      <c r="A17" t="str">
        <f ca="1">OFFSET(Auckland_Reference,7,2)</f>
        <v>Cyclist</v>
      </c>
      <c r="B17" s="4">
        <f ca="1">(B160*'Total Distance Tables Sup #1'!B17)*(1+'Other Assumptions'!D$45)*(1+'Active Mode Assumptions'!B18)-('PT Assumptions'!B15*'Total Distance Tables Sup #2'!B170+'PT Assumptions'!B27*'Total Distance Tables Sup #2'!B173)*(1+'Other Assumptions'!D$45)</f>
        <v>55.843008154000003</v>
      </c>
      <c r="C17" s="4">
        <f ca="1">(C160*'Total Distance Tables Sup #1'!C17)*(1+'Other Assumptions'!G$45)*(1+'Active Mode Assumptions'!C18)-('PT Assumptions'!C15*'Total Distance Tables Sup #2'!C170+'PT Assumptions'!C27*'Total Distance Tables Sup #2'!C173)*(1+'Other Assumptions'!G$45)</f>
        <v>65.429399521106774</v>
      </c>
      <c r="D17" s="4">
        <f ca="1">(D160*'Total Distance Tables Sup #1'!D17)*(1+'Other Assumptions'!H$45)*(1+'Active Mode Assumptions'!D18)-('PT Assumptions'!D15*'Total Distance Tables Sup #2'!D170+'PT Assumptions'!D27*'Total Distance Tables Sup #2'!D173)*(1+'Other Assumptions'!H$45)</f>
        <v>84.068465719289023</v>
      </c>
      <c r="E17" s="56">
        <f ca="1">(E160*'Total Distance Tables Sup #1'!E17)*(1+'Other Assumptions'!I$45)*(1+'Active Mode Assumptions'!E18)-('PT Assumptions'!E15*'Total Distance Tables Sup #2'!E170+'PT Assumptions'!E27*'Total Distance Tables Sup #2'!E173)*(1+'Other Assumptions'!I$45)</f>
        <v>100.94855649003337</v>
      </c>
      <c r="F17" s="4">
        <f ca="1">(F160*'Total Distance Tables Sup #1'!F17)*(1+'Other Assumptions'!J$45)*(1+'Active Mode Assumptions'!F18)-('PT Assumptions'!F15*'Total Distance Tables Sup #2'!F170+'PT Assumptions'!F27*'Total Distance Tables Sup #2'!F173)*(1+'Other Assumptions'!J$45)</f>
        <v>121.28959311263603</v>
      </c>
      <c r="G17" s="4">
        <f ca="1">(G160*'Total Distance Tables Sup #1'!G17)*(1+'Other Assumptions'!K$45)*(1+'Active Mode Assumptions'!G18)-('PT Assumptions'!G15*'Total Distance Tables Sup #2'!G170+'PT Assumptions'!G27*'Total Distance Tables Sup #2'!G173)*(1+'Other Assumptions'!K$45)</f>
        <v>146.30907753541393</v>
      </c>
      <c r="H17" s="4">
        <f ca="1">(H160*'Total Distance Tables Sup #1'!H17)*(1+'Other Assumptions'!L$45)*(1+'Active Mode Assumptions'!H18)-('PT Assumptions'!H15*'Total Distance Tables Sup #2'!H170+'PT Assumptions'!H27*'Total Distance Tables Sup #2'!H173)*(1+'Other Assumptions'!L$45)</f>
        <v>174.2775766729992</v>
      </c>
      <c r="I17" s="1">
        <f ca="1">(I160*'Total Distance Tables Sup #1'!I17)*(1+'Other Assumptions'!M$45)*(1+'Active Mode Assumptions'!I18)-('PT Assumptions'!I15*'Total Distance Tables Sup #2'!I170+'PT Assumptions'!I27*'Total Distance Tables Sup #2'!I173)*(1+'Other Assumptions'!M$45)</f>
        <v>188.33894994841862</v>
      </c>
      <c r="J17" s="1">
        <f ca="1">(J160*'Total Distance Tables Sup #1'!J17)*(1+'Other Assumptions'!N$45)*(1+'Active Mode Assumptions'!J18)-('PT Assumptions'!J15*'Total Distance Tables Sup #2'!J170+'PT Assumptions'!J27*'Total Distance Tables Sup #2'!J173)*(1+'Other Assumptions'!N$45)</f>
        <v>206.26648681284311</v>
      </c>
      <c r="K17" s="1">
        <f ca="1">(K160*'Total Distance Tables Sup #1'!K17)*(1+'Other Assumptions'!O$45)*(1+'Active Mode Assumptions'!K18)-('PT Assumptions'!K15*'Total Distance Tables Sup #2'!K170+'PT Assumptions'!K27*'Total Distance Tables Sup #2'!K173)*(1+'Other Assumptions'!O$45)</f>
        <v>225.57131952657386</v>
      </c>
    </row>
    <row r="18" spans="1:11" x14ac:dyDescent="0.2">
      <c r="A18" t="str">
        <f ca="1">OFFSET(Auckland_Reference,14,2)</f>
        <v>Light Vehicle Driver</v>
      </c>
      <c r="B18" s="4">
        <f ca="1">(B161*'Total Distance Tables Sup #1'!B18-'PT Assumptions'!B16*'Total Distance Tables Sup #2'!B170-'PT Assumptions'!B28*'Total Distance Tables Sup #2'!B173)*(1+'Other Assumptions'!D$45)-(B159*'Total Distance Tables Sup #1'!B16)*(1+'Other Assumptions'!D$45)*'Active Mode Assumptions'!B9*'Active Mode Assumptions'!B14-(B160*'Total Distance Tables Sup #1'!B17)*(1+'Other Assumptions'!D$45)*'Active Mode Assumptions'!B18*'Active Mode Assumptions'!B23</f>
        <v>9374.4733825999992</v>
      </c>
      <c r="C18" s="4">
        <f ca="1">(C161*'Total Distance Tables Sup #1'!C18-'PT Assumptions'!C16*'Total Distance Tables Sup #2'!C170-'PT Assumptions'!C28*'Total Distance Tables Sup #2'!C173)*(1+'Other Assumptions'!G$45)-(C159*'Total Distance Tables Sup #1'!C16)*(1+'Other Assumptions'!G$45)*'Active Mode Assumptions'!C9*'Active Mode Assumptions'!C14-(C160*'Total Distance Tables Sup #1'!C17)*(1+'Other Assumptions'!G$45)*'Active Mode Assumptions'!C18*'Active Mode Assumptions'!C23</f>
        <v>11128.955640439521</v>
      </c>
      <c r="D18" s="4">
        <f ca="1">(D161*'Total Distance Tables Sup #1'!D18-'PT Assumptions'!D16*'Total Distance Tables Sup #2'!D170-'PT Assumptions'!D28*'Total Distance Tables Sup #2'!D173)*(1+'Other Assumptions'!H$45)-(D159*'Total Distance Tables Sup #1'!D16)*(1+'Other Assumptions'!H$45)*'Active Mode Assumptions'!D9*'Active Mode Assumptions'!D14-(D160*'Total Distance Tables Sup #1'!D17)*(1+'Other Assumptions'!H$45)*'Active Mode Assumptions'!D18*'Active Mode Assumptions'!D23</f>
        <v>12538.511658893203</v>
      </c>
      <c r="E18" s="56">
        <f ca="1">(E161*'Total Distance Tables Sup #1'!E18-'PT Assumptions'!E16*'Total Distance Tables Sup #2'!E170-'PT Assumptions'!E28*'Total Distance Tables Sup #2'!E173)*(1+'Other Assumptions'!I$45)-(E159*'Total Distance Tables Sup #1'!E16)*(1+'Other Assumptions'!I$45)*'Active Mode Assumptions'!E9*'Active Mode Assumptions'!E14-(E160*'Total Distance Tables Sup #1'!E17)*(1+'Other Assumptions'!I$45)*'Active Mode Assumptions'!E18*'Active Mode Assumptions'!E23</f>
        <v>13960.951009755487</v>
      </c>
      <c r="F18" s="4">
        <f ca="1">(F161*'Total Distance Tables Sup #1'!F18-'PT Assumptions'!F16*'Total Distance Tables Sup #2'!F170-'PT Assumptions'!F28*'Total Distance Tables Sup #2'!F173)*(1+'Other Assumptions'!J$45)-(F159*'Total Distance Tables Sup #1'!F16)*(1+'Other Assumptions'!J$45)*'Active Mode Assumptions'!F9*'Active Mode Assumptions'!F14-(F160*'Total Distance Tables Sup #1'!F17)*(1+'Other Assumptions'!J$45)*'Active Mode Assumptions'!F18*'Active Mode Assumptions'!F23</f>
        <v>15394.099206973247</v>
      </c>
      <c r="G18" s="4">
        <f ca="1">(G161*'Total Distance Tables Sup #1'!G18-'PT Assumptions'!G16*'Total Distance Tables Sup #2'!G170-'PT Assumptions'!G28*'Total Distance Tables Sup #2'!G173)*(1+'Other Assumptions'!K$45)-(G159*'Total Distance Tables Sup #1'!G16)*(1+'Other Assumptions'!K$45)*'Active Mode Assumptions'!G9*'Active Mode Assumptions'!G14-(G160*'Total Distance Tables Sup #1'!G17)*(1+'Other Assumptions'!K$45)*'Active Mode Assumptions'!G18*'Active Mode Assumptions'!G23</f>
        <v>16716.368653784426</v>
      </c>
      <c r="H18" s="4">
        <f ca="1">(H161*'Total Distance Tables Sup #1'!H18-'PT Assumptions'!H16*'Total Distance Tables Sup #2'!H170-'PT Assumptions'!H28*'Total Distance Tables Sup #2'!H173)*(1+'Other Assumptions'!L$45)-(H159*'Total Distance Tables Sup #1'!H16)*(1+'Other Assumptions'!L$45)*'Active Mode Assumptions'!H9*'Active Mode Assumptions'!H14-(H160*'Total Distance Tables Sup #1'!H17)*(1+'Other Assumptions'!L$45)*'Active Mode Assumptions'!H18*'Active Mode Assumptions'!H23</f>
        <v>17947.901567984864</v>
      </c>
      <c r="I18" s="1">
        <f ca="1">(I161*'Total Distance Tables Sup #1'!I18-'PT Assumptions'!I16*'Total Distance Tables Sup #2'!I170-'PT Assumptions'!I28*'Total Distance Tables Sup #2'!I173)*(1+'Other Assumptions'!M$45)-(I159*'Total Distance Tables Sup #1'!I16)*(1+'Other Assumptions'!M$45)*'Active Mode Assumptions'!I9*'Active Mode Assumptions'!I14-(I160*'Total Distance Tables Sup #1'!I17)*(1+'Other Assumptions'!M$45)*'Active Mode Assumptions'!I18*'Active Mode Assumptions'!I23</f>
        <v>19199.061975676039</v>
      </c>
      <c r="J18" s="1">
        <f ca="1">(J161*'Total Distance Tables Sup #1'!J18-'PT Assumptions'!J16*'Total Distance Tables Sup #2'!J170-'PT Assumptions'!J28*'Total Distance Tables Sup #2'!J173)*(1+'Other Assumptions'!N$45)-(J159*'Total Distance Tables Sup #1'!J16)*(1+'Other Assumptions'!N$45)*'Active Mode Assumptions'!J9*'Active Mode Assumptions'!J14-(J160*'Total Distance Tables Sup #1'!J17)*(1+'Other Assumptions'!N$45)*'Active Mode Assumptions'!J18*'Active Mode Assumptions'!J23</f>
        <v>20752.527828421295</v>
      </c>
      <c r="K18" s="1">
        <f ca="1">(K161*'Total Distance Tables Sup #1'!K18-'PT Assumptions'!K16*'Total Distance Tables Sup #2'!K170-'PT Assumptions'!K28*'Total Distance Tables Sup #2'!K173)*(1+'Other Assumptions'!O$45)-(K159*'Total Distance Tables Sup #1'!K16)*(1+'Other Assumptions'!O$45)*'Active Mode Assumptions'!K9*'Active Mode Assumptions'!K14-(K160*'Total Distance Tables Sup #1'!K17)*(1+'Other Assumptions'!O$45)*'Active Mode Assumptions'!K18*'Active Mode Assumptions'!K23</f>
        <v>22389.974038554054</v>
      </c>
    </row>
    <row r="19" spans="1:11" x14ac:dyDescent="0.2">
      <c r="A19" t="str">
        <f ca="1">OFFSET(Auckland_Reference,21,2)</f>
        <v>Light Vehicle Passenger</v>
      </c>
      <c r="B19" s="4">
        <f ca="1">(B162*'Total Distance Tables Sup #1'!B19-'PT Assumptions'!B17*'Total Distance Tables Sup #2'!B170-'PT Assumptions'!B29*'Total Distance Tables Sup #2'!B173)*(1+'Other Assumptions'!D$45)-(B159*'Total Distance Tables Sup #1'!B16)*(1+'Other Assumptions'!D$45)*'Active Mode Assumptions'!B9*'Active Mode Assumptions'!B15-(B160*'Total Distance Tables Sup #1'!B17)*(1+'Other Assumptions'!D$45)*'Active Mode Assumptions'!B18*'Active Mode Assumptions'!B24</f>
        <v>4814.6436660999998</v>
      </c>
      <c r="C19" s="4">
        <f ca="1">(C162*'Total Distance Tables Sup #1'!C19-'PT Assumptions'!C17*'Total Distance Tables Sup #2'!C170-'PT Assumptions'!C29*'Total Distance Tables Sup #2'!C173)*(1+'Other Assumptions'!G$45)-(C159*'Total Distance Tables Sup #1'!C16)*(1+'Other Assumptions'!G$45)*'Active Mode Assumptions'!C9*'Active Mode Assumptions'!C15-(C160*'Total Distance Tables Sup #1'!C17)*(1+'Other Assumptions'!G$45)*'Active Mode Assumptions'!C18*'Active Mode Assumptions'!C24</f>
        <v>5453.9706159753086</v>
      </c>
      <c r="D19" s="4">
        <f ca="1">(D162*'Total Distance Tables Sup #1'!D19-'PT Assumptions'!D17*'Total Distance Tables Sup #2'!D170-'PT Assumptions'!D29*'Total Distance Tables Sup #2'!D173)*(1+'Other Assumptions'!H$45)-(D159*'Total Distance Tables Sup #1'!D16)*(1+'Other Assumptions'!H$45)*'Active Mode Assumptions'!D9*'Active Mode Assumptions'!D15-(D160*'Total Distance Tables Sup #1'!D17)*(1+'Other Assumptions'!H$45)*'Active Mode Assumptions'!D18*'Active Mode Assumptions'!D24</f>
        <v>6009.7485789742295</v>
      </c>
      <c r="E19" s="56">
        <f ca="1">(E162*'Total Distance Tables Sup #1'!E19-'PT Assumptions'!E17*'Total Distance Tables Sup #2'!E170-'PT Assumptions'!E29*'Total Distance Tables Sup #2'!E173)*(1+'Other Assumptions'!I$45)-(E159*'Total Distance Tables Sup #1'!E16)*(1+'Other Assumptions'!I$45)*'Active Mode Assumptions'!E9*'Active Mode Assumptions'!E15-(E160*'Total Distance Tables Sup #1'!E17)*(1+'Other Assumptions'!I$45)*'Active Mode Assumptions'!E18*'Active Mode Assumptions'!E24</f>
        <v>6534.5938452974642</v>
      </c>
      <c r="F19" s="4">
        <f ca="1">(F162*'Total Distance Tables Sup #1'!F19-'PT Assumptions'!F17*'Total Distance Tables Sup #2'!F170-'PT Assumptions'!F29*'Total Distance Tables Sup #2'!F173)*(1+'Other Assumptions'!J$45)-(F159*'Total Distance Tables Sup #1'!F16)*(1+'Other Assumptions'!J$45)*'Active Mode Assumptions'!F9*'Active Mode Assumptions'!F15-(F160*'Total Distance Tables Sup #1'!F17)*(1+'Other Assumptions'!J$45)*'Active Mode Assumptions'!F18*'Active Mode Assumptions'!F24</f>
        <v>7090.005059131553</v>
      </c>
      <c r="G19" s="4">
        <f ca="1">(G162*'Total Distance Tables Sup #1'!G19-'PT Assumptions'!G17*'Total Distance Tables Sup #2'!G170-'PT Assumptions'!G29*'Total Distance Tables Sup #2'!G173)*(1+'Other Assumptions'!K$45)-(G159*'Total Distance Tables Sup #1'!G16)*(1+'Other Assumptions'!K$45)*'Active Mode Assumptions'!G9*'Active Mode Assumptions'!G15-(G160*'Total Distance Tables Sup #1'!G17)*(1+'Other Assumptions'!K$45)*'Active Mode Assumptions'!G18*'Active Mode Assumptions'!G24</f>
        <v>7621.8252041775659</v>
      </c>
      <c r="H19" s="4">
        <f ca="1">(H162*'Total Distance Tables Sup #1'!H19-'PT Assumptions'!H17*'Total Distance Tables Sup #2'!H170-'PT Assumptions'!H29*'Total Distance Tables Sup #2'!H173)*(1+'Other Assumptions'!L$45)-(H159*'Total Distance Tables Sup #1'!H16)*(1+'Other Assumptions'!L$45)*'Active Mode Assumptions'!H9*'Active Mode Assumptions'!H15-(H160*'Total Distance Tables Sup #1'!H17)*(1+'Other Assumptions'!L$45)*'Active Mode Assumptions'!H18*'Active Mode Assumptions'!H24</f>
        <v>8114.3871240947246</v>
      </c>
      <c r="I19" s="1">
        <f ca="1">(I162*'Total Distance Tables Sup #1'!I19-'PT Assumptions'!I17*'Total Distance Tables Sup #2'!I170-'PT Assumptions'!I29*'Total Distance Tables Sup #2'!I173)*(1+'Other Assumptions'!M$45)-(I159*'Total Distance Tables Sup #1'!I16)*(1+'Other Assumptions'!M$45)*'Active Mode Assumptions'!I9*'Active Mode Assumptions'!I15-(I160*'Total Distance Tables Sup #1'!I17)*(1+'Other Assumptions'!M$45)*'Active Mode Assumptions'!I18*'Active Mode Assumptions'!I24</f>
        <v>8661.1311034468017</v>
      </c>
      <c r="J19" s="1">
        <f ca="1">(J162*'Total Distance Tables Sup #1'!J19-'PT Assumptions'!J17*'Total Distance Tables Sup #2'!J170-'PT Assumptions'!J29*'Total Distance Tables Sup #2'!J173)*(1+'Other Assumptions'!N$45)-(J159*'Total Distance Tables Sup #1'!J16)*(1+'Other Assumptions'!N$45)*'Active Mode Assumptions'!J9*'Active Mode Assumptions'!J15-(J160*'Total Distance Tables Sup #1'!J17)*(1+'Other Assumptions'!N$45)*'Active Mode Assumptions'!J18*'Active Mode Assumptions'!J24</f>
        <v>9348.6285263474037</v>
      </c>
      <c r="K19" s="1">
        <f ca="1">(K162*'Total Distance Tables Sup #1'!K19-'PT Assumptions'!K17*'Total Distance Tables Sup #2'!K170-'PT Assumptions'!K29*'Total Distance Tables Sup #2'!K173)*(1+'Other Assumptions'!O$45)-(K159*'Total Distance Tables Sup #1'!K16)*(1+'Other Assumptions'!O$45)*'Active Mode Assumptions'!K9*'Active Mode Assumptions'!K15-(K160*'Total Distance Tables Sup #1'!K17)*(1+'Other Assumptions'!O$45)*'Active Mode Assumptions'!K18*'Active Mode Assumptions'!K24</f>
        <v>10070.00096693709</v>
      </c>
    </row>
    <row r="20" spans="1:11" x14ac:dyDescent="0.2">
      <c r="A20" t="str">
        <f ca="1">OFFSET(Auckland_Reference,28,2)</f>
        <v>Taxi/Vehicle Share</v>
      </c>
      <c r="B20" s="4">
        <f ca="1">B163*'Total Distance Tables Sup #1'!B20*(1+'Other Assumptions'!D$45)</f>
        <v>41.157157814999998</v>
      </c>
      <c r="C20" s="4">
        <f ca="1">C163*'Total Distance Tables Sup #1'!C20*(1+'Other Assumptions'!G$45)</f>
        <v>52.045230370632872</v>
      </c>
      <c r="D20" s="4">
        <f ca="1">D163*'Total Distance Tables Sup #1'!D20*(1+'Other Assumptions'!H$45)</f>
        <v>64.677643806762887</v>
      </c>
      <c r="E20" s="56">
        <f ca="1">E163*'Total Distance Tables Sup #1'!E20*(1+'Other Assumptions'!I$45)</f>
        <v>77.458092924858136</v>
      </c>
      <c r="F20" s="4">
        <f ca="1">F163*'Total Distance Tables Sup #1'!F20*(1+'Other Assumptions'!J$45)</f>
        <v>90.052915597497815</v>
      </c>
      <c r="G20" s="4">
        <f ca="1">G163*'Total Distance Tables Sup #1'!G20*(1+'Other Assumptions'!K$45)</f>
        <v>101.77141232911472</v>
      </c>
      <c r="H20" s="4">
        <f ca="1">H163*'Total Distance Tables Sup #1'!H20*(1+'Other Assumptions'!L$45)</f>
        <v>113.13553294916903</v>
      </c>
      <c r="I20" s="1">
        <f ca="1">I163*'Total Distance Tables Sup #1'!I20*(1+'Other Assumptions'!M$45)</f>
        <v>121.56225394262741</v>
      </c>
      <c r="J20" s="1">
        <f ca="1">J163*'Total Distance Tables Sup #1'!J20*(1+'Other Assumptions'!N$45)</f>
        <v>132.04411270250756</v>
      </c>
      <c r="K20" s="1">
        <f ca="1">K163*'Total Distance Tables Sup #1'!K20*(1+'Other Assumptions'!O$45)</f>
        <v>143.19271600998448</v>
      </c>
    </row>
    <row r="21" spans="1:11" x14ac:dyDescent="0.2">
      <c r="A21" t="str">
        <f ca="1">OFFSET(Auckland_Reference,35,2)</f>
        <v>Motorcyclist</v>
      </c>
      <c r="B21" s="4">
        <f ca="1">B164*'Total Distance Tables Sup #1'!B21*(1+'Other Assumptions'!D$45)</f>
        <v>43.570185572</v>
      </c>
      <c r="C21" s="4">
        <f ca="1">C164*'Total Distance Tables Sup #1'!C21*(1+'Other Assumptions'!G$45)</f>
        <v>51.551841861780161</v>
      </c>
      <c r="D21" s="4">
        <f ca="1">D164*'Total Distance Tables Sup #1'!D21*(1+'Other Assumptions'!H$45)</f>
        <v>58.986060612218807</v>
      </c>
      <c r="E21" s="56">
        <f ca="1">E164*'Total Distance Tables Sup #1'!E21*(1+'Other Assumptions'!I$45)</f>
        <v>64.800446567494703</v>
      </c>
      <c r="F21" s="4">
        <f ca="1">F164*'Total Distance Tables Sup #1'!F21*(1+'Other Assumptions'!J$45)</f>
        <v>69.327543125176391</v>
      </c>
      <c r="G21" s="4">
        <f ca="1">G164*'Total Distance Tables Sup #1'!G21*(1+'Other Assumptions'!K$45)</f>
        <v>72.259447621977102</v>
      </c>
      <c r="H21" s="4">
        <f ca="1">H164*'Total Distance Tables Sup #1'!H21*(1+'Other Assumptions'!L$45)</f>
        <v>74.311875928835065</v>
      </c>
      <c r="I21" s="1">
        <f ca="1">I164*'Total Distance Tables Sup #1'!I21*(1+'Other Assumptions'!M$45)</f>
        <v>79.90171991901515</v>
      </c>
      <c r="J21" s="1">
        <f ca="1">J164*'Total Distance Tables Sup #1'!J21*(1+'Other Assumptions'!N$45)</f>
        <v>86.786369131656173</v>
      </c>
      <c r="K21" s="1">
        <f ca="1">K164*'Total Distance Tables Sup #1'!K21*(1+'Other Assumptions'!O$45)</f>
        <v>94.092652323975017</v>
      </c>
    </row>
    <row r="22" spans="1:11" x14ac:dyDescent="0.2">
      <c r="A22" t="str">
        <f ca="1">OFFSET(Auckland_Reference,42,2)</f>
        <v>Local Train</v>
      </c>
      <c r="B22" s="4">
        <f ca="1">'Total Distance Tables Sup #1'!B22*(1+'PT Assumptions'!B9)*(1+'Other Assumptions'!D$45)</f>
        <v>158.68929399999999</v>
      </c>
      <c r="C22" s="4">
        <f ca="1">'Total Distance Tables Sup #1'!C22*(1+'PT Assumptions'!C9)*(1+'Other Assumptions'!G$45)</f>
        <v>350.39806647409233</v>
      </c>
      <c r="D22" s="4">
        <f ca="1">'Total Distance Tables Sup #1'!D22*(1+'PT Assumptions'!D9)*(1+'Other Assumptions'!H$45)</f>
        <v>681.16426729534305</v>
      </c>
      <c r="E22" s="56">
        <f ca="1">'Total Distance Tables Sup #1'!E22*(1+'PT Assumptions'!E9)*(1+'Other Assumptions'!I$45)</f>
        <v>1027.3583182826692</v>
      </c>
      <c r="F22" s="4">
        <f ca="1">'Total Distance Tables Sup #1'!F22*(1+'PT Assumptions'!F9)*(1+'Other Assumptions'!J$45)</f>
        <v>1196.3225056628826</v>
      </c>
      <c r="G22" s="4">
        <f ca="1">'Total Distance Tables Sup #1'!G22*(1+'PT Assumptions'!G9)*(1+'Other Assumptions'!K$45)</f>
        <v>1371.0824874753614</v>
      </c>
      <c r="H22" s="4">
        <f ca="1">'Total Distance Tables Sup #1'!H22*(1+'PT Assumptions'!H9)*(1+'Other Assumptions'!L$45)</f>
        <v>1545.2062276629035</v>
      </c>
      <c r="I22" s="1">
        <f ca="1">'Total Distance Tables Sup #1'!I22*(1+'PT Assumptions'!I9)*(1+'Other Assumptions'!M$45)</f>
        <v>1768.8376080565997</v>
      </c>
      <c r="J22" s="1">
        <f ca="1">'Total Distance Tables Sup #1'!J22*(1+'PT Assumptions'!J9)*(1+'Other Assumptions'!N$45)</f>
        <v>2042.5162818163749</v>
      </c>
      <c r="K22" s="1">
        <f ca="1">'Total Distance Tables Sup #1'!K22*(1+'PT Assumptions'!K9)*(1+'Other Assumptions'!O$45)</f>
        <v>2359.5860533002783</v>
      </c>
    </row>
    <row r="23" spans="1:11" x14ac:dyDescent="0.2">
      <c r="A23" t="str">
        <f ca="1">OFFSET(Auckland_Reference,49,2)</f>
        <v>Local Bus</v>
      </c>
      <c r="B23" s="4">
        <f ca="1">'Total Distance Tables Sup #1'!B23*(1+'PT Assumptions'!B21)*(1+'Other Assumptions'!D$45)</f>
        <v>438.79018300000001</v>
      </c>
      <c r="C23" s="4">
        <f ca="1">'Total Distance Tables Sup #1'!C23*(1+'PT Assumptions'!C21)*(1+'Other Assumptions'!G$45)</f>
        <v>514.82832738715786</v>
      </c>
      <c r="D23" s="4">
        <f ca="1">'Total Distance Tables Sup #1'!D23*(1+'PT Assumptions'!D21)*(1+'Other Assumptions'!H$45)</f>
        <v>659.21743841583782</v>
      </c>
      <c r="E23" s="56">
        <f ca="1">'Total Distance Tables Sup #1'!E23*(1+'PT Assumptions'!E21)*(1+'Other Assumptions'!I$45)</f>
        <v>811.00535528133241</v>
      </c>
      <c r="F23" s="4">
        <f ca="1">'Total Distance Tables Sup #1'!F23*(1+'PT Assumptions'!F21)*(1+'Other Assumptions'!J$45)</f>
        <v>891.87457864933958</v>
      </c>
      <c r="G23" s="4">
        <f ca="1">'Total Distance Tables Sup #1'!G23*(1+'PT Assumptions'!G21)*(1+'Other Assumptions'!K$45)</f>
        <v>973.55767120283326</v>
      </c>
      <c r="H23" s="4">
        <f ca="1">'Total Distance Tables Sup #1'!H23*(1+'PT Assumptions'!H21)*(1+'Other Assumptions'!L$45)</f>
        <v>1049.7990312538579</v>
      </c>
      <c r="I23" s="1">
        <f ca="1">'Total Distance Tables Sup #1'!I23*(1+'PT Assumptions'!I21)*(1+'Other Assumptions'!M$45)</f>
        <v>1179.0734508795886</v>
      </c>
      <c r="J23" s="1">
        <f ca="1">'Total Distance Tables Sup #1'!J23*(1+'PT Assumptions'!J21)*(1+'Other Assumptions'!N$45)</f>
        <v>1337.7631692372256</v>
      </c>
      <c r="K23" s="1">
        <f ca="1">'Total Distance Tables Sup #1'!K23*(1+'PT Assumptions'!K21)*(1+'Other Assumptions'!O$45)</f>
        <v>1518.4844154370605</v>
      </c>
    </row>
    <row r="24" spans="1:11" x14ac:dyDescent="0.2">
      <c r="A24" t="str">
        <f ca="1">OFFSET(Auckland_Reference,56,2)</f>
        <v>Local Ferry</v>
      </c>
      <c r="B24" s="4">
        <f ca="1">B167*'Total Distance Tables Sup #1'!B24*(1+'PT Assumptions'!B32)*(1+'Other Assumptions'!D$45)</f>
        <v>0</v>
      </c>
      <c r="C24" s="4">
        <f ca="1">C167*'Total Distance Tables Sup #1'!C24*(1+'PT Assumptions'!C32)*(1+'Other Assumptions'!G$45)</f>
        <v>0</v>
      </c>
      <c r="D24" s="4">
        <f ca="1">D167*'Total Distance Tables Sup #1'!D24*(1+'PT Assumptions'!D32)*(1+'Other Assumptions'!H$45)</f>
        <v>0</v>
      </c>
      <c r="E24" s="56">
        <f ca="1">E167*'Total Distance Tables Sup #1'!E24*(1+'PT Assumptions'!E32)*(1+'Other Assumptions'!I$45)</f>
        <v>0</v>
      </c>
      <c r="F24" s="4">
        <f ca="1">F167*'Total Distance Tables Sup #1'!F24*(1+'PT Assumptions'!F32)*(1+'Other Assumptions'!J$45)</f>
        <v>0</v>
      </c>
      <c r="G24" s="4">
        <f ca="1">G167*'Total Distance Tables Sup #1'!G24*(1+'PT Assumptions'!G32)*(1+'Other Assumptions'!K$45)</f>
        <v>0</v>
      </c>
      <c r="H24" s="4">
        <f ca="1">H167*'Total Distance Tables Sup #1'!H24*(1+'PT Assumptions'!H32)*(1+'Other Assumptions'!L$45)</f>
        <v>0</v>
      </c>
      <c r="I24" s="1">
        <f ca="1">I167*'Total Distance Tables Sup #1'!I24*(1+'PT Assumptions'!I32)*(1+'Other Assumptions'!M$45)</f>
        <v>0</v>
      </c>
      <c r="J24" s="1">
        <f ca="1">J167*'Total Distance Tables Sup #1'!J24*(1+'PT Assumptions'!J32)*(1+'Other Assumptions'!N$45)</f>
        <v>0</v>
      </c>
      <c r="K24" s="1">
        <f ca="1">K167*'Total Distance Tables Sup #1'!K24*(1+'PT Assumptions'!K32)*(1+'Other Assumptions'!O$45)</f>
        <v>0</v>
      </c>
    </row>
    <row r="25" spans="1:11" x14ac:dyDescent="0.2">
      <c r="A25" t="str">
        <f ca="1">OFFSET(Auckland_Reference,63,2)</f>
        <v>Other Household Travel</v>
      </c>
      <c r="B25" s="4">
        <f ca="1">B168*'Total Distance Tables Sup #1'!B25*(1+'Other Assumptions'!D$45)</f>
        <v>1.8241938706</v>
      </c>
      <c r="C25" s="4">
        <f ca="1">C168*'Total Distance Tables Sup #1'!C25*(1+'Other Assumptions'!G$45)</f>
        <v>1.8799625825976736</v>
      </c>
      <c r="D25" s="4">
        <f ca="1">D168*'Total Distance Tables Sup #1'!D25*(1+'Other Assumptions'!H$45)</f>
        <v>1.5070649119220121</v>
      </c>
      <c r="E25" s="56">
        <f ca="1">E168*'Total Distance Tables Sup #1'!E25*(1+'Other Assumptions'!I$45)</f>
        <v>1.7271998869554841</v>
      </c>
      <c r="F25" s="4">
        <f ca="1">F168*'Total Distance Tables Sup #1'!F25*(1+'Other Assumptions'!J$45)</f>
        <v>1.8147754529399338</v>
      </c>
      <c r="G25" s="4">
        <f ca="1">G168*'Total Distance Tables Sup #1'!G25*(1+'Other Assumptions'!K$45)</f>
        <v>1.7766058927265902</v>
      </c>
      <c r="H25" s="4">
        <f ca="1">H168*'Total Distance Tables Sup #1'!H25*(1+'Other Assumptions'!L$45)</f>
        <v>1.6995576145072182</v>
      </c>
      <c r="I25" s="1">
        <f ca="1">I168*'Total Distance Tables Sup #1'!I25*(1+'Other Assumptions'!M$45)</f>
        <v>1.7914801261419946</v>
      </c>
      <c r="J25" s="1">
        <f ca="1">J168*'Total Distance Tables Sup #1'!J25*(1+'Other Assumptions'!N$45)</f>
        <v>1.8986951985713121</v>
      </c>
      <c r="K25" s="1">
        <f ca="1">K168*'Total Distance Tables Sup #1'!K25*(1+'Other Assumptions'!O$45)</f>
        <v>2.0100145531488329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B159*'Total Distance Tables Sup #1'!B27*(1+'Other Assumptions'!D$46)*(1+'Active Mode Assumptions'!B9)</f>
        <v>52.675735545000002</v>
      </c>
      <c r="C27" s="4">
        <f ca="1">C159*'Total Distance Tables Sup #1'!C27*(1+'Other Assumptions'!G$46)*(1+'Active Mode Assumptions'!C9)</f>
        <v>60.227271192283574</v>
      </c>
      <c r="D27" s="4">
        <f ca="1">D159*'Total Distance Tables Sup #1'!D27*(1+'Other Assumptions'!H$46)*(1+'Active Mode Assumptions'!D9)</f>
        <v>67.869045299413102</v>
      </c>
      <c r="E27" s="4">
        <f ca="1">E159*'Total Distance Tables Sup #1'!E27*(1+'Other Assumptions'!I$46)*(1+'Active Mode Assumptions'!E9)</f>
        <v>74.349752476202127</v>
      </c>
      <c r="F27" s="4">
        <f ca="1">F159*'Total Distance Tables Sup #1'!F27*(1+'Other Assumptions'!J$46)*(1+'Active Mode Assumptions'!F9)</f>
        <v>80.432902325439613</v>
      </c>
      <c r="G27" s="4">
        <f ca="1">G159*'Total Distance Tables Sup #1'!G27*(1+'Other Assumptions'!K$46)*(1+'Active Mode Assumptions'!G9)</f>
        <v>86.692593618084601</v>
      </c>
      <c r="H27" s="4">
        <f ca="1">H159*'Total Distance Tables Sup #1'!H27*(1+'Other Assumptions'!L$46)*(1+'Active Mode Assumptions'!H9)</f>
        <v>92.628033655319456</v>
      </c>
      <c r="I27" s="1">
        <f ca="1">I159*'Total Distance Tables Sup #1'!I27*(1+'Other Assumptions'!M$46)*(1+'Active Mode Assumptions'!I9)</f>
        <v>99.377395302607169</v>
      </c>
      <c r="J27" s="1">
        <f ca="1">J159*'Total Distance Tables Sup #1'!J27*(1+'Other Assumptions'!N$46)*(1+'Active Mode Assumptions'!J9)</f>
        <v>107.72725652814721</v>
      </c>
      <c r="K27" s="1">
        <f ca="1">K159*'Total Distance Tables Sup #1'!K27*(1+'Other Assumptions'!O$46)*(1+'Active Mode Assumptions'!K9)</f>
        <v>116.58450975213964</v>
      </c>
    </row>
    <row r="28" spans="1:11" x14ac:dyDescent="0.2">
      <c r="A28" t="str">
        <f ca="1">OFFSET(Waikato_Reference,7,2)</f>
        <v>Cyclist</v>
      </c>
      <c r="B28" s="4">
        <f ca="1">B160*'Total Distance Tables Sup #1'!B28*(1+'Other Assumptions'!D$46)*(1+'Active Mode Assumptions'!B18)</f>
        <v>21.829422874999999</v>
      </c>
      <c r="C28" s="4">
        <f ca="1">C160*'Total Distance Tables Sup #1'!C28*(1+'Other Assumptions'!G$46)*(1+'Active Mode Assumptions'!C18)</f>
        <v>25.576810379998392</v>
      </c>
      <c r="D28" s="4">
        <f ca="1">D160*'Total Distance Tables Sup #1'!D28*(1+'Other Assumptions'!H$46)*(1+'Active Mode Assumptions'!D18)</f>
        <v>32.862951859217652</v>
      </c>
      <c r="E28" s="4">
        <f ca="1">E160*'Total Distance Tables Sup #1'!E28*(1+'Other Assumptions'!I$46)*(1+'Active Mode Assumptions'!E18)</f>
        <v>39.461497528297436</v>
      </c>
      <c r="F28" s="4">
        <f ca="1">F160*'Total Distance Tables Sup #1'!F28*(1+'Other Assumptions'!J$46)*(1+'Active Mode Assumptions'!F18)</f>
        <v>47.412951162853275</v>
      </c>
      <c r="G28" s="4">
        <f ca="1">G160*'Total Distance Tables Sup #1'!G28*(1+'Other Assumptions'!K$46)*(1+'Active Mode Assumptions'!G18)</f>
        <v>57.193242798882785</v>
      </c>
      <c r="H28" s="4">
        <f ca="1">H160*'Total Distance Tables Sup #1'!H28*(1+'Other Assumptions'!L$46)*(1+'Active Mode Assumptions'!H18)</f>
        <v>68.126324934603815</v>
      </c>
      <c r="I28" s="1">
        <f ca="1">I160*'Total Distance Tables Sup #1'!I28*(1+'Other Assumptions'!M$46)*(1+'Active Mode Assumptions'!I18)</f>
        <v>73.623014199370203</v>
      </c>
      <c r="J28" s="1">
        <f ca="1">J160*'Total Distance Tables Sup #1'!J28*(1+'Other Assumptions'!N$46)*(1+'Active Mode Assumptions'!J18)</f>
        <v>80.631013880215505</v>
      </c>
      <c r="K28" s="1">
        <f ca="1">K160*'Total Distance Tables Sup #1'!K28*(1+'Other Assumptions'!O$46)*(1+'Active Mode Assumptions'!K18)</f>
        <v>88.177408151760119</v>
      </c>
    </row>
    <row r="29" spans="1:11" x14ac:dyDescent="0.2">
      <c r="A29" t="str">
        <f ca="1">OFFSET(Waikato_Reference,14,2)</f>
        <v>Light Vehicle Driver</v>
      </c>
      <c r="B29" s="4">
        <f ca="1">B161*'Total Distance Tables Sup #1'!B29*(1+'Other Assumptions'!D$46)-(B27*'Active Mode Assumptions'!B9*'Active Mode Assumptions'!B14/(1+'Active Mode Assumptions'!B9))-(B28*'Active Mode Assumptions'!B18*'Active Mode Assumptions'!B23/(1+'Active Mode Assumptions'!B18))</f>
        <v>3709.9843593000001</v>
      </c>
      <c r="C29" s="4">
        <f ca="1">C161*'Total Distance Tables Sup #1'!C29*(1+'Other Assumptions'!G$46)-(C27*'Active Mode Assumptions'!C9*'Active Mode Assumptions'!C14/(1+'Active Mode Assumptions'!C9))-(C28*'Active Mode Assumptions'!C18*'Active Mode Assumptions'!C23/(1+'Active Mode Assumptions'!C18))</f>
        <v>4419.5773361902893</v>
      </c>
      <c r="D29" s="4">
        <f ca="1">D161*'Total Distance Tables Sup #1'!D29*(1+'Other Assumptions'!H$46)-(D27*'Active Mode Assumptions'!D9*'Active Mode Assumptions'!D14/(1+'Active Mode Assumptions'!D9))-(D28*'Active Mode Assumptions'!D18*'Active Mode Assumptions'!D23/(1+'Active Mode Assumptions'!D18))</f>
        <v>5034.9936584074921</v>
      </c>
      <c r="E29" s="4">
        <f ca="1">E161*'Total Distance Tables Sup #1'!E29*(1+'Other Assumptions'!I$46)-(E27*'Active Mode Assumptions'!E9*'Active Mode Assumptions'!E14/(1+'Active Mode Assumptions'!E9))-(E28*'Active Mode Assumptions'!E18*'Active Mode Assumptions'!E23/(1+'Active Mode Assumptions'!E18))</f>
        <v>5657.3211699874973</v>
      </c>
      <c r="F29" s="4">
        <f ca="1">F161*'Total Distance Tables Sup #1'!F29*(1+'Other Assumptions'!J$46)-(F27*'Active Mode Assumptions'!F9*'Active Mode Assumptions'!F14/(1+'Active Mode Assumptions'!F9))-(F28*'Active Mode Assumptions'!F18*'Active Mode Assumptions'!F23/(1+'Active Mode Assumptions'!F18))</f>
        <v>6258.9293113908425</v>
      </c>
      <c r="G29" s="4">
        <f ca="1">G161*'Total Distance Tables Sup #1'!G29*(1+'Other Assumptions'!K$46)-(G27*'Active Mode Assumptions'!G9*'Active Mode Assumptions'!G14/(1+'Active Mode Assumptions'!G9))-(G28*'Active Mode Assumptions'!G18*'Active Mode Assumptions'!G23/(1+'Active Mode Assumptions'!G18))</f>
        <v>6818.2452950988254</v>
      </c>
      <c r="H29" s="4">
        <f ca="1">H161*'Total Distance Tables Sup #1'!H29*(1+'Other Assumptions'!L$46)-(H27*'Active Mode Assumptions'!H9*'Active Mode Assumptions'!H14/(1+'Active Mode Assumptions'!H9))-(H28*'Active Mode Assumptions'!H18*'Active Mode Assumptions'!H23/(1+'Active Mode Assumptions'!H18))</f>
        <v>7343.6738059746458</v>
      </c>
      <c r="I29" s="1">
        <f ca="1">I161*'Total Distance Tables Sup #1'!I29*(1+'Other Assumptions'!M$46)-(I27*'Active Mode Assumptions'!I9*'Active Mode Assumptions'!I14/(1+'Active Mode Assumptions'!I9))-(I28*'Active Mode Assumptions'!I18*'Active Mode Assumptions'!I23/(1+'Active Mode Assumptions'!I18))</f>
        <v>7875.849471587213</v>
      </c>
      <c r="J29" s="1">
        <f ca="1">J161*'Total Distance Tables Sup #1'!J29*(1+'Other Assumptions'!N$46)-(J27*'Active Mode Assumptions'!J9*'Active Mode Assumptions'!J14/(1+'Active Mode Assumptions'!J9))-(J28*'Active Mode Assumptions'!J18*'Active Mode Assumptions'!J23/(1+'Active Mode Assumptions'!J18))</f>
        <v>8531.3631472506786</v>
      </c>
      <c r="K29" s="1">
        <f ca="1">K161*'Total Distance Tables Sup #1'!K29*(1+'Other Assumptions'!O$46)-(K27*'Active Mode Assumptions'!K9*'Active Mode Assumptions'!K14/(1+'Active Mode Assumptions'!K9))-(K28*'Active Mode Assumptions'!K18*'Active Mode Assumptions'!K23/(1+'Active Mode Assumptions'!K18))</f>
        <v>9225.6205626534047</v>
      </c>
    </row>
    <row r="30" spans="1:11" x14ac:dyDescent="0.2">
      <c r="A30" t="str">
        <f ca="1">OFFSET(Waikato_Reference,21,2)</f>
        <v>Light Vehicle Passenger</v>
      </c>
      <c r="B30" s="4">
        <f ca="1">B162*'Total Distance Tables Sup #1'!B30*(1+'Other Assumptions'!D$46)-(B27*'Active Mode Assumptions'!B9*'Active Mode Assumptions'!B15/(1+'Active Mode Assumptions'!B9))-(B28*'Active Mode Assumptions'!B18*'Active Mode Assumptions'!B24/(1+'Active Mode Assumptions'!B18))</f>
        <v>1955.0668243</v>
      </c>
      <c r="C30" s="4">
        <f ca="1">C162*'Total Distance Tables Sup #1'!C30*(1+'Other Assumptions'!G$46)-(C27*'Active Mode Assumptions'!C9*'Active Mode Assumptions'!C15/(1+'Active Mode Assumptions'!C9))-(C28*'Active Mode Assumptions'!C18*'Active Mode Assumptions'!C24/(1+'Active Mode Assumptions'!C18))</f>
        <v>2230.3234370180667</v>
      </c>
      <c r="D30" s="4">
        <f ca="1">D162*'Total Distance Tables Sup #1'!D30*(1+'Other Assumptions'!H$46)-(D27*'Active Mode Assumptions'!D9*'Active Mode Assumptions'!D15/(1+'Active Mode Assumptions'!D9))-(D28*'Active Mode Assumptions'!D18*'Active Mode Assumptions'!D24/(1+'Active Mode Assumptions'!D18))</f>
        <v>2515.1140130421472</v>
      </c>
      <c r="E30" s="4">
        <f ca="1">E162*'Total Distance Tables Sup #1'!E30*(1+'Other Assumptions'!I$46)-(E27*'Active Mode Assumptions'!E9*'Active Mode Assumptions'!E15/(1+'Active Mode Assumptions'!E9))-(E28*'Active Mode Assumptions'!E18*'Active Mode Assumptions'!E24/(1+'Active Mode Assumptions'!E18))</f>
        <v>2789.2088534250693</v>
      </c>
      <c r="F30" s="4">
        <f ca="1">F162*'Total Distance Tables Sup #1'!F30*(1+'Other Assumptions'!J$46)-(F27*'Active Mode Assumptions'!F9*'Active Mode Assumptions'!F15/(1+'Active Mode Assumptions'!F9))-(F28*'Active Mode Assumptions'!F18*'Active Mode Assumptions'!F24/(1+'Active Mode Assumptions'!F18))</f>
        <v>3050.1138310199667</v>
      </c>
      <c r="G30" s="4">
        <f ca="1">G162*'Total Distance Tables Sup #1'!G30*(1+'Other Assumptions'!K$46)-(G27*'Active Mode Assumptions'!G9*'Active Mode Assumptions'!G15/(1+'Active Mode Assumptions'!G9))-(G28*'Active Mode Assumptions'!G18*'Active Mode Assumptions'!G24/(1+'Active Mode Assumptions'!G18))</f>
        <v>3303.0770813436334</v>
      </c>
      <c r="H30" s="4">
        <f ca="1">H162*'Total Distance Tables Sup #1'!H30*(1+'Other Assumptions'!L$46)-(H27*'Active Mode Assumptions'!H9*'Active Mode Assumptions'!H15/(1+'Active Mode Assumptions'!H9))-(H28*'Active Mode Assumptions'!H18*'Active Mode Assumptions'!H24/(1+'Active Mode Assumptions'!H18))</f>
        <v>3542.180578398541</v>
      </c>
      <c r="I30" s="1">
        <f ca="1">I162*'Total Distance Tables Sup #1'!I30*(1+'Other Assumptions'!M$46)-(I27*'Active Mode Assumptions'!I9*'Active Mode Assumptions'!I15/(1+'Active Mode Assumptions'!I9))-(I28*'Active Mode Assumptions'!I18*'Active Mode Assumptions'!I24/(1+'Active Mode Assumptions'!I18))</f>
        <v>3802.1999400147961</v>
      </c>
      <c r="J30" s="1">
        <f ca="1">J162*'Total Distance Tables Sup #1'!J30*(1+'Other Assumptions'!N$46)-(J27*'Active Mode Assumptions'!J9*'Active Mode Assumptions'!J15/(1+'Active Mode Assumptions'!J9))-(J28*'Active Mode Assumptions'!J18*'Active Mode Assumptions'!J24/(1+'Active Mode Assumptions'!J18))</f>
        <v>4123.1746841763397</v>
      </c>
      <c r="K30" s="1">
        <f ca="1">K162*'Total Distance Tables Sup #1'!K30*(1+'Other Assumptions'!O$46)-(K27*'Active Mode Assumptions'!K9*'Active Mode Assumptions'!K15/(1+'Active Mode Assumptions'!K9))-(K28*'Active Mode Assumptions'!K18*'Active Mode Assumptions'!K24/(1+'Active Mode Assumptions'!K18))</f>
        <v>4463.5581401560876</v>
      </c>
    </row>
    <row r="31" spans="1:11" x14ac:dyDescent="0.2">
      <c r="A31" t="str">
        <f ca="1">OFFSET(Waikato_Reference,28,2)</f>
        <v>Taxi/Vehicle Share</v>
      </c>
      <c r="B31" s="4">
        <f ca="1">B163*'Total Distance Tables Sup #1'!B31*(1+'Other Assumptions'!D$46)</f>
        <v>2.4426175743999998</v>
      </c>
      <c r="C31" s="4">
        <f ca="1">C163*'Total Distance Tables Sup #1'!C31*(1+'Other Assumptions'!G$46)</f>
        <v>3.0888088759295314</v>
      </c>
      <c r="D31" s="4">
        <f ca="1">D163*'Total Distance Tables Sup #1'!D31*(1+'Other Assumptions'!H$46)</f>
        <v>3.8385242767080596</v>
      </c>
      <c r="E31" s="4">
        <f ca="1">E163*'Total Distance Tables Sup #1'!E31*(1+'Other Assumptions'!I$46)</f>
        <v>4.5970253803291401</v>
      </c>
      <c r="F31" s="4">
        <f ca="1">F163*'Total Distance Tables Sup #1'!F31*(1+'Other Assumptions'!J$46)</f>
        <v>5.3445098238596156</v>
      </c>
      <c r="G31" s="4">
        <f ca="1">G163*'Total Distance Tables Sup #1'!G31*(1+'Other Assumptions'!K$46)</f>
        <v>6.0399855948265868</v>
      </c>
      <c r="H31" s="4">
        <f ca="1">H163*'Total Distance Tables Sup #1'!H31*(1+'Other Assumptions'!L$46)</f>
        <v>6.7144296579690943</v>
      </c>
      <c r="I31" s="1">
        <f ca="1">I163*'Total Distance Tables Sup #1'!I31*(1+'Other Assumptions'!M$46)</f>
        <v>7.2145433170732511</v>
      </c>
      <c r="J31" s="1">
        <f ca="1">J163*'Total Distance Tables Sup #1'!J31*(1+'Other Assumptions'!N$46)</f>
        <v>7.8366264194669393</v>
      </c>
      <c r="K31" s="1">
        <f ca="1">K163*'Total Distance Tables Sup #1'!K31*(1+'Other Assumptions'!O$46)</f>
        <v>8.4982798429434343</v>
      </c>
    </row>
    <row r="32" spans="1:11" x14ac:dyDescent="0.2">
      <c r="A32" t="str">
        <f ca="1">OFFSET(Waikato_Reference,35,2)</f>
        <v>Motorcyclist</v>
      </c>
      <c r="B32" s="4">
        <f ca="1">B164*'Total Distance Tables Sup #1'!B32*(1+'Other Assumptions'!D$46)</f>
        <v>38.030338682999997</v>
      </c>
      <c r="C32" s="4">
        <f ca="1">C164*'Total Distance Tables Sup #1'!C32*(1+'Other Assumptions'!G$46)</f>
        <v>44.997146098819393</v>
      </c>
      <c r="D32" s="4">
        <f ca="1">D164*'Total Distance Tables Sup #1'!D32*(1+'Other Assumptions'!H$46)</f>
        <v>51.486121374251361</v>
      </c>
      <c r="E32" s="4">
        <f ca="1">E164*'Total Distance Tables Sup #1'!E32*(1+'Other Assumptions'!I$46)</f>
        <v>56.561221794638918</v>
      </c>
      <c r="F32" s="4">
        <f ca="1">F164*'Total Distance Tables Sup #1'!F32*(1+'Other Assumptions'!J$46)</f>
        <v>60.512708644626535</v>
      </c>
      <c r="G32" s="4">
        <f ca="1">G164*'Total Distance Tables Sup #1'!G32*(1+'Other Assumptions'!K$46)</f>
        <v>63.071828362289509</v>
      </c>
      <c r="H32" s="4">
        <f ca="1">H164*'Total Distance Tables Sup #1'!H32*(1+'Other Assumptions'!L$46)</f>
        <v>64.86329522449509</v>
      </c>
      <c r="I32" s="1">
        <f ca="1">I164*'Total Distance Tables Sup #1'!I32*(1+'Other Assumptions'!M$46)</f>
        <v>69.742403663920584</v>
      </c>
      <c r="J32" s="1">
        <f ca="1">J164*'Total Distance Tables Sup #1'!J32*(1+'Other Assumptions'!N$46)</f>
        <v>75.75168587911152</v>
      </c>
      <c r="K32" s="1">
        <f ca="1">K164*'Total Distance Tables Sup #1'!K32*(1+'Other Assumptions'!O$46)</f>
        <v>82.128992302528729</v>
      </c>
    </row>
    <row r="33" spans="1:11" x14ac:dyDescent="0.2">
      <c r="A33" t="str">
        <f ca="1">OFFSET(Waikato_Reference,42,2)</f>
        <v>Local Train</v>
      </c>
      <c r="B33" s="4">
        <f ca="1">B165*'Total Distance Tables Sup #1'!B33*(1+'Other Assumptions'!D$46)</f>
        <v>0</v>
      </c>
      <c r="C33" s="4">
        <f ca="1">C165*'Total Distance Tables Sup #1'!C33*(1+'Other Assumptions'!G$46)</f>
        <v>0</v>
      </c>
      <c r="D33" s="4">
        <f ca="1">D165*'Total Distance Tables Sup #1'!D33*(1+'Other Assumptions'!H$46)</f>
        <v>0</v>
      </c>
      <c r="E33" s="4">
        <f ca="1">E165*'Total Distance Tables Sup #1'!E33*(1+'Other Assumptions'!I$46)</f>
        <v>0</v>
      </c>
      <c r="F33" s="4">
        <f ca="1">F165*'Total Distance Tables Sup #1'!F33*(1+'Other Assumptions'!J$46)</f>
        <v>0</v>
      </c>
      <c r="G33" s="4">
        <f ca="1">G165*'Total Distance Tables Sup #1'!G33*(1+'Other Assumptions'!K$46)</f>
        <v>0</v>
      </c>
      <c r="H33" s="4">
        <f ca="1">H165*'Total Distance Tables Sup #1'!H33*(1+'Other Assumptions'!L$46)</f>
        <v>0</v>
      </c>
      <c r="I33" s="1">
        <f ca="1">I165*'Total Distance Tables Sup #1'!I33*(1+'Other Assumptions'!M$46)</f>
        <v>0</v>
      </c>
      <c r="J33" s="1">
        <f ca="1">J165*'Total Distance Tables Sup #1'!J33*(1+'Other Assumptions'!N$46)</f>
        <v>0</v>
      </c>
      <c r="K33" s="1">
        <f ca="1">K165*'Total Distance Tables Sup #1'!K33*(1+'Other Assumptions'!O$46)</f>
        <v>0</v>
      </c>
    </row>
    <row r="34" spans="1:11" x14ac:dyDescent="0.2">
      <c r="A34" t="str">
        <f ca="1">OFFSET(Waikato_Reference,49,2)</f>
        <v>Local Bus</v>
      </c>
      <c r="B34" s="4">
        <f ca="1">B166*'Total Distance Tables Sup #1'!B34*(1+'Other Assumptions'!D$46)</f>
        <v>54.303948532</v>
      </c>
      <c r="C34" s="4">
        <f ca="1">C166*'Total Distance Tables Sup #1'!C34*(1+'Other Assumptions'!G$46)</f>
        <v>55.005731166363248</v>
      </c>
      <c r="D34" s="4">
        <f ca="1">D166*'Total Distance Tables Sup #1'!D34*(1+'Other Assumptions'!H$46)</f>
        <v>60.346180541943887</v>
      </c>
      <c r="E34" s="4">
        <f ca="1">E166*'Total Distance Tables Sup #1'!E34*(1+'Other Assumptions'!I$46)</f>
        <v>64.131711839889817</v>
      </c>
      <c r="F34" s="4">
        <f ca="1">F166*'Total Distance Tables Sup #1'!F34*(1+'Other Assumptions'!J$46)</f>
        <v>67.26472167152582</v>
      </c>
      <c r="G34" s="4">
        <f ca="1">G166*'Total Distance Tables Sup #1'!G34*(1+'Other Assumptions'!K$46)</f>
        <v>71.131459355506891</v>
      </c>
      <c r="H34" s="4">
        <f ca="1">H166*'Total Distance Tables Sup #1'!H34*(1+'Other Assumptions'!L$46)</f>
        <v>74.985225557726579</v>
      </c>
      <c r="I34" s="1">
        <f ca="1">I166*'Total Distance Tables Sup #1'!I34*(1+'Other Assumptions'!M$46)</f>
        <v>80.696332486946702</v>
      </c>
      <c r="J34" s="1">
        <f ca="1">J166*'Total Distance Tables Sup #1'!J34*(1+'Other Assumptions'!N$46)</f>
        <v>87.776919556736459</v>
      </c>
      <c r="K34" s="1">
        <f ca="1">K166*'Total Distance Tables Sup #1'!K34*(1+'Other Assumptions'!O$46)</f>
        <v>95.31609981592797</v>
      </c>
    </row>
    <row r="35" spans="1:11" x14ac:dyDescent="0.2">
      <c r="A35" t="str">
        <f ca="1">OFFSET(Waikato_Reference,56,2)</f>
        <v>Local Ferry</v>
      </c>
      <c r="B35" s="4">
        <f ca="1">B167*'Total Distance Tables Sup #1'!B35*(1+'Other Assumptions'!D$46)</f>
        <v>0</v>
      </c>
      <c r="C35" s="4">
        <f ca="1">C167*'Total Distance Tables Sup #1'!C35*(1+'Other Assumptions'!G$46)</f>
        <v>0</v>
      </c>
      <c r="D35" s="4">
        <f ca="1">D167*'Total Distance Tables Sup #1'!D35*(1+'Other Assumptions'!H$46)</f>
        <v>0</v>
      </c>
      <c r="E35" s="4">
        <f ca="1">E167*'Total Distance Tables Sup #1'!E35*(1+'Other Assumptions'!I$46)</f>
        <v>0</v>
      </c>
      <c r="F35" s="4">
        <f ca="1">F167*'Total Distance Tables Sup #1'!F35*(1+'Other Assumptions'!J$46)</f>
        <v>0</v>
      </c>
      <c r="G35" s="4">
        <f ca="1">G167*'Total Distance Tables Sup #1'!G35*(1+'Other Assumptions'!K$46)</f>
        <v>0</v>
      </c>
      <c r="H35" s="4">
        <f ca="1">H167*'Total Distance Tables Sup #1'!H35*(1+'Other Assumptions'!L$46)</f>
        <v>0</v>
      </c>
      <c r="I35" s="1">
        <f ca="1">I167*'Total Distance Tables Sup #1'!I35*(1+'Other Assumptions'!M$46)</f>
        <v>0</v>
      </c>
      <c r="J35" s="1">
        <f ca="1">J167*'Total Distance Tables Sup #1'!J35*(1+'Other Assumptions'!N$46)</f>
        <v>0</v>
      </c>
      <c r="K35" s="1">
        <f ca="1">K167*'Total Distance Tables Sup #1'!K35*(1+'Other Assumptions'!O$46)</f>
        <v>0</v>
      </c>
    </row>
    <row r="36" spans="1:11" x14ac:dyDescent="0.2">
      <c r="A36" t="str">
        <f ca="1">OFFSET(Waikato_Reference,63,2)</f>
        <v>Other Household Travel</v>
      </c>
      <c r="B36" s="4">
        <f ca="1">B168*'Total Distance Tables Sup #1'!B36*(1+'Other Assumptions'!D$46)</f>
        <v>0</v>
      </c>
      <c r="C36" s="4">
        <f ca="1">C168*'Total Distance Tables Sup #1'!C36*(1+'Other Assumptions'!G$46)</f>
        <v>0</v>
      </c>
      <c r="D36" s="4">
        <f ca="1">D168*'Total Distance Tables Sup #1'!D36*(1+'Other Assumptions'!H$46)</f>
        <v>0</v>
      </c>
      <c r="E36" s="4">
        <f ca="1">E168*'Total Distance Tables Sup #1'!E36*(1+'Other Assumptions'!I$46)</f>
        <v>0</v>
      </c>
      <c r="F36" s="4">
        <f ca="1">F168*'Total Distance Tables Sup #1'!F36*(1+'Other Assumptions'!J$46)</f>
        <v>0</v>
      </c>
      <c r="G36" s="4">
        <f ca="1">G168*'Total Distance Tables Sup #1'!G36*(1+'Other Assumptions'!K$46)</f>
        <v>0</v>
      </c>
      <c r="H36" s="4">
        <f ca="1">H168*'Total Distance Tables Sup #1'!H36*(1+'Other Assumptions'!L$46)</f>
        <v>0</v>
      </c>
      <c r="I36" s="1">
        <f ca="1">I168*'Total Distance Tables Sup #1'!I36*(1+'Other Assumptions'!M$46)</f>
        <v>0</v>
      </c>
      <c r="J36" s="1">
        <f ca="1">J168*'Total Distance Tables Sup #1'!J36*(1+'Other Assumptions'!N$46)</f>
        <v>0</v>
      </c>
      <c r="K36" s="1">
        <f ca="1">K168*'Total Distance Tables Sup #1'!K36*(1+'Other Assumptions'!O$46)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B159*'Total Distance Tables Sup #1'!B38*(1+'Other Assumptions'!D$47)*(1+'Active Mode Assumptions'!B9)</f>
        <v>35.579183637</v>
      </c>
      <c r="C38" s="4">
        <f ca="1">C159*'Total Distance Tables Sup #1'!C38*(1+'Other Assumptions'!G$47)*(1+'Active Mode Assumptions'!C9)</f>
        <v>40.679776362592364</v>
      </c>
      <c r="D38" s="4">
        <f ca="1">D159*'Total Distance Tables Sup #1'!D38*(1+'Other Assumptions'!H$47)*(1+'Active Mode Assumptions'!D9)</f>
        <v>45.841319556189795</v>
      </c>
      <c r="E38" s="4">
        <f ca="1">E159*'Total Distance Tables Sup #1'!E38*(1+'Other Assumptions'!I$47)*(1+'Active Mode Assumptions'!E9)</f>
        <v>50.218634241119467</v>
      </c>
      <c r="F38" s="4">
        <f ca="1">F159*'Total Distance Tables Sup #1'!F38*(1+'Other Assumptions'!J$47)*(1+'Active Mode Assumptions'!F9)</f>
        <v>54.327423674017147</v>
      </c>
      <c r="G38" s="4">
        <f ca="1">G159*'Total Distance Tables Sup #1'!G38*(1+'Other Assumptions'!K$47)*(1+'Active Mode Assumptions'!G9)</f>
        <v>58.555455873428699</v>
      </c>
      <c r="H38" s="4">
        <f ca="1">H159*'Total Distance Tables Sup #1'!H38*(1+'Other Assumptions'!L$47)*(1+'Active Mode Assumptions'!H9)</f>
        <v>62.564476513886099</v>
      </c>
      <c r="I38" s="1">
        <f ca="1">I159*'Total Distance Tables Sup #1'!I38*(1+'Other Assumptions'!M$47)*(1+'Active Mode Assumptions'!I9)</f>
        <v>67.12325058693591</v>
      </c>
      <c r="J38" s="1">
        <f ca="1">J159*'Total Distance Tables Sup #1'!J38*(1+'Other Assumptions'!N$47)*(1+'Active Mode Assumptions'!J9)</f>
        <v>72.763062595506028</v>
      </c>
      <c r="K38" s="1">
        <f ca="1">K159*'Total Distance Tables Sup #1'!K38*(1+'Other Assumptions'!O$47)*(1+'Active Mode Assumptions'!K9)</f>
        <v>78.745586346059497</v>
      </c>
    </row>
    <row r="39" spans="1:11" x14ac:dyDescent="0.2">
      <c r="A39" t="str">
        <f ca="1">OFFSET(BOP_Reference,7,2)</f>
        <v>Cyclist</v>
      </c>
      <c r="B39" s="4">
        <f ca="1">B160*'Total Distance Tables Sup #1'!B39*(1+'Other Assumptions'!D$47)*(1+'Active Mode Assumptions'!B18)</f>
        <v>8.5028812633000008</v>
      </c>
      <c r="C39" s="4">
        <f ca="1">C160*'Total Distance Tables Sup #1'!C39*(1+'Other Assumptions'!G$47)*(1+'Active Mode Assumptions'!C18)</f>
        <v>9.9625438107266184</v>
      </c>
      <c r="D39" s="4">
        <f ca="1">D160*'Total Distance Tables Sup #1'!D39*(1+'Other Assumptions'!H$47)*(1+'Active Mode Assumptions'!D18)</f>
        <v>12.80060307689063</v>
      </c>
      <c r="E39" s="4">
        <f ca="1">E160*'Total Distance Tables Sup #1'!E39*(1+'Other Assumptions'!I$47)*(1+'Active Mode Assumptions'!E18)</f>
        <v>15.370833662276539</v>
      </c>
      <c r="F39" s="4">
        <f ca="1">F160*'Total Distance Tables Sup #1'!F39*(1+'Other Assumptions'!J$47)*(1+'Active Mode Assumptions'!F18)</f>
        <v>18.468041797938881</v>
      </c>
      <c r="G39" s="4">
        <f ca="1">G160*'Total Distance Tables Sup #1'!G39*(1+'Other Assumptions'!K$47)*(1+'Active Mode Assumptions'!G18)</f>
        <v>22.277609232579774</v>
      </c>
      <c r="H39" s="4">
        <f ca="1">H160*'Total Distance Tables Sup #1'!H39*(1+'Other Assumptions'!L$47)*(1+'Active Mode Assumptions'!H18)</f>
        <v>26.536205521371606</v>
      </c>
      <c r="I39" s="1">
        <f ca="1">I160*'Total Distance Tables Sup #1'!I39*(1+'Other Assumptions'!M$47)*(1+'Active Mode Assumptions'!I18)</f>
        <v>28.677246831863158</v>
      </c>
      <c r="J39" s="1">
        <f ca="1">J160*'Total Distance Tables Sup #1'!J39*(1+'Other Assumptions'!N$47)*(1+'Active Mode Assumptions'!J18)</f>
        <v>31.406965776825054</v>
      </c>
      <c r="K39" s="1">
        <f ca="1">K160*'Total Distance Tables Sup #1'!K39*(1+'Other Assumptions'!O$47)*(1+'Active Mode Assumptions'!K18)</f>
        <v>34.346397333234933</v>
      </c>
    </row>
    <row r="40" spans="1:11" x14ac:dyDescent="0.2">
      <c r="A40" t="str">
        <f ca="1">OFFSET(BOP_Reference,14,2)</f>
        <v>Light Vehicle Driver</v>
      </c>
      <c r="B40" s="4">
        <f ca="1">B161*'Total Distance Tables Sup #1'!B40*(1+'Other Assumptions'!D$47)-(B38*'Active Mode Assumptions'!B9*'Active Mode Assumptions'!B14/(1+'Active Mode Assumptions'!B9))-(B39*'Active Mode Assumptions'!B18*'Active Mode Assumptions'!B23/(1+'Active Mode Assumptions'!B18))</f>
        <v>1972.0747595</v>
      </c>
      <c r="C40" s="4">
        <f ca="1">C161*'Total Distance Tables Sup #1'!C40*(1+'Other Assumptions'!G$47)-(C38*'Active Mode Assumptions'!C9*'Active Mode Assumptions'!C14/(1+'Active Mode Assumptions'!C9))-(C39*'Active Mode Assumptions'!C18*'Active Mode Assumptions'!C23/(1+'Active Mode Assumptions'!C18))</f>
        <v>2349.265136525697</v>
      </c>
      <c r="D40" s="4">
        <f ca="1">D161*'Total Distance Tables Sup #1'!D40*(1+'Other Assumptions'!H$47)-(D38*'Active Mode Assumptions'!D9*'Active Mode Assumptions'!D14/(1+'Active Mode Assumptions'!D9))-(D39*'Active Mode Assumptions'!D18*'Active Mode Assumptions'!D23/(1+'Active Mode Assumptions'!D18))</f>
        <v>2676.4533092062534</v>
      </c>
      <c r="E40" s="4">
        <f ca="1">E161*'Total Distance Tables Sup #1'!E40*(1+'Other Assumptions'!I$47)-(E38*'Active Mode Assumptions'!E9*'Active Mode Assumptions'!E14/(1+'Active Mode Assumptions'!E9))-(E39*'Active Mode Assumptions'!E18*'Active Mode Assumptions'!E23/(1+'Active Mode Assumptions'!E18))</f>
        <v>3007.3294323155401</v>
      </c>
      <c r="F40" s="4">
        <f ca="1">F161*'Total Distance Tables Sup #1'!F40*(1+'Other Assumptions'!J$47)-(F38*'Active Mode Assumptions'!F9*'Active Mode Assumptions'!F14/(1+'Active Mode Assumptions'!F9))-(F39*'Active Mode Assumptions'!F18*'Active Mode Assumptions'!F23/(1+'Active Mode Assumptions'!F18))</f>
        <v>3327.2136069956623</v>
      </c>
      <c r="G40" s="4">
        <f ca="1">G161*'Total Distance Tables Sup #1'!G40*(1+'Other Assumptions'!K$47)-(G38*'Active Mode Assumptions'!G9*'Active Mode Assumptions'!G14/(1+'Active Mode Assumptions'!G9))-(G39*'Active Mode Assumptions'!G18*'Active Mode Assumptions'!G23/(1+'Active Mode Assumptions'!G18))</f>
        <v>3624.6474470527469</v>
      </c>
      <c r="H40" s="4">
        <f ca="1">H161*'Total Distance Tables Sup #1'!H40*(1+'Other Assumptions'!L$47)-(H38*'Active Mode Assumptions'!H9*'Active Mode Assumptions'!H14/(1+'Active Mode Assumptions'!H9))-(H39*'Active Mode Assumptions'!H18*'Active Mode Assumptions'!H23/(1+'Active Mode Assumptions'!H18))</f>
        <v>3904.0978084164271</v>
      </c>
      <c r="I40" s="1">
        <f ca="1">I161*'Total Distance Tables Sup #1'!I40*(1+'Other Assumptions'!M$47)-(I38*'Active Mode Assumptions'!I9*'Active Mode Assumptions'!I14/(1+'Active Mode Assumptions'!I9))-(I39*'Active Mode Assumptions'!I18*'Active Mode Assumptions'!I23/(1+'Active Mode Assumptions'!I18))</f>
        <v>4187.0234500048464</v>
      </c>
      <c r="J40" s="1">
        <f ca="1">J161*'Total Distance Tables Sup #1'!J40*(1+'Other Assumptions'!N$47)-(J38*'Active Mode Assumptions'!J9*'Active Mode Assumptions'!J14/(1+'Active Mode Assumptions'!J9))-(J39*'Active Mode Assumptions'!J18*'Active Mode Assumptions'!J23/(1+'Active Mode Assumptions'!J18))</f>
        <v>4535.5231495240232</v>
      </c>
      <c r="K40" s="1">
        <f ca="1">K161*'Total Distance Tables Sup #1'!K40*(1+'Other Assumptions'!O$47)-(K38*'Active Mode Assumptions'!K9*'Active Mode Assumptions'!K14/(1+'Active Mode Assumptions'!K9))-(K39*'Active Mode Assumptions'!K18*'Active Mode Assumptions'!K23/(1+'Active Mode Assumptions'!K18))</f>
        <v>4904.6221378873324</v>
      </c>
    </row>
    <row r="41" spans="1:11" x14ac:dyDescent="0.2">
      <c r="A41" t="str">
        <f ca="1">OFFSET(BOP_Reference,21,2)</f>
        <v>Light Vehicle Passenger</v>
      </c>
      <c r="B41" s="4">
        <f ca="1">B162*'Total Distance Tables Sup #1'!B41*(1+'Other Assumptions'!D$47)-(B38*'Active Mode Assumptions'!B9*'Active Mode Assumptions'!B15/(1+'Active Mode Assumptions'!B9))-(B39*'Active Mode Assumptions'!B18*'Active Mode Assumptions'!B24/(1+'Active Mode Assumptions'!B18))</f>
        <v>1385.2330090999999</v>
      </c>
      <c r="C41" s="4">
        <f ca="1">C162*'Total Distance Tables Sup #1'!C41*(1+'Other Assumptions'!G$47)-(C38*'Active Mode Assumptions'!C9*'Active Mode Assumptions'!C15/(1+'Active Mode Assumptions'!C9))-(C39*'Active Mode Assumptions'!C18*'Active Mode Assumptions'!C24/(1+'Active Mode Assumptions'!C18))</f>
        <v>1580.2619161280968</v>
      </c>
      <c r="D41" s="4">
        <f ca="1">D162*'Total Distance Tables Sup #1'!D41*(1+'Other Assumptions'!H$47)-(D38*'Active Mode Assumptions'!D9*'Active Mode Assumptions'!D15/(1+'Active Mode Assumptions'!D9))-(D39*'Active Mode Assumptions'!D18*'Active Mode Assumptions'!D24/(1+'Active Mode Assumptions'!D18))</f>
        <v>1782.2952511246078</v>
      </c>
      <c r="E41" s="4">
        <f ca="1">E162*'Total Distance Tables Sup #1'!E41*(1+'Other Assumptions'!I$47)-(E38*'Active Mode Assumptions'!E9*'Active Mode Assumptions'!E15/(1+'Active Mode Assumptions'!E9))-(E39*'Active Mode Assumptions'!E18*'Active Mode Assumptions'!E24/(1+'Active Mode Assumptions'!E18))</f>
        <v>1976.7999227330774</v>
      </c>
      <c r="F41" s="4">
        <f ca="1">F162*'Total Distance Tables Sup #1'!F41*(1+'Other Assumptions'!J$47)-(F38*'Active Mode Assumptions'!F9*'Active Mode Assumptions'!F15/(1+'Active Mode Assumptions'!F9))-(F39*'Active Mode Assumptions'!F18*'Active Mode Assumptions'!F24/(1+'Active Mode Assumptions'!F18))</f>
        <v>2162.0222994657756</v>
      </c>
      <c r="G41" s="4">
        <f ca="1">G162*'Total Distance Tables Sup #1'!G41*(1+'Other Assumptions'!K$47)-(G38*'Active Mode Assumptions'!G9*'Active Mode Assumptions'!G15/(1+'Active Mode Assumptions'!G9))-(G39*'Active Mode Assumptions'!G18*'Active Mode Assumptions'!G24/(1+'Active Mode Assumptions'!G18))</f>
        <v>2341.7016809165657</v>
      </c>
      <c r="H41" s="4">
        <f ca="1">H162*'Total Distance Tables Sup #1'!H41*(1+'Other Assumptions'!L$47)-(H38*'Active Mode Assumptions'!H9*'Active Mode Assumptions'!H15/(1+'Active Mode Assumptions'!H9))-(H39*'Active Mode Assumptions'!H18*'Active Mode Assumptions'!H24/(1+'Active Mode Assumptions'!H18))</f>
        <v>2511.639253733244</v>
      </c>
      <c r="I41" s="1">
        <f ca="1">I162*'Total Distance Tables Sup #1'!I41*(1+'Other Assumptions'!M$47)-(I38*'Active Mode Assumptions'!I9*'Active Mode Assumptions'!I15/(1+'Active Mode Assumptions'!I9))-(I39*'Active Mode Assumptions'!I18*'Active Mode Assumptions'!I24/(1+'Active Mode Assumptions'!I18))</f>
        <v>2696.023243568598</v>
      </c>
      <c r="J41" s="1">
        <f ca="1">J162*'Total Distance Tables Sup #1'!J41*(1+'Other Assumptions'!N$47)-(J38*'Active Mode Assumptions'!J9*'Active Mode Assumptions'!J15/(1+'Active Mode Assumptions'!J9))-(J39*'Active Mode Assumptions'!J18*'Active Mode Assumptions'!J24/(1+'Active Mode Assumptions'!J18))</f>
        <v>2923.6376292801124</v>
      </c>
      <c r="K41" s="1">
        <f ca="1">K162*'Total Distance Tables Sup #1'!K41*(1+'Other Assumptions'!O$47)-(K38*'Active Mode Assumptions'!K9*'Active Mode Assumptions'!K15/(1+'Active Mode Assumptions'!K9))-(K39*'Active Mode Assumptions'!K18*'Active Mode Assumptions'!K24/(1+'Active Mode Assumptions'!K18))</f>
        <v>3165.0184588967481</v>
      </c>
    </row>
    <row r="42" spans="1:11" x14ac:dyDescent="0.2">
      <c r="A42" t="str">
        <f ca="1">OFFSET(BOP_Reference,28,2)</f>
        <v>Taxi/Vehicle Share</v>
      </c>
      <c r="B42" s="4">
        <f ca="1">B163*'Total Distance Tables Sup #1'!B42*(1+'Other Assumptions'!D$47)</f>
        <v>0.98369936449999995</v>
      </c>
      <c r="C42" s="4">
        <f ca="1">C163*'Total Distance Tables Sup #1'!C42*(1+'Other Assumptions'!G$47)</f>
        <v>1.243935751612776</v>
      </c>
      <c r="D42" s="4">
        <f ca="1">D163*'Total Distance Tables Sup #1'!D42*(1+'Other Assumptions'!H$47)</f>
        <v>1.5458637206207193</v>
      </c>
      <c r="E42" s="4">
        <f ca="1">E163*'Total Distance Tables Sup #1'!E42*(1+'Other Assumptions'!I$47)</f>
        <v>1.8513298981445938</v>
      </c>
      <c r="F42" s="4">
        <f ca="1">F163*'Total Distance Tables Sup #1'!F42*(1+'Other Assumptions'!J$47)</f>
        <v>2.1523594083638433</v>
      </c>
      <c r="G42" s="4">
        <f ca="1">G163*'Total Distance Tables Sup #1'!G42*(1+'Other Assumptions'!K$47)</f>
        <v>2.4324438067958853</v>
      </c>
      <c r="H42" s="4">
        <f ca="1">H163*'Total Distance Tables Sup #1'!H42*(1+'Other Assumptions'!L$47)</f>
        <v>2.7040582433975922</v>
      </c>
      <c r="I42" s="1">
        <f ca="1">I163*'Total Distance Tables Sup #1'!I42*(1+'Other Assumptions'!M$47)</f>
        <v>2.9054657391081609</v>
      </c>
      <c r="J42" s="1">
        <f ca="1">J163*'Total Distance Tables Sup #1'!J42*(1+'Other Assumptions'!N$47)</f>
        <v>3.1559931892110185</v>
      </c>
      <c r="K42" s="1">
        <f ca="1">K163*'Total Distance Tables Sup #1'!K42*(1+'Other Assumptions'!O$47)</f>
        <v>3.4224565353420457</v>
      </c>
    </row>
    <row r="43" spans="1:11" x14ac:dyDescent="0.2">
      <c r="A43" t="str">
        <f ca="1">OFFSET(BOP_Reference,35,2)</f>
        <v>Motorcyclist</v>
      </c>
      <c r="B43" s="4">
        <f ca="1">B164*'Total Distance Tables Sup #1'!B43*(1+'Other Assumptions'!D$47)</f>
        <v>35.608960758999999</v>
      </c>
      <c r="C43" s="4">
        <f ca="1">C164*'Total Distance Tables Sup #1'!C43*(1+'Other Assumptions'!G$47)</f>
        <v>42.132194063685709</v>
      </c>
      <c r="D43" s="4">
        <f ca="1">D164*'Total Distance Tables Sup #1'!D43*(1+'Other Assumptions'!H$47)</f>
        <v>48.208018627726929</v>
      </c>
      <c r="E43" s="4">
        <f ca="1">E164*'Total Distance Tables Sup #1'!E43*(1+'Other Assumptions'!I$47)</f>
        <v>52.959989237926834</v>
      </c>
      <c r="F43" s="4">
        <f ca="1">F164*'Total Distance Tables Sup #1'!F43*(1+'Other Assumptions'!J$47)</f>
        <v>56.659886347804843</v>
      </c>
      <c r="G43" s="4">
        <f ca="1">G164*'Total Distance Tables Sup #1'!G43*(1+'Other Assumptions'!K$47)</f>
        <v>59.056067837626287</v>
      </c>
      <c r="H43" s="4">
        <f ca="1">H164*'Total Distance Tables Sup #1'!H43*(1+'Other Assumptions'!L$47)</f>
        <v>60.73347265195266</v>
      </c>
      <c r="I43" s="1">
        <f ca="1">I164*'Total Distance Tables Sup #1'!I43*(1+'Other Assumptions'!M$47)</f>
        <v>65.301930019808609</v>
      </c>
      <c r="J43" s="1">
        <f ca="1">J164*'Total Distance Tables Sup #1'!J43*(1+'Other Assumptions'!N$47)</f>
        <v>70.928603407446445</v>
      </c>
      <c r="K43" s="1">
        <f ca="1">K164*'Total Distance Tables Sup #1'!K43*(1+'Other Assumptions'!O$47)</f>
        <v>76.899869034935975</v>
      </c>
    </row>
    <row r="44" spans="1:11" x14ac:dyDescent="0.2">
      <c r="A44" t="str">
        <f ca="1">OFFSET(Auckland_Reference,42,2)</f>
        <v>Local Train</v>
      </c>
      <c r="B44" s="4">
        <f ca="1">B165*'Total Distance Tables Sup #1'!B44*(1+'Other Assumptions'!D$47)</f>
        <v>0</v>
      </c>
      <c r="C44" s="4">
        <f ca="1">C165*'Total Distance Tables Sup #1'!C44*(1+'Other Assumptions'!G$47)</f>
        <v>0</v>
      </c>
      <c r="D44" s="4">
        <f ca="1">D165*'Total Distance Tables Sup #1'!D44*(1+'Other Assumptions'!H$47)</f>
        <v>0</v>
      </c>
      <c r="E44" s="4">
        <f ca="1">E165*'Total Distance Tables Sup #1'!E44*(1+'Other Assumptions'!I$47)</f>
        <v>0</v>
      </c>
      <c r="F44" s="4">
        <f ca="1">F165*'Total Distance Tables Sup #1'!F44*(1+'Other Assumptions'!J$47)</f>
        <v>0</v>
      </c>
      <c r="G44" s="4">
        <f ca="1">G165*'Total Distance Tables Sup #1'!G44*(1+'Other Assumptions'!K$47)</f>
        <v>0</v>
      </c>
      <c r="H44" s="4">
        <f ca="1">H165*'Total Distance Tables Sup #1'!H44*(1+'Other Assumptions'!L$47)</f>
        <v>0</v>
      </c>
      <c r="I44" s="1">
        <f ca="1">I165*'Total Distance Tables Sup #1'!I44*(1+'Other Assumptions'!M$47)</f>
        <v>0</v>
      </c>
      <c r="J44" s="1">
        <f ca="1">J165*'Total Distance Tables Sup #1'!J44*(1+'Other Assumptions'!N$47)</f>
        <v>0</v>
      </c>
      <c r="K44" s="1">
        <f ca="1">K165*'Total Distance Tables Sup #1'!K44*(1+'Other Assumptions'!O$47)</f>
        <v>0</v>
      </c>
    </row>
    <row r="45" spans="1:11" x14ac:dyDescent="0.2">
      <c r="A45" t="str">
        <f ca="1">OFFSET(BOP_Reference,42,2)</f>
        <v>Local Bus</v>
      </c>
      <c r="B45" s="4">
        <f ca="1">B166*'Total Distance Tables Sup #1'!B45*(1+'Other Assumptions'!D$47)</f>
        <v>52.669440211999998</v>
      </c>
      <c r="C45" s="4">
        <f ca="1">C166*'Total Distance Tables Sup #1'!C45*(1+'Other Assumptions'!G$47)</f>
        <v>53.350099712858089</v>
      </c>
      <c r="D45" s="4">
        <f ca="1">D166*'Total Distance Tables Sup #1'!D45*(1+'Other Assumptions'!H$47)</f>
        <v>58.529805548182516</v>
      </c>
      <c r="E45" s="4">
        <f ca="1">E166*'Total Distance Tables Sup #1'!E45*(1+'Other Assumptions'!I$47)</f>
        <v>62.201395179465514</v>
      </c>
      <c r="F45" s="4">
        <f ca="1">F166*'Total Distance Tables Sup #1'!F45*(1+'Other Assumptions'!J$47)</f>
        <v>65.240103753552404</v>
      </c>
      <c r="G45" s="4">
        <f ca="1">G166*'Total Distance Tables Sup #1'!G45*(1+'Other Assumptions'!K$47)</f>
        <v>68.990455519260891</v>
      </c>
      <c r="H45" s="4">
        <f ca="1">H166*'Total Distance Tables Sup #1'!H45*(1+'Other Assumptions'!L$47)</f>
        <v>72.72822623512748</v>
      </c>
      <c r="I45" s="1">
        <f ca="1">I166*'Total Distance Tables Sup #1'!I45*(1+'Other Assumptions'!M$47)</f>
        <v>78.267433108374348</v>
      </c>
      <c r="J45" s="1">
        <f ca="1">J166*'Total Distance Tables Sup #1'!J45*(1+'Other Assumptions'!N$47)</f>
        <v>85.134899792097954</v>
      </c>
      <c r="K45" s="1">
        <f ca="1">K166*'Total Distance Tables Sup #1'!K45*(1+'Other Assumptions'!O$47)</f>
        <v>92.447156352502319</v>
      </c>
    </row>
    <row r="46" spans="1:11" x14ac:dyDescent="0.2">
      <c r="A46" t="str">
        <f ca="1">OFFSET(Waikato_Reference,56,2)</f>
        <v>Local Ferry</v>
      </c>
      <c r="B46" s="4">
        <f>B167*'Total Distance Tables Sup #1'!B46*(1+'Other Assumptions'!D$47)</f>
        <v>0</v>
      </c>
      <c r="C46" s="4">
        <f ca="1">C167*'Total Distance Tables Sup #1'!C46*(1+'Other Assumptions'!G$47)</f>
        <v>0</v>
      </c>
      <c r="D46" s="4">
        <f ca="1">D167*'Total Distance Tables Sup #1'!D46*(1+'Other Assumptions'!H$47)</f>
        <v>0</v>
      </c>
      <c r="E46" s="4">
        <f ca="1">E167*'Total Distance Tables Sup #1'!E46*(1+'Other Assumptions'!I$47)</f>
        <v>0</v>
      </c>
      <c r="F46" s="4">
        <f ca="1">F167*'Total Distance Tables Sup #1'!F46*(1+'Other Assumptions'!J$47)</f>
        <v>0</v>
      </c>
      <c r="G46" s="4">
        <f ca="1">G167*'Total Distance Tables Sup #1'!G46*(1+'Other Assumptions'!K$47)</f>
        <v>0</v>
      </c>
      <c r="H46" s="4">
        <f ca="1">H167*'Total Distance Tables Sup #1'!H46*(1+'Other Assumptions'!L$47)</f>
        <v>0</v>
      </c>
      <c r="I46" s="1">
        <f ca="1">I167*'Total Distance Tables Sup #1'!I46*(1+'Other Assumptions'!M$47)</f>
        <v>0</v>
      </c>
      <c r="J46" s="1">
        <f ca="1">J167*'Total Distance Tables Sup #1'!J46*(1+'Other Assumptions'!N$47)</f>
        <v>0</v>
      </c>
      <c r="K46" s="1">
        <f ca="1">K167*'Total Distance Tables Sup #1'!K46*(1+'Other Assumptions'!O$47)</f>
        <v>0</v>
      </c>
    </row>
    <row r="47" spans="1:11" x14ac:dyDescent="0.2">
      <c r="A47" t="str">
        <f ca="1">OFFSET(BOP_Reference,49,2)</f>
        <v>Other Household Travel</v>
      </c>
      <c r="B47" s="4">
        <f ca="1">B168*'Total Distance Tables Sup #1'!B47*(1+'Other Assumptions'!D$47)</f>
        <v>0</v>
      </c>
      <c r="C47" s="4">
        <f ca="1">C168*'Total Distance Tables Sup #1'!C47*(1+'Other Assumptions'!G$47)</f>
        <v>0</v>
      </c>
      <c r="D47" s="4">
        <f ca="1">D168*'Total Distance Tables Sup #1'!D47*(1+'Other Assumptions'!H$47)</f>
        <v>0</v>
      </c>
      <c r="E47" s="4">
        <f ca="1">E168*'Total Distance Tables Sup #1'!E47*(1+'Other Assumptions'!I$47)</f>
        <v>0</v>
      </c>
      <c r="F47" s="4">
        <f ca="1">F168*'Total Distance Tables Sup #1'!F47*(1+'Other Assumptions'!J$47)</f>
        <v>0</v>
      </c>
      <c r="G47" s="4">
        <f ca="1">G168*'Total Distance Tables Sup #1'!G47*(1+'Other Assumptions'!K$47)</f>
        <v>0</v>
      </c>
      <c r="H47" s="4">
        <f ca="1">H168*'Total Distance Tables Sup #1'!H47*(1+'Other Assumptions'!L$47)</f>
        <v>0</v>
      </c>
      <c r="I47" s="1">
        <f ca="1">I168*'Total Distance Tables Sup #1'!I47*(1+'Other Assumptions'!M$47)</f>
        <v>0</v>
      </c>
      <c r="J47" s="1">
        <f ca="1">J168*'Total Distance Tables Sup #1'!J47*(1+'Other Assumptions'!N$47)</f>
        <v>0</v>
      </c>
      <c r="K47" s="1">
        <f ca="1">K168*'Total Distance Tables Sup #1'!K47*(1+'Other Assumptions'!O$47)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B159*'Total Distance Tables Sup #1'!B49*(1+'Other Assumptions'!D$48)*(1+'Active Mode Assumptions'!B9)</f>
        <v>7.5635235767999998</v>
      </c>
      <c r="C49" s="4">
        <f ca="1">C159*'Total Distance Tables Sup #1'!C49*(1+'Other Assumptions'!G$48)*(1+'Active Mode Assumptions'!C9)</f>
        <v>7.6040507196101741</v>
      </c>
      <c r="D49" s="4">
        <f ca="1">D159*'Total Distance Tables Sup #1'!D49*(1+'Other Assumptions'!H$48)*(1+'Active Mode Assumptions'!D9)</f>
        <v>7.765777623244615</v>
      </c>
      <c r="E49" s="4">
        <f ca="1">E159*'Total Distance Tables Sup #1'!E49*(1+'Other Assumptions'!I$48)*(1+'Active Mode Assumptions'!E9)</f>
        <v>7.815212523982094</v>
      </c>
      <c r="F49" s="4">
        <f ca="1">F159*'Total Distance Tables Sup #1'!F49*(1+'Other Assumptions'!J$48)*(1+'Active Mode Assumptions'!F9)</f>
        <v>7.7948154688962266</v>
      </c>
      <c r="G49" s="4">
        <f ca="1">G159*'Total Distance Tables Sup #1'!G49*(1+'Other Assumptions'!K$48)*(1+'Active Mode Assumptions'!G9)</f>
        <v>7.7538858163006763</v>
      </c>
      <c r="H49" s="4">
        <f ca="1">H159*'Total Distance Tables Sup #1'!H49*(1+'Other Assumptions'!L$48)*(1+'Active Mode Assumptions'!H9)</f>
        <v>7.6650480922986883</v>
      </c>
      <c r="I49" s="1">
        <f ca="1">I159*'Total Distance Tables Sup #1'!I49*(1+'Other Assumptions'!M$48)*(1+'Active Mode Assumptions'!I9)</f>
        <v>7.734088494223788</v>
      </c>
      <c r="J49" s="1">
        <f ca="1">J159*'Total Distance Tables Sup #1'!J49*(1+'Other Assumptions'!N$48)*(1+'Active Mode Assumptions'!J9)</f>
        <v>7.7790192127250144</v>
      </c>
      <c r="K49" s="1">
        <f ca="1">K159*'Total Distance Tables Sup #1'!K49*(1+'Other Assumptions'!O$48)*(1+'Active Mode Assumptions'!K9)</f>
        <v>7.8053321978431045</v>
      </c>
    </row>
    <row r="50" spans="1:11" x14ac:dyDescent="0.2">
      <c r="A50" t="str">
        <f ca="1">OFFSET(Gisborne_Reference,7,2)</f>
        <v>Cyclist</v>
      </c>
      <c r="B50" s="4">
        <f ca="1">B160*'Total Distance Tables Sup #1'!B50*(1+'Other Assumptions'!D$48)*(1+'Active Mode Assumptions'!B18)</f>
        <v>3.8031873472000002</v>
      </c>
      <c r="C50" s="4">
        <f ca="1">C160*'Total Distance Tables Sup #1'!C50*(1+'Other Assumptions'!G$48)*(1+'Active Mode Assumptions'!C18)</f>
        <v>3.918231678402456</v>
      </c>
      <c r="D50" s="4">
        <f ca="1">D160*'Total Distance Tables Sup #1'!D50*(1+'Other Assumptions'!H$48)*(1+'Active Mode Assumptions'!D18)</f>
        <v>4.5625925798857194</v>
      </c>
      <c r="E50" s="4">
        <f ca="1">E160*'Total Distance Tables Sup #1'!E50*(1+'Other Assumptions'!I$48)*(1+'Active Mode Assumptions'!E18)</f>
        <v>5.0329977590937949</v>
      </c>
      <c r="F50" s="4">
        <f ca="1">F160*'Total Distance Tables Sup #1'!F50*(1+'Other Assumptions'!J$48)*(1+'Active Mode Assumptions'!F18)</f>
        <v>5.575206987758154</v>
      </c>
      <c r="G50" s="4">
        <f ca="1">G160*'Total Distance Tables Sup #1'!G50*(1+'Other Assumptions'!K$48)*(1+'Active Mode Assumptions'!G18)</f>
        <v>6.2068898124867911</v>
      </c>
      <c r="H50" s="4">
        <f ca="1">H160*'Total Distance Tables Sup #1'!H50*(1+'Other Assumptions'!L$48)*(1+'Active Mode Assumptions'!H18)</f>
        <v>6.8403655340337899</v>
      </c>
      <c r="I50" s="1">
        <f ca="1">I160*'Total Distance Tables Sup #1'!I50*(1+'Other Assumptions'!M$48)*(1+'Active Mode Assumptions'!I18)</f>
        <v>6.952276408743546</v>
      </c>
      <c r="J50" s="1">
        <f ca="1">J160*'Total Distance Tables Sup #1'!J50*(1+'Other Assumptions'!N$48)*(1+'Active Mode Assumptions'!J18)</f>
        <v>7.0646926763479865</v>
      </c>
      <c r="K50" s="1">
        <f ca="1">K160*'Total Distance Tables Sup #1'!K50*(1+'Other Assumptions'!O$48)*(1+'Active Mode Assumptions'!K18)</f>
        <v>7.1630796299660986</v>
      </c>
    </row>
    <row r="51" spans="1:11" x14ac:dyDescent="0.2">
      <c r="A51" t="str">
        <f ca="1">OFFSET(Gisborne_Reference,14,2)</f>
        <v>Light Vehicle Driver</v>
      </c>
      <c r="B51" s="4">
        <f ca="1">B161*'Total Distance Tables Sup #1'!B51*(1+'Other Assumptions'!D$48)-(B49*'Active Mode Assumptions'!B9*'Active Mode Assumptions'!B14/(1+'Active Mode Assumptions'!B9))-(B50*'Active Mode Assumptions'!B18*'Active Mode Assumptions'!B23/(1+'Active Mode Assumptions'!B18))</f>
        <v>241.40144318</v>
      </c>
      <c r="C51" s="4">
        <f ca="1">C161*'Total Distance Tables Sup #1'!C51*(1+'Other Assumptions'!G$48)-(C49*'Active Mode Assumptions'!C9*'Active Mode Assumptions'!C14/(1+'Active Mode Assumptions'!C9))-(C50*'Active Mode Assumptions'!C18*'Active Mode Assumptions'!C23/(1+'Active Mode Assumptions'!C18))</f>
        <v>252.86387180995251</v>
      </c>
      <c r="D51" s="4">
        <f ca="1">D161*'Total Distance Tables Sup #1'!D51*(1+'Other Assumptions'!H$48)-(D49*'Active Mode Assumptions'!D9*'Active Mode Assumptions'!D14/(1+'Active Mode Assumptions'!D9))-(D50*'Active Mode Assumptions'!D18*'Active Mode Assumptions'!D23/(1+'Active Mode Assumptions'!D18))</f>
        <v>260.98986388365529</v>
      </c>
      <c r="E51" s="4">
        <f ca="1">E161*'Total Distance Tables Sup #1'!E51*(1+'Other Assumptions'!I$48)-(E49*'Active Mode Assumptions'!E9*'Active Mode Assumptions'!E14/(1+'Active Mode Assumptions'!E9))-(E50*'Active Mode Assumptions'!E18*'Active Mode Assumptions'!E23/(1+'Active Mode Assumptions'!E18))</f>
        <v>269.30738871449034</v>
      </c>
      <c r="F51" s="4">
        <f ca="1">F161*'Total Distance Tables Sup #1'!F51*(1+'Other Assumptions'!J$48)-(F49*'Active Mode Assumptions'!F9*'Active Mode Assumptions'!F14/(1+'Active Mode Assumptions'!F9))-(F50*'Active Mode Assumptions'!F18*'Active Mode Assumptions'!F23/(1+'Active Mode Assumptions'!F18))</f>
        <v>274.60754812319806</v>
      </c>
      <c r="G51" s="4">
        <f ca="1">G161*'Total Distance Tables Sup #1'!G51*(1+'Other Assumptions'!K$48)-(G49*'Active Mode Assumptions'!G9*'Active Mode Assumptions'!G14/(1+'Active Mode Assumptions'!G9))-(G50*'Active Mode Assumptions'!G18*'Active Mode Assumptions'!G23/(1+'Active Mode Assumptions'!G18))</f>
        <v>275.99675496495399</v>
      </c>
      <c r="H51" s="4">
        <f ca="1">H161*'Total Distance Tables Sup #1'!H51*(1+'Other Assumptions'!L$48)-(H49*'Active Mode Assumptions'!H9*'Active Mode Assumptions'!H14/(1+'Active Mode Assumptions'!H9))-(H50*'Active Mode Assumptions'!H18*'Active Mode Assumptions'!H23/(1+'Active Mode Assumptions'!H18))</f>
        <v>274.93244991862383</v>
      </c>
      <c r="I51" s="1">
        <f ca="1">I161*'Total Distance Tables Sup #1'!I51*(1+'Other Assumptions'!M$48)-(I49*'Active Mode Assumptions'!I9*'Active Mode Assumptions'!I14/(1+'Active Mode Assumptions'!I9))-(I50*'Active Mode Assumptions'!I18*'Active Mode Assumptions'!I23/(1+'Active Mode Assumptions'!I18))</f>
        <v>277.30311058521818</v>
      </c>
      <c r="J51" s="1">
        <f ca="1">J161*'Total Distance Tables Sup #1'!J51*(1+'Other Assumptions'!N$48)-(J49*'Active Mode Assumptions'!J9*'Active Mode Assumptions'!J14/(1+'Active Mode Assumptions'!J9))-(J50*'Active Mode Assumptions'!J18*'Active Mode Assumptions'!J23/(1+'Active Mode Assumptions'!J18))</f>
        <v>278.70649828532515</v>
      </c>
      <c r="K51" s="1">
        <f ca="1">K161*'Total Distance Tables Sup #1'!K51*(1+'Other Assumptions'!O$48)-(K49*'Active Mode Assumptions'!K9*'Active Mode Assumptions'!K14/(1+'Active Mode Assumptions'!K9))-(K50*'Active Mode Assumptions'!K18*'Active Mode Assumptions'!K23/(1+'Active Mode Assumptions'!K18))</f>
        <v>279.42736915383728</v>
      </c>
    </row>
    <row r="52" spans="1:11" x14ac:dyDescent="0.2">
      <c r="A52" t="str">
        <f ca="1">OFFSET(Gisborne_Reference,21,2)</f>
        <v>Light Vehicle Passenger</v>
      </c>
      <c r="B52" s="4">
        <f ca="1">B162*'Total Distance Tables Sup #1'!B52*(1+'Other Assumptions'!D$48)-(B49*'Active Mode Assumptions'!B9*'Active Mode Assumptions'!B15/(1+'Active Mode Assumptions'!B9))-(B50*'Active Mode Assumptions'!B18*'Active Mode Assumptions'!B24/(1+'Active Mode Assumptions'!B18))</f>
        <v>174.74236519999999</v>
      </c>
      <c r="C52" s="4">
        <f ca="1">C162*'Total Distance Tables Sup #1'!C52*(1+'Other Assumptions'!G$48)-(C49*'Active Mode Assumptions'!C9*'Active Mode Assumptions'!C15/(1+'Active Mode Assumptions'!C9))-(C50*'Active Mode Assumptions'!C18*'Active Mode Assumptions'!C24/(1+'Active Mode Assumptions'!C18))</f>
        <v>175.28417702603502</v>
      </c>
      <c r="D52" s="4">
        <f ca="1">D162*'Total Distance Tables Sup #1'!D52*(1+'Other Assumptions'!H$48)-(D49*'Active Mode Assumptions'!D9*'Active Mode Assumptions'!D15/(1+'Active Mode Assumptions'!D9))-(D50*'Active Mode Assumptions'!D18*'Active Mode Assumptions'!D24/(1+'Active Mode Assumptions'!D18))</f>
        <v>179.07569344762618</v>
      </c>
      <c r="E52" s="4">
        <f ca="1">E162*'Total Distance Tables Sup #1'!E52*(1+'Other Assumptions'!I$48)-(E49*'Active Mode Assumptions'!E9*'Active Mode Assumptions'!E15/(1+'Active Mode Assumptions'!E9))-(E50*'Active Mode Assumptions'!E18*'Active Mode Assumptions'!E24/(1+'Active Mode Assumptions'!E18))</f>
        <v>182.37054775972888</v>
      </c>
      <c r="F52" s="4">
        <f ca="1">F162*'Total Distance Tables Sup #1'!F52*(1+'Other Assumptions'!J$48)-(F49*'Active Mode Assumptions'!F9*'Active Mode Assumptions'!F15/(1+'Active Mode Assumptions'!F9))-(F50*'Active Mode Assumptions'!F18*'Active Mode Assumptions'!F24/(1+'Active Mode Assumptions'!F18))</f>
        <v>183.79891215162371</v>
      </c>
      <c r="G52" s="4">
        <f ca="1">G162*'Total Distance Tables Sup #1'!G52*(1+'Other Assumptions'!K$48)-(G49*'Active Mode Assumptions'!G9*'Active Mode Assumptions'!G15/(1+'Active Mode Assumptions'!G9))-(G50*'Active Mode Assumptions'!G18*'Active Mode Assumptions'!G24/(1+'Active Mode Assumptions'!G18))</f>
        <v>183.62879984391574</v>
      </c>
      <c r="H52" s="4">
        <f ca="1">H162*'Total Distance Tables Sup #1'!H52*(1+'Other Assumptions'!L$48)-(H49*'Active Mode Assumptions'!H9*'Active Mode Assumptions'!H15/(1+'Active Mode Assumptions'!H9))-(H50*'Active Mode Assumptions'!H18*'Active Mode Assumptions'!H24/(1+'Active Mode Assumptions'!H18))</f>
        <v>182.11601320415247</v>
      </c>
      <c r="I52" s="1">
        <f ca="1">I162*'Total Distance Tables Sup #1'!I52*(1+'Other Assumptions'!M$48)-(I49*'Active Mode Assumptions'!I9*'Active Mode Assumptions'!I15/(1+'Active Mode Assumptions'!I9))-(I50*'Active Mode Assumptions'!I18*'Active Mode Assumptions'!I24/(1+'Active Mode Assumptions'!I18))</f>
        <v>183.84721980914037</v>
      </c>
      <c r="J52" s="1">
        <f ca="1">J162*'Total Distance Tables Sup #1'!J52*(1+'Other Assumptions'!N$48)-(J49*'Active Mode Assumptions'!J9*'Active Mode Assumptions'!J15/(1+'Active Mode Assumptions'!J9))-(J50*'Active Mode Assumptions'!J18*'Active Mode Assumptions'!J24/(1+'Active Mode Assumptions'!J18))</f>
        <v>184.98009834400014</v>
      </c>
      <c r="K52" s="1">
        <f ca="1">K162*'Total Distance Tables Sup #1'!K52*(1+'Other Assumptions'!O$48)-(K49*'Active Mode Assumptions'!K9*'Active Mode Assumptions'!K15/(1+'Active Mode Assumptions'!K9))-(K50*'Active Mode Assumptions'!K18*'Active Mode Assumptions'!K24/(1+'Active Mode Assumptions'!K18))</f>
        <v>185.66025774567791</v>
      </c>
    </row>
    <row r="53" spans="1:11" x14ac:dyDescent="0.2">
      <c r="A53" t="str">
        <f ca="1">OFFSET(Gisborne_Reference,28,2)</f>
        <v>Taxi/Vehicle Share</v>
      </c>
      <c r="B53" s="4">
        <f ca="1">B163*'Total Distance Tables Sup #1'!B53*(1+'Other Assumptions'!D$48)</f>
        <v>0.1174510768</v>
      </c>
      <c r="C53" s="4">
        <f ca="1">C163*'Total Distance Tables Sup #1'!C53*(1+'Other Assumptions'!G$48)</f>
        <v>0.13059628534777873</v>
      </c>
      <c r="D53" s="4">
        <f ca="1">D163*'Total Distance Tables Sup #1'!D53*(1+'Other Assumptions'!H$48)</f>
        <v>0.14708401303831703</v>
      </c>
      <c r="E53" s="4">
        <f ca="1">E163*'Total Distance Tables Sup #1'!E53*(1+'Other Assumptions'!I$48)</f>
        <v>0.16181774172039115</v>
      </c>
      <c r="F53" s="4">
        <f ca="1">F163*'Total Distance Tables Sup #1'!F53*(1+'Other Assumptions'!J$48)</f>
        <v>0.17344746106620826</v>
      </c>
      <c r="G53" s="4">
        <f ca="1">G163*'Total Distance Tables Sup #1'!G53*(1+'Other Assumptions'!K$48)</f>
        <v>0.18090945986384777</v>
      </c>
      <c r="H53" s="4">
        <f ca="1">H163*'Total Distance Tables Sup #1'!H53*(1+'Other Assumptions'!L$48)</f>
        <v>0.18606707762507357</v>
      </c>
      <c r="I53" s="1">
        <f ca="1">I163*'Total Distance Tables Sup #1'!I53*(1+'Other Assumptions'!M$48)</f>
        <v>0.1880261881247895</v>
      </c>
      <c r="J53" s="1">
        <f ca="1">J163*'Total Distance Tables Sup #1'!J53*(1+'Other Assumptions'!N$48)</f>
        <v>0.18950311673222953</v>
      </c>
      <c r="K53" s="1">
        <f ca="1">K163*'Total Distance Tables Sup #1'!K53*(1+'Other Assumptions'!O$48)</f>
        <v>0.19053270697453761</v>
      </c>
    </row>
    <row r="54" spans="1:11" x14ac:dyDescent="0.2">
      <c r="A54" t="str">
        <f ca="1">OFFSET(Gisborne_Reference,35,2)</f>
        <v>Motorcyclist</v>
      </c>
      <c r="B54" s="4">
        <f ca="1">B164*'Total Distance Tables Sup #1'!B54*(1+'Other Assumptions'!D$48)</f>
        <v>0.95186353219999997</v>
      </c>
      <c r="C54" s="4">
        <f ca="1">C164*'Total Distance Tables Sup #1'!C54*(1+'Other Assumptions'!G$48)</f>
        <v>0.99030216281165173</v>
      </c>
      <c r="D54" s="4">
        <f ca="1">D164*'Total Distance Tables Sup #1'!D54*(1+'Other Assumptions'!H$48)</f>
        <v>1.0269145924934251</v>
      </c>
      <c r="E54" s="4">
        <f ca="1">E164*'Total Distance Tables Sup #1'!E54*(1+'Other Assumptions'!I$48)</f>
        <v>1.0363608219073792</v>
      </c>
      <c r="F54" s="4">
        <f ca="1">F164*'Total Distance Tables Sup #1'!F54*(1+'Other Assumptions'!J$48)</f>
        <v>1.0222323729401113</v>
      </c>
      <c r="G54" s="4">
        <f ca="1">G164*'Total Distance Tables Sup #1'!G54*(1+'Other Assumptions'!K$48)</f>
        <v>0.98334013434569301</v>
      </c>
      <c r="H54" s="4">
        <f ca="1">H164*'Total Distance Tables Sup #1'!H54*(1+'Other Assumptions'!L$48)</f>
        <v>0.93562622541006735</v>
      </c>
      <c r="I54" s="1">
        <f ca="1">I164*'Total Distance Tables Sup #1'!I54*(1+'Other Assumptions'!M$48)</f>
        <v>0.94612687212621072</v>
      </c>
      <c r="J54" s="1">
        <f ca="1">J164*'Total Distance Tables Sup #1'!J54*(1+'Other Assumptions'!N$48)</f>
        <v>0.95350392672172679</v>
      </c>
      <c r="K54" s="1">
        <f ca="1">K164*'Total Distance Tables Sup #1'!K54*(1+'Other Assumptions'!O$48)</f>
        <v>0.95846878590905782</v>
      </c>
    </row>
    <row r="55" spans="1:11" x14ac:dyDescent="0.2">
      <c r="A55" t="str">
        <f ca="1">OFFSET(Gisborne_Reference,42,2)</f>
        <v>Local Train</v>
      </c>
      <c r="B55" s="4">
        <f ca="1">B165*'Total Distance Tables Sup #1'!B55*(1+'Other Assumptions'!D$48)</f>
        <v>0</v>
      </c>
      <c r="C55" s="4">
        <f ca="1">C165*'Total Distance Tables Sup #1'!C55*(1+'Other Assumptions'!G$48)</f>
        <v>0</v>
      </c>
      <c r="D55" s="4">
        <f ca="1">D165*'Total Distance Tables Sup #1'!D55*(1+'Other Assumptions'!H$48)</f>
        <v>0</v>
      </c>
      <c r="E55" s="4">
        <f ca="1">E165*'Total Distance Tables Sup #1'!E55*(1+'Other Assumptions'!I$48)</f>
        <v>0</v>
      </c>
      <c r="F55" s="4">
        <f ca="1">F165*'Total Distance Tables Sup #1'!F55*(1+'Other Assumptions'!J$48)</f>
        <v>0</v>
      </c>
      <c r="G55" s="4">
        <f ca="1">G165*'Total Distance Tables Sup #1'!G55*(1+'Other Assumptions'!K$48)</f>
        <v>0</v>
      </c>
      <c r="H55" s="4">
        <f ca="1">H165*'Total Distance Tables Sup #1'!H55*(1+'Other Assumptions'!L$48)</f>
        <v>0</v>
      </c>
      <c r="I55" s="1">
        <f ca="1">I165*'Total Distance Tables Sup #1'!I55*(1+'Other Assumptions'!M$48)</f>
        <v>0</v>
      </c>
      <c r="J55" s="1">
        <f ca="1">J165*'Total Distance Tables Sup #1'!J55*(1+'Other Assumptions'!N$48)</f>
        <v>0</v>
      </c>
      <c r="K55" s="1">
        <f ca="1">K165*'Total Distance Tables Sup #1'!K55*(1+'Other Assumptions'!O$48)</f>
        <v>0</v>
      </c>
    </row>
    <row r="56" spans="1:11" x14ac:dyDescent="0.2">
      <c r="A56" t="str">
        <f ca="1">OFFSET(Gisborne_Reference,49,2)</f>
        <v>Local Bus</v>
      </c>
      <c r="B56" s="4">
        <f ca="1">B166*'Total Distance Tables Sup #1'!B56*(1+'Other Assumptions'!D$48)</f>
        <v>4.8778387282000004</v>
      </c>
      <c r="C56" s="4">
        <f ca="1">C166*'Total Distance Tables Sup #1'!C56*(1+'Other Assumptions'!G$48)</f>
        <v>4.3445243198626304</v>
      </c>
      <c r="D56" s="4">
        <f ca="1">D166*'Total Distance Tables Sup #1'!D56*(1+'Other Assumptions'!H$48)</f>
        <v>4.3196192701959948</v>
      </c>
      <c r="E56" s="4">
        <f ca="1">E166*'Total Distance Tables Sup #1'!E56*(1+'Other Assumptions'!I$48)</f>
        <v>4.2171259325116539</v>
      </c>
      <c r="F56" s="4">
        <f ca="1">F166*'Total Distance Tables Sup #1'!F56*(1+'Other Assumptions'!J$48)</f>
        <v>4.0779502200939763</v>
      </c>
      <c r="G56" s="4">
        <f ca="1">G166*'Total Distance Tables Sup #1'!G56*(1+'Other Assumptions'!K$48)</f>
        <v>3.9799864749803469</v>
      </c>
      <c r="H56" s="4">
        <f ca="1">H166*'Total Distance Tables Sup #1'!H56*(1+'Other Assumptions'!L$48)</f>
        <v>3.8817772784077436</v>
      </c>
      <c r="I56" s="1">
        <f ca="1">I166*'Total Distance Tables Sup #1'!I56*(1+'Other Assumptions'!M$48)</f>
        <v>3.928780781883864</v>
      </c>
      <c r="J56" s="1">
        <f ca="1">J166*'Total Distance Tables Sup #1'!J56*(1+'Other Assumptions'!N$48)</f>
        <v>3.9651721941059672</v>
      </c>
      <c r="K56" s="1">
        <f ca="1">K166*'Total Distance Tables Sup #1'!K56*(1+'Other Assumptions'!O$48)</f>
        <v>3.9920803716409341</v>
      </c>
    </row>
    <row r="57" spans="1:11" x14ac:dyDescent="0.2">
      <c r="A57" t="str">
        <f ca="1">OFFSET(Gisborne_Reference,56,2)</f>
        <v>Local Ferry</v>
      </c>
      <c r="B57" s="4">
        <f ca="1">B167*'Total Distance Tables Sup #1'!B57*(1+'Other Assumptions'!D$48)</f>
        <v>0</v>
      </c>
      <c r="C57" s="4">
        <f ca="1">C167*'Total Distance Tables Sup #1'!C57*(1+'Other Assumptions'!G$48)</f>
        <v>0</v>
      </c>
      <c r="D57" s="4">
        <f ca="1">D167*'Total Distance Tables Sup #1'!D57*(1+'Other Assumptions'!H$48)</f>
        <v>0</v>
      </c>
      <c r="E57" s="4">
        <f ca="1">E167*'Total Distance Tables Sup #1'!E57*(1+'Other Assumptions'!I$48)</f>
        <v>0</v>
      </c>
      <c r="F57" s="4">
        <f ca="1">F167*'Total Distance Tables Sup #1'!F57*(1+'Other Assumptions'!J$48)</f>
        <v>0</v>
      </c>
      <c r="G57" s="4">
        <f ca="1">G167*'Total Distance Tables Sup #1'!G57*(1+'Other Assumptions'!K$48)</f>
        <v>0</v>
      </c>
      <c r="H57" s="4">
        <f ca="1">H167*'Total Distance Tables Sup #1'!H57*(1+'Other Assumptions'!L$48)</f>
        <v>0</v>
      </c>
      <c r="I57" s="1">
        <f ca="1">I167*'Total Distance Tables Sup #1'!I57*(1+'Other Assumptions'!M$48)</f>
        <v>0</v>
      </c>
      <c r="J57" s="1">
        <f ca="1">J167*'Total Distance Tables Sup #1'!J57*(1+'Other Assumptions'!N$48)</f>
        <v>0</v>
      </c>
      <c r="K57" s="1">
        <f ca="1">K167*'Total Distance Tables Sup #1'!K57*(1+'Other Assumptions'!O$48)</f>
        <v>0</v>
      </c>
    </row>
    <row r="58" spans="1:11" x14ac:dyDescent="0.2">
      <c r="A58" t="str">
        <f ca="1">OFFSET(Gisborne_Reference,63,2)</f>
        <v>Other Household Travel</v>
      </c>
      <c r="B58" s="4">
        <f ca="1">B168*'Total Distance Tables Sup #1'!B58*(1+'Other Assumptions'!D$48)</f>
        <v>0</v>
      </c>
      <c r="C58" s="4">
        <f ca="1">C168*'Total Distance Tables Sup #1'!C58*(1+'Other Assumptions'!G$48)</f>
        <v>0</v>
      </c>
      <c r="D58" s="4">
        <f ca="1">D168*'Total Distance Tables Sup #1'!D58*(1+'Other Assumptions'!H$48)</f>
        <v>0</v>
      </c>
      <c r="E58" s="4">
        <f ca="1">E168*'Total Distance Tables Sup #1'!E58*(1+'Other Assumptions'!I$48)</f>
        <v>0</v>
      </c>
      <c r="F58" s="4">
        <f ca="1">F168*'Total Distance Tables Sup #1'!F58*(1+'Other Assumptions'!J$48)</f>
        <v>0</v>
      </c>
      <c r="G58" s="4">
        <f ca="1">G168*'Total Distance Tables Sup #1'!G58*(1+'Other Assumptions'!K$48)</f>
        <v>0</v>
      </c>
      <c r="H58" s="4">
        <f ca="1">H168*'Total Distance Tables Sup #1'!H58*(1+'Other Assumptions'!L$48)</f>
        <v>0</v>
      </c>
      <c r="I58" s="1">
        <f ca="1">I168*'Total Distance Tables Sup #1'!I58*(1+'Other Assumptions'!M$48)</f>
        <v>0</v>
      </c>
      <c r="J58" s="1">
        <f ca="1">J168*'Total Distance Tables Sup #1'!J58*(1+'Other Assumptions'!N$48)</f>
        <v>0</v>
      </c>
      <c r="K58" s="1">
        <f ca="1">K168*'Total Distance Tables Sup #1'!K58*(1+'Other Assumptions'!O$48)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B159*'Total Distance Tables Sup #1'!B60*(1+'Other Assumptions'!D$49)*(1+'Active Mode Assumptions'!B9)</f>
        <v>22.691613215</v>
      </c>
      <c r="C60" s="4">
        <f ca="1">C159*'Total Distance Tables Sup #1'!C60*(1+'Other Assumptions'!G$49)*(1+'Active Mode Assumptions'!C9)</f>
        <v>22.961160042880099</v>
      </c>
      <c r="D60" s="4">
        <f ca="1">D159*'Total Distance Tables Sup #1'!D60*(1+'Other Assumptions'!H$49)*(1+'Active Mode Assumptions'!D9)</f>
        <v>23.485263278558563</v>
      </c>
      <c r="E60" s="4">
        <f ca="1">E159*'Total Distance Tables Sup #1'!E60*(1+'Other Assumptions'!I$49)*(1+'Active Mode Assumptions'!E9)</f>
        <v>23.699879907467604</v>
      </c>
      <c r="F60" s="4">
        <f ca="1">F159*'Total Distance Tables Sup #1'!F60*(1+'Other Assumptions'!J$49)*(1+'Active Mode Assumptions'!F9)</f>
        <v>23.676831960988626</v>
      </c>
      <c r="G60" s="4">
        <f ca="1">G159*'Total Distance Tables Sup #1'!G60*(1+'Other Assumptions'!K$49)*(1+'Active Mode Assumptions'!G9)</f>
        <v>23.626994489160509</v>
      </c>
      <c r="H60" s="4">
        <f ca="1">H159*'Total Distance Tables Sup #1'!H60*(1+'Other Assumptions'!L$49)*(1+'Active Mode Assumptions'!H9)</f>
        <v>23.414461984505031</v>
      </c>
      <c r="I60" s="1">
        <f ca="1">I159*'Total Distance Tables Sup #1'!I60*(1+'Other Assumptions'!M$49)*(1+'Active Mode Assumptions'!I9)</f>
        <v>23.68419653590913</v>
      </c>
      <c r="J60" s="1">
        <f ca="1">J159*'Total Distance Tables Sup #1'!J60*(1+'Other Assumptions'!N$49)*(1+'Active Mode Assumptions'!J9)</f>
        <v>23.881114104103823</v>
      </c>
      <c r="K60" s="1">
        <f ca="1">K159*'Total Distance Tables Sup #1'!K60*(1+'Other Assumptions'!O$49)*(1+'Active Mode Assumptions'!K9)</f>
        <v>24.021567942147367</v>
      </c>
    </row>
    <row r="61" spans="1:11" x14ac:dyDescent="0.2">
      <c r="A61" t="str">
        <f ca="1">OFFSET(Hawkes_Bay_Reference,7,2)</f>
        <v>Cyclist</v>
      </c>
      <c r="B61" s="4">
        <f ca="1">B160*'Total Distance Tables Sup #1'!B61*(1+'Other Assumptions'!D$49)*(1+'Active Mode Assumptions'!B18)</f>
        <v>9.5482363540000001</v>
      </c>
      <c r="C61" s="4">
        <f ca="1">C160*'Total Distance Tables Sup #1'!C61*(1+'Other Assumptions'!G$49)*(1+'Active Mode Assumptions'!C18)</f>
        <v>9.9008656245466291</v>
      </c>
      <c r="D61" s="4">
        <f ca="1">D160*'Total Distance Tables Sup #1'!D61*(1+'Other Assumptions'!H$49)*(1+'Active Mode Assumptions'!D18)</f>
        <v>11.546660771305834</v>
      </c>
      <c r="E61" s="4">
        <f ca="1">E160*'Total Distance Tables Sup #1'!E61*(1+'Other Assumptions'!I$49)*(1+'Active Mode Assumptions'!E18)</f>
        <v>12.772218037276653</v>
      </c>
      <c r="F61" s="4">
        <f ca="1">F160*'Total Distance Tables Sup #1'!F61*(1+'Other Assumptions'!J$49)*(1+'Active Mode Assumptions'!F18)</f>
        <v>14.171407403356829</v>
      </c>
      <c r="G61" s="4">
        <f ca="1">G160*'Total Distance Tables Sup #1'!G61*(1+'Other Assumptions'!K$49)*(1+'Active Mode Assumptions'!G18)</f>
        <v>15.826954302194862</v>
      </c>
      <c r="H61" s="4">
        <f ca="1">H160*'Total Distance Tables Sup #1'!H61*(1+'Other Assumptions'!L$49)*(1+'Active Mode Assumptions'!H18)</f>
        <v>17.485692758026211</v>
      </c>
      <c r="I61" s="1">
        <f ca="1">I160*'Total Distance Tables Sup #1'!I61*(1+'Other Assumptions'!M$49)*(1+'Active Mode Assumptions'!I18)</f>
        <v>17.816023783627735</v>
      </c>
      <c r="J61" s="1">
        <f ca="1">J160*'Total Distance Tables Sup #1'!J61*(1+'Other Assumptions'!N$49)*(1+'Active Mode Assumptions'!J18)</f>
        <v>18.14919002522636</v>
      </c>
      <c r="K61" s="1">
        <f ca="1">K160*'Total Distance Tables Sup #1'!K61*(1+'Other Assumptions'!O$49)*(1+'Active Mode Assumptions'!K18)</f>
        <v>18.44777414789278</v>
      </c>
    </row>
    <row r="62" spans="1:11" x14ac:dyDescent="0.2">
      <c r="A62" t="str">
        <f ca="1">OFFSET(Hawkes_Bay_Reference,14,2)</f>
        <v>Light Vehicle Driver</v>
      </c>
      <c r="B62" s="4">
        <f ca="1">B161*'Total Distance Tables Sup #1'!B62*(1+'Other Assumptions'!D$49)-(B60*'Active Mode Assumptions'!B9*'Active Mode Assumptions'!B14/(1+'Active Mode Assumptions'!B9))-(B61*'Active Mode Assumptions'!B18*'Active Mode Assumptions'!B23/(1+'Active Mode Assumptions'!B18))</f>
        <v>1001.7566771</v>
      </c>
      <c r="C62" s="4">
        <f ca="1">C161*'Total Distance Tables Sup #1'!C62*(1+'Other Assumptions'!G$49)-(C60*'Active Mode Assumptions'!C9*'Active Mode Assumptions'!C14/(1+'Active Mode Assumptions'!C9))-(C61*'Active Mode Assumptions'!C18*'Active Mode Assumptions'!C23/(1+'Active Mode Assumptions'!C18))</f>
        <v>1056.1285444742146</v>
      </c>
      <c r="D62" s="4">
        <f ca="1">D161*'Total Distance Tables Sup #1'!D62*(1+'Other Assumptions'!H$49)-(D60*'Active Mode Assumptions'!D9*'Active Mode Assumptions'!D14/(1+'Active Mode Assumptions'!D9))-(D61*'Active Mode Assumptions'!D18*'Active Mode Assumptions'!D23/(1+'Active Mode Assumptions'!D18))</f>
        <v>1091.9455912365918</v>
      </c>
      <c r="E62" s="4">
        <f ca="1">E161*'Total Distance Tables Sup #1'!E62*(1+'Other Assumptions'!I$49)-(E60*'Active Mode Assumptions'!E9*'Active Mode Assumptions'!E14/(1+'Active Mode Assumptions'!E9))-(E61*'Active Mode Assumptions'!E18*'Active Mode Assumptions'!E23/(1+'Active Mode Assumptions'!E18))</f>
        <v>1130.0610883462091</v>
      </c>
      <c r="F62" s="4">
        <f ca="1">F161*'Total Distance Tables Sup #1'!F62*(1+'Other Assumptions'!J$49)-(F60*'Active Mode Assumptions'!F9*'Active Mode Assumptions'!F14/(1+'Active Mode Assumptions'!F9))-(F61*'Active Mode Assumptions'!F18*'Active Mode Assumptions'!F23/(1+'Active Mode Assumptions'!F18))</f>
        <v>1154.4113538374181</v>
      </c>
      <c r="G62" s="4">
        <f ca="1">G161*'Total Distance Tables Sup #1'!G62*(1+'Other Assumptions'!K$49)-(G60*'Active Mode Assumptions'!G9*'Active Mode Assumptions'!G14/(1+'Active Mode Assumptions'!G9))-(G61*'Active Mode Assumptions'!G18*'Active Mode Assumptions'!G23/(1+'Active Mode Assumptions'!G18))</f>
        <v>1164.158895074735</v>
      </c>
      <c r="H62" s="4">
        <f ca="1">H161*'Total Distance Tables Sup #1'!H62*(1+'Other Assumptions'!L$49)-(H60*'Active Mode Assumptions'!H9*'Active Mode Assumptions'!H14/(1+'Active Mode Assumptions'!H9))-(H61*'Active Mode Assumptions'!H18*'Active Mode Assumptions'!H23/(1+'Active Mode Assumptions'!H18))</f>
        <v>1162.8084399412826</v>
      </c>
      <c r="I62" s="1">
        <f ca="1">I161*'Total Distance Tables Sup #1'!I62*(1+'Other Assumptions'!M$49)-(I60*'Active Mode Assumptions'!I9*'Active Mode Assumptions'!I14/(1+'Active Mode Assumptions'!I9))-(I61*'Active Mode Assumptions'!I18*'Active Mode Assumptions'!I23/(1+'Active Mode Assumptions'!I18))</f>
        <v>1175.763271672512</v>
      </c>
      <c r="J62" s="1">
        <f ca="1">J161*'Total Distance Tables Sup #1'!J62*(1+'Other Assumptions'!N$49)-(J60*'Active Mode Assumptions'!J9*'Active Mode Assumptions'!J14/(1+'Active Mode Assumptions'!J9))-(J61*'Active Mode Assumptions'!J18*'Active Mode Assumptions'!J23/(1+'Active Mode Assumptions'!J18))</f>
        <v>1184.6675094514519</v>
      </c>
      <c r="K62" s="1">
        <f ca="1">K161*'Total Distance Tables Sup #1'!K62*(1+'Other Assumptions'!O$49)-(K60*'Active Mode Assumptions'!K9*'Active Mode Assumptions'!K14/(1+'Active Mode Assumptions'!K9))-(K61*'Active Mode Assumptions'!K18*'Active Mode Assumptions'!K23/(1+'Active Mode Assumptions'!K18))</f>
        <v>1190.7009499429012</v>
      </c>
    </row>
    <row r="63" spans="1:11" x14ac:dyDescent="0.2">
      <c r="A63" t="str">
        <f ca="1">OFFSET(Hawkes_Bay_Reference,21,2)</f>
        <v>Light Vehicle Passenger</v>
      </c>
      <c r="B63" s="4">
        <f ca="1">B162*'Total Distance Tables Sup #1'!B63*(1+'Other Assumptions'!D$49)-(B60*'Active Mode Assumptions'!B9*'Active Mode Assumptions'!B15/(1+'Active Mode Assumptions'!B9))-(B61*'Active Mode Assumptions'!B18*'Active Mode Assumptions'!B24/(1+'Active Mode Assumptions'!B18))</f>
        <v>607.82570181000006</v>
      </c>
      <c r="C63" s="4">
        <f ca="1">C162*'Total Distance Tables Sup #1'!C63*(1+'Other Assumptions'!G$49)-(C60*'Active Mode Assumptions'!C9*'Active Mode Assumptions'!C15/(1+'Active Mode Assumptions'!C9))-(C61*'Active Mode Assumptions'!C18*'Active Mode Assumptions'!C24/(1+'Active Mode Assumptions'!C18))</f>
        <v>613.66475065561042</v>
      </c>
      <c r="D63" s="4">
        <f ca="1">D162*'Total Distance Tables Sup #1'!D63*(1+'Other Assumptions'!H$49)-(D60*'Active Mode Assumptions'!D9*'Active Mode Assumptions'!D15/(1+'Active Mode Assumptions'!D9))-(D61*'Active Mode Assumptions'!D18*'Active Mode Assumptions'!D24/(1+'Active Mode Assumptions'!D18))</f>
        <v>628.01414471000726</v>
      </c>
      <c r="E63" s="4">
        <f ca="1">E162*'Total Distance Tables Sup #1'!E63*(1+'Other Assumptions'!I$49)-(E60*'Active Mode Assumptions'!E9*'Active Mode Assumptions'!E15/(1+'Active Mode Assumptions'!E9))-(E61*'Active Mode Assumptions'!E18*'Active Mode Assumptions'!E24/(1+'Active Mode Assumptions'!E18))</f>
        <v>641.45061177961691</v>
      </c>
      <c r="F63" s="4">
        <f ca="1">F162*'Total Distance Tables Sup #1'!F63*(1+'Other Assumptions'!J$49)-(F60*'Active Mode Assumptions'!F9*'Active Mode Assumptions'!F15/(1+'Active Mode Assumptions'!F9))-(F61*'Active Mode Assumptions'!F18*'Active Mode Assumptions'!F24/(1+'Active Mode Assumptions'!F18))</f>
        <v>647.66072700286952</v>
      </c>
      <c r="G63" s="4">
        <f ca="1">G162*'Total Distance Tables Sup #1'!G63*(1+'Other Assumptions'!K$49)-(G60*'Active Mode Assumptions'!G9*'Active Mode Assumptions'!G15/(1+'Active Mode Assumptions'!G9))-(G61*'Active Mode Assumptions'!G18*'Active Mode Assumptions'!G24/(1+'Active Mode Assumptions'!G18))</f>
        <v>649.24382223341922</v>
      </c>
      <c r="H63" s="4">
        <f ca="1">H162*'Total Distance Tables Sup #1'!H63*(1+'Other Assumptions'!L$49)-(H60*'Active Mode Assumptions'!H9*'Active Mode Assumptions'!H15/(1+'Active Mode Assumptions'!H9))-(H61*'Active Mode Assumptions'!H18*'Active Mode Assumptions'!H24/(1+'Active Mode Assumptions'!H18))</f>
        <v>645.64263789970698</v>
      </c>
      <c r="I63" s="1">
        <f ca="1">I162*'Total Distance Tables Sup #1'!I63*(1+'Other Assumptions'!M$49)-(I60*'Active Mode Assumptions'!I9*'Active Mode Assumptions'!I15/(1+'Active Mode Assumptions'!I9))-(I61*'Active Mode Assumptions'!I18*'Active Mode Assumptions'!I24/(1+'Active Mode Assumptions'!I18))</f>
        <v>653.40716603160524</v>
      </c>
      <c r="J63" s="1">
        <f ca="1">J162*'Total Distance Tables Sup #1'!J63*(1+'Other Assumptions'!N$49)-(J60*'Active Mode Assumptions'!J9*'Active Mode Assumptions'!J15/(1+'Active Mode Assumptions'!J9))-(J61*'Active Mode Assumptions'!J18*'Active Mode Assumptions'!J24/(1+'Active Mode Assumptions'!J18))</f>
        <v>659.07648429291794</v>
      </c>
      <c r="K63" s="1">
        <f ca="1">K162*'Total Distance Tables Sup #1'!K63*(1+'Other Assumptions'!O$49)-(K60*'Active Mode Assumptions'!K9*'Active Mode Assumptions'!K15/(1+'Active Mode Assumptions'!K9))-(K61*'Active Mode Assumptions'!K18*'Active Mode Assumptions'!K24/(1+'Active Mode Assumptions'!K18))</f>
        <v>663.15322551633562</v>
      </c>
    </row>
    <row r="64" spans="1:11" x14ac:dyDescent="0.2">
      <c r="A64" t="str">
        <f ca="1">OFFSET(Hawkes_Bay_Reference,28,2)</f>
        <v>Taxi/Vehicle Share</v>
      </c>
      <c r="B64" s="4">
        <f ca="1">B163*'Total Distance Tables Sup #1'!B64*(1+'Other Assumptions'!D$49)</f>
        <v>1.7589425135000001</v>
      </c>
      <c r="C64" s="4">
        <f ca="1">C163*'Total Distance Tables Sup #1'!C64*(1+'Other Assumptions'!G$49)</f>
        <v>1.9684894007348599</v>
      </c>
      <c r="D64" s="4">
        <f ca="1">D163*'Total Distance Tables Sup #1'!D64*(1+'Other Assumptions'!H$49)</f>
        <v>2.2203906480321751</v>
      </c>
      <c r="E64" s="4">
        <f ca="1">E163*'Total Distance Tables Sup #1'!E64*(1+'Other Assumptions'!I$49)</f>
        <v>2.4495421936469017</v>
      </c>
      <c r="F64" s="4">
        <f ca="1">F163*'Total Distance Tables Sup #1'!F64*(1+'Other Assumptions'!J$49)</f>
        <v>2.6298994023468305</v>
      </c>
      <c r="G64" s="4">
        <f ca="1">G163*'Total Distance Tables Sup #1'!G64*(1+'Other Assumptions'!K$49)</f>
        <v>2.7517171559766624</v>
      </c>
      <c r="H64" s="4">
        <f ca="1">H163*'Total Distance Tables Sup #1'!H64*(1+'Other Assumptions'!L$49)</f>
        <v>2.8372151582834153</v>
      </c>
      <c r="I64" s="1">
        <f ca="1">I163*'Total Distance Tables Sup #1'!I64*(1+'Other Assumptions'!M$49)</f>
        <v>2.8742285353911856</v>
      </c>
      <c r="J64" s="1">
        <f ca="1">J163*'Total Distance Tables Sup #1'!J64*(1+'Other Assumptions'!N$49)</f>
        <v>2.9040195287434956</v>
      </c>
      <c r="K64" s="1">
        <f ca="1">K163*'Total Distance Tables Sup #1'!K64*(1+'Other Assumptions'!O$49)</f>
        <v>2.9270688192530248</v>
      </c>
    </row>
    <row r="65" spans="1:11" x14ac:dyDescent="0.2">
      <c r="A65" t="str">
        <f ca="1">OFFSET(Hawkes_Bay_Reference,35,2)</f>
        <v>Motorcyclist</v>
      </c>
      <c r="B65" s="4">
        <f ca="1">B164*'Total Distance Tables Sup #1'!B65*(1+'Other Assumptions'!D$49)</f>
        <v>3.0321841239</v>
      </c>
      <c r="C65" s="4">
        <f ca="1">C164*'Total Distance Tables Sup #1'!C65*(1+'Other Assumptions'!G$49)</f>
        <v>3.1750913296869894</v>
      </c>
      <c r="D65" s="4">
        <f ca="1">D164*'Total Distance Tables Sup #1'!D65*(1+'Other Assumptions'!H$49)</f>
        <v>3.2974975536063118</v>
      </c>
      <c r="E65" s="4">
        <f ca="1">E164*'Total Distance Tables Sup #1'!E65*(1+'Other Assumptions'!I$49)</f>
        <v>3.3369985146029117</v>
      </c>
      <c r="F65" s="4">
        <f ca="1">F164*'Total Distance Tables Sup #1'!F65*(1+'Other Assumptions'!J$49)</f>
        <v>3.2969097416629429</v>
      </c>
      <c r="G65" s="4">
        <f ca="1">G164*'Total Distance Tables Sup #1'!G65*(1+'Other Assumptions'!K$49)</f>
        <v>3.1815043211597285</v>
      </c>
      <c r="H65" s="4">
        <f ca="1">H164*'Total Distance Tables Sup #1'!H65*(1+'Other Assumptions'!L$49)</f>
        <v>3.0346692166692359</v>
      </c>
      <c r="I65" s="1">
        <f ca="1">I164*'Total Distance Tables Sup #1'!I65*(1+'Other Assumptions'!M$49)</f>
        <v>3.0763700218515662</v>
      </c>
      <c r="J65" s="1">
        <f ca="1">J164*'Total Distance Tables Sup #1'!J65*(1+'Other Assumptions'!N$49)</f>
        <v>3.1080779282254758</v>
      </c>
      <c r="K65" s="1">
        <f ca="1">K164*'Total Distance Tables Sup #1'!K65*(1+'Other Assumptions'!O$49)</f>
        <v>3.1320422189176349</v>
      </c>
    </row>
    <row r="66" spans="1:11" x14ac:dyDescent="0.2">
      <c r="A66" t="str">
        <f ca="1">OFFSET(Auckland_Reference,42,2)</f>
        <v>Local Train</v>
      </c>
      <c r="B66" s="4">
        <f ca="1">B165*'Total Distance Tables Sup #1'!B66*(1+'Other Assumptions'!D$49)</f>
        <v>0</v>
      </c>
      <c r="C66" s="4">
        <f ca="1">C165*'Total Distance Tables Sup #1'!C66*(1+'Other Assumptions'!G$49)</f>
        <v>0</v>
      </c>
      <c r="D66" s="4">
        <f ca="1">D165*'Total Distance Tables Sup #1'!D66*(1+'Other Assumptions'!H$49)</f>
        <v>0</v>
      </c>
      <c r="E66" s="4">
        <f ca="1">E165*'Total Distance Tables Sup #1'!E66*(1+'Other Assumptions'!I$49)</f>
        <v>0</v>
      </c>
      <c r="F66" s="4">
        <f ca="1">F165*'Total Distance Tables Sup #1'!F66*(1+'Other Assumptions'!J$49)</f>
        <v>0</v>
      </c>
      <c r="G66" s="4">
        <f ca="1">G165*'Total Distance Tables Sup #1'!G66*(1+'Other Assumptions'!K$49)</f>
        <v>0</v>
      </c>
      <c r="H66" s="4">
        <f ca="1">H165*'Total Distance Tables Sup #1'!H66*(1+'Other Assumptions'!L$49)</f>
        <v>0</v>
      </c>
      <c r="I66" s="1">
        <f ca="1">I165*'Total Distance Tables Sup #1'!I66*(1+'Other Assumptions'!M$49)</f>
        <v>0</v>
      </c>
      <c r="J66" s="1">
        <f ca="1">J165*'Total Distance Tables Sup #1'!J66*(1+'Other Assumptions'!N$49)</f>
        <v>0</v>
      </c>
      <c r="K66" s="1">
        <f ca="1">K165*'Total Distance Tables Sup #1'!K66*(1+'Other Assumptions'!O$49)</f>
        <v>0</v>
      </c>
    </row>
    <row r="67" spans="1:11" x14ac:dyDescent="0.2">
      <c r="A67" t="str">
        <f ca="1">OFFSET(Hawkes_Bay_Reference,42,2)</f>
        <v>Local Bus</v>
      </c>
      <c r="B67" s="4">
        <f ca="1">B166*'Total Distance Tables Sup #1'!B67*(1+'Other Assumptions'!D$49)</f>
        <v>39.591997026999998</v>
      </c>
      <c r="C67" s="4">
        <f ca="1">C166*'Total Distance Tables Sup #1'!C67*(1+'Other Assumptions'!G$49)</f>
        <v>35.491946384259734</v>
      </c>
      <c r="D67" s="4">
        <f ca="1">D166*'Total Distance Tables Sup #1'!D67*(1+'Other Assumptions'!H$49)</f>
        <v>35.342292456008785</v>
      </c>
      <c r="E67" s="4">
        <f ca="1">E166*'Total Distance Tables Sup #1'!E67*(1+'Other Assumptions'!I$49)</f>
        <v>34.598772123349065</v>
      </c>
      <c r="F67" s="4">
        <f ca="1">F166*'Total Distance Tables Sup #1'!F67*(1+'Other Assumptions'!J$49)</f>
        <v>33.511852585660073</v>
      </c>
      <c r="G67" s="4">
        <f ca="1">G166*'Total Distance Tables Sup #1'!G67*(1+'Other Assumptions'!K$49)</f>
        <v>32.810242354636422</v>
      </c>
      <c r="H67" s="4">
        <f ca="1">H166*'Total Distance Tables Sup #1'!H67*(1+'Other Assumptions'!L$49)</f>
        <v>32.08031883973841</v>
      </c>
      <c r="I67" s="1">
        <f ca="1">I166*'Total Distance Tables Sup #1'!I67*(1+'Other Assumptions'!M$49)</f>
        <v>32.549631739488298</v>
      </c>
      <c r="J67" s="1">
        <f ca="1">J166*'Total Distance Tables Sup #1'!J67*(1+'Other Assumptions'!N$49)</f>
        <v>32.932943947952253</v>
      </c>
      <c r="K67" s="1">
        <f ca="1">K166*'Total Distance Tables Sup #1'!K67*(1+'Other Assumptions'!O$49)</f>
        <v>33.239003827751674</v>
      </c>
    </row>
    <row r="68" spans="1:11" x14ac:dyDescent="0.2">
      <c r="A68" t="str">
        <f ca="1">OFFSET(Waikato_Reference,56,2)</f>
        <v>Local Ferry</v>
      </c>
      <c r="B68" s="4">
        <f>B167*'Total Distance Tables Sup #1'!B68*(1+'Other Assumptions'!D$49)</f>
        <v>0</v>
      </c>
      <c r="C68" s="4">
        <f ca="1">C167*'Total Distance Tables Sup #1'!C68*(1+'Other Assumptions'!G$49)</f>
        <v>0</v>
      </c>
      <c r="D68" s="4">
        <f ca="1">D167*'Total Distance Tables Sup #1'!D68*(1+'Other Assumptions'!H$49)</f>
        <v>0</v>
      </c>
      <c r="E68" s="4">
        <f ca="1">E167*'Total Distance Tables Sup #1'!E68*(1+'Other Assumptions'!I$49)</f>
        <v>0</v>
      </c>
      <c r="F68" s="4">
        <f ca="1">F167*'Total Distance Tables Sup #1'!F68*(1+'Other Assumptions'!J$49)</f>
        <v>0</v>
      </c>
      <c r="G68" s="4">
        <f ca="1">G167*'Total Distance Tables Sup #1'!G68*(1+'Other Assumptions'!K$49)</f>
        <v>0</v>
      </c>
      <c r="H68" s="4">
        <f ca="1">H167*'Total Distance Tables Sup #1'!H68*(1+'Other Assumptions'!L$49)</f>
        <v>0</v>
      </c>
      <c r="I68" s="1">
        <f ca="1">I167*'Total Distance Tables Sup #1'!I68*(1+'Other Assumptions'!M$49)</f>
        <v>0</v>
      </c>
      <c r="J68" s="1">
        <f ca="1">J167*'Total Distance Tables Sup #1'!J68*(1+'Other Assumptions'!N$49)</f>
        <v>0</v>
      </c>
      <c r="K68" s="1">
        <f ca="1">K167*'Total Distance Tables Sup #1'!K68*(1+'Other Assumptions'!O$49)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Distance Tables Sup #1'!B69*(1+'Other Assumptions'!D$49)</f>
        <v>0</v>
      </c>
      <c r="C69" s="4">
        <f ca="1">C168*'Total Distance Tables Sup #1'!C69*(1+'Other Assumptions'!G$49)</f>
        <v>0</v>
      </c>
      <c r="D69" s="4">
        <f ca="1">D168*'Total Distance Tables Sup #1'!D69*(1+'Other Assumptions'!H$49)</f>
        <v>0</v>
      </c>
      <c r="E69" s="4">
        <f ca="1">E168*'Total Distance Tables Sup #1'!E69*(1+'Other Assumptions'!I$49)</f>
        <v>0</v>
      </c>
      <c r="F69" s="4">
        <f ca="1">F168*'Total Distance Tables Sup #1'!F69*(1+'Other Assumptions'!J$49)</f>
        <v>0</v>
      </c>
      <c r="G69" s="4">
        <f ca="1">G168*'Total Distance Tables Sup #1'!G69*(1+'Other Assumptions'!K$49)</f>
        <v>0</v>
      </c>
      <c r="H69" s="4">
        <f ca="1">H168*'Total Distance Tables Sup #1'!H69*(1+'Other Assumptions'!L$49)</f>
        <v>0</v>
      </c>
      <c r="I69" s="1">
        <f ca="1">I168*'Total Distance Tables Sup #1'!I69*(1+'Other Assumptions'!M$49)</f>
        <v>0</v>
      </c>
      <c r="J69" s="1">
        <f ca="1">J168*'Total Distance Tables Sup #1'!J69*(1+'Other Assumptions'!N$49)</f>
        <v>0</v>
      </c>
      <c r="K69" s="1">
        <f ca="1">K168*'Total Distance Tables Sup #1'!K69*(1+'Other Assumptions'!O$49)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B159*'Total Distance Tables Sup #1'!B71*(1+'Other Assumptions'!D$50)*(1+'Active Mode Assumptions'!B9)</f>
        <v>16.820589198</v>
      </c>
      <c r="C71" s="4">
        <f ca="1">C159*'Total Distance Tables Sup #1'!C71*(1+'Other Assumptions'!G$50)*(1+'Active Mode Assumptions'!C9)</f>
        <v>17.181124851854559</v>
      </c>
      <c r="D71" s="4">
        <f ca="1">D159*'Total Distance Tables Sup #1'!D71*(1+'Other Assumptions'!H$50)*(1+'Active Mode Assumptions'!D9)</f>
        <v>17.71865107418509</v>
      </c>
      <c r="E71" s="4">
        <f ca="1">E159*'Total Distance Tables Sup #1'!E71*(1+'Other Assumptions'!I$50)*(1+'Active Mode Assumptions'!E9)</f>
        <v>18.048914180786536</v>
      </c>
      <c r="F71" s="4">
        <f ca="1">F159*'Total Distance Tables Sup #1'!F71*(1+'Other Assumptions'!J$50)*(1+'Active Mode Assumptions'!F9)</f>
        <v>18.222387304202101</v>
      </c>
      <c r="G71" s="4">
        <f ca="1">G159*'Total Distance Tables Sup #1'!G71*(1+'Other Assumptions'!K$50)*(1+'Active Mode Assumptions'!G9)</f>
        <v>18.404415038331706</v>
      </c>
      <c r="H71" s="4">
        <f ca="1">H159*'Total Distance Tables Sup #1'!H71*(1+'Other Assumptions'!L$50)*(1+'Active Mode Assumptions'!H9)</f>
        <v>18.486668276636038</v>
      </c>
      <c r="I71" s="1">
        <f ca="1">I159*'Total Distance Tables Sup #1'!I71*(1+'Other Assumptions'!M$50)*(1+'Active Mode Assumptions'!I9)</f>
        <v>18.953702010560882</v>
      </c>
      <c r="J71" s="1">
        <f ca="1">J159*'Total Distance Tables Sup #1'!J71*(1+'Other Assumptions'!N$50)*(1+'Active Mode Assumptions'!J9)</f>
        <v>19.370949217189196</v>
      </c>
      <c r="K71" s="1">
        <f ca="1">K159*'Total Distance Tables Sup #1'!K71*(1+'Other Assumptions'!O$50)*(1+'Active Mode Assumptions'!K9)</f>
        <v>19.749613326442155</v>
      </c>
    </row>
    <row r="72" spans="1:11" x14ac:dyDescent="0.2">
      <c r="A72" t="str">
        <f ca="1">OFFSET(Taranaki_Reference,7,2)</f>
        <v>Cyclist</v>
      </c>
      <c r="B72" s="4">
        <f ca="1">B160*'Total Distance Tables Sup #1'!B72*(1+'Other Assumptions'!D$50)*(1+'Active Mode Assumptions'!B18)</f>
        <v>5.5737915155</v>
      </c>
      <c r="C72" s="4">
        <f ca="1">C160*'Total Distance Tables Sup #1'!C72*(1+'Other Assumptions'!G$50)*(1+'Active Mode Assumptions'!C18)</f>
        <v>5.8342181172956042</v>
      </c>
      <c r="D72" s="4">
        <f ca="1">D160*'Total Distance Tables Sup #1'!D72*(1+'Other Assumptions'!H$50)*(1+'Active Mode Assumptions'!D18)</f>
        <v>6.8603039339106386</v>
      </c>
      <c r="E72" s="4">
        <f ca="1">E160*'Total Distance Tables Sup #1'!E72*(1+'Other Assumptions'!I$50)*(1+'Active Mode Assumptions'!E18)</f>
        <v>7.6598979844803843</v>
      </c>
      <c r="F72" s="4">
        <f ca="1">F160*'Total Distance Tables Sup #1'!F72*(1+'Other Assumptions'!J$50)*(1+'Active Mode Assumptions'!F18)</f>
        <v>8.5890749357041116</v>
      </c>
      <c r="G72" s="4">
        <f ca="1">G160*'Total Distance Tables Sup #1'!G72*(1+'Other Assumptions'!K$50)*(1+'Active Mode Assumptions'!G18)</f>
        <v>9.7087342606047766</v>
      </c>
      <c r="H72" s="4">
        <f ca="1">H160*'Total Distance Tables Sup #1'!H72*(1+'Other Assumptions'!L$50)*(1+'Active Mode Assumptions'!H18)</f>
        <v>10.871989783447701</v>
      </c>
      <c r="I72" s="1">
        <f ca="1">I160*'Total Distance Tables Sup #1'!I72*(1+'Other Assumptions'!M$50)*(1+'Active Mode Assumptions'!I18)</f>
        <v>11.22788363786319</v>
      </c>
      <c r="J72" s="1">
        <f ca="1">J160*'Total Distance Tables Sup #1'!J72*(1+'Other Assumptions'!N$50)*(1+'Active Mode Assumptions'!J18)</f>
        <v>11.593252474819121</v>
      </c>
      <c r="K72" s="1">
        <f ca="1">K160*'Total Distance Tables Sup #1'!K72*(1+'Other Assumptions'!O$50)*(1+'Active Mode Assumptions'!K18)</f>
        <v>11.944086665164349</v>
      </c>
    </row>
    <row r="73" spans="1:11" x14ac:dyDescent="0.2">
      <c r="A73" t="str">
        <f ca="1">OFFSET(Taranaki_Reference,14,2)</f>
        <v>Light Vehicle Driver</v>
      </c>
      <c r="B73" s="4">
        <f ca="1">B161*'Total Distance Tables Sup #1'!B73*(1+'Other Assumptions'!D$50)-(B71*'Active Mode Assumptions'!B9*'Active Mode Assumptions'!B14/(1+'Active Mode Assumptions'!B9))-(B72*'Active Mode Assumptions'!B18*'Active Mode Assumptions'!B23/(1+'Active Mode Assumptions'!B18))</f>
        <v>933.36875414999997</v>
      </c>
      <c r="C73" s="4">
        <f ca="1">C161*'Total Distance Tables Sup #1'!C73*(1+'Other Assumptions'!G$50)-(C71*'Active Mode Assumptions'!C9*'Active Mode Assumptions'!C14/(1+'Active Mode Assumptions'!C9))-(C72*'Active Mode Assumptions'!C18*'Active Mode Assumptions'!C23/(1+'Active Mode Assumptions'!C18))</f>
        <v>993.32125593770331</v>
      </c>
      <c r="D73" s="4">
        <f ca="1">D161*'Total Distance Tables Sup #1'!D73*(1+'Other Assumptions'!H$50)-(D71*'Active Mode Assumptions'!D9*'Active Mode Assumptions'!D14/(1+'Active Mode Assumptions'!D9))-(D72*'Active Mode Assumptions'!D18*'Active Mode Assumptions'!D23/(1+'Active Mode Assumptions'!D18))</f>
        <v>1035.6183573421702</v>
      </c>
      <c r="E73" s="4">
        <f ca="1">E161*'Total Distance Tables Sup #1'!E73*(1+'Other Assumptions'!I$50)-(E71*'Active Mode Assumptions'!E9*'Active Mode Assumptions'!E14/(1+'Active Mode Assumptions'!E9))-(E72*'Active Mode Assumptions'!E18*'Active Mode Assumptions'!E23/(1+'Active Mode Assumptions'!E18))</f>
        <v>1081.9727229092341</v>
      </c>
      <c r="F73" s="4">
        <f ca="1">F161*'Total Distance Tables Sup #1'!F73*(1+'Other Assumptions'!J$50)-(F71*'Active Mode Assumptions'!F9*'Active Mode Assumptions'!F14/(1+'Active Mode Assumptions'!F9))-(F72*'Active Mode Assumptions'!F18*'Active Mode Assumptions'!F23/(1+'Active Mode Assumptions'!F18))</f>
        <v>1117.115474365494</v>
      </c>
      <c r="G73" s="4">
        <f ca="1">G161*'Total Distance Tables Sup #1'!G73*(1+'Other Assumptions'!K$50)-(G71*'Active Mode Assumptions'!G9*'Active Mode Assumptions'!G14/(1+'Active Mode Assumptions'!G9))-(G72*'Active Mode Assumptions'!G18*'Active Mode Assumptions'!G23/(1+'Active Mode Assumptions'!G18))</f>
        <v>1140.3333164668409</v>
      </c>
      <c r="H73" s="4">
        <f ca="1">H161*'Total Distance Tables Sup #1'!H73*(1+'Other Assumptions'!L$50)-(H71*'Active Mode Assumptions'!H9*'Active Mode Assumptions'!H14/(1+'Active Mode Assumptions'!H9))-(H72*'Active Mode Assumptions'!H18*'Active Mode Assumptions'!H23/(1+'Active Mode Assumptions'!H18))</f>
        <v>1154.6268064603244</v>
      </c>
      <c r="I73" s="1">
        <f ca="1">I161*'Total Distance Tables Sup #1'!I73*(1+'Other Assumptions'!M$50)-(I71*'Active Mode Assumptions'!I9*'Active Mode Assumptions'!I14/(1+'Active Mode Assumptions'!I9))-(I72*'Active Mode Assumptions'!I18*'Active Mode Assumptions'!I23/(1+'Active Mode Assumptions'!I18))</f>
        <v>1183.3571782097592</v>
      </c>
      <c r="J73" s="1">
        <f ca="1">J161*'Total Distance Tables Sup #1'!J73*(1+'Other Assumptions'!N$50)-(J71*'Active Mode Assumptions'!J9*'Active Mode Assumptions'!J14/(1+'Active Mode Assumptions'!J9))-(J72*'Active Mode Assumptions'!J18*'Active Mode Assumptions'!J23/(1+'Active Mode Assumptions'!J18))</f>
        <v>1208.5250447424421</v>
      </c>
      <c r="K73" s="1">
        <f ca="1">K161*'Total Distance Tables Sup #1'!K73*(1+'Other Assumptions'!O$50)-(K71*'Active Mode Assumptions'!K9*'Active Mode Assumptions'!K14/(1+'Active Mode Assumptions'!K9))-(K72*'Active Mode Assumptions'!K18*'Active Mode Assumptions'!K23/(1+'Active Mode Assumptions'!K18))</f>
        <v>1231.1902705408766</v>
      </c>
    </row>
    <row r="74" spans="1:11" x14ac:dyDescent="0.2">
      <c r="A74" t="str">
        <f ca="1">OFFSET(Taranaki_Reference,21,2)</f>
        <v>Light Vehicle Passenger</v>
      </c>
      <c r="B74" s="4">
        <f ca="1">B162*'Total Distance Tables Sup #1'!B74*(1+'Other Assumptions'!D$50)-(B71*'Active Mode Assumptions'!B9*'Active Mode Assumptions'!B15/(1+'Active Mode Assumptions'!B9))-(B72*'Active Mode Assumptions'!B18*'Active Mode Assumptions'!B24/(1+'Active Mode Assumptions'!B18))</f>
        <v>656.25872372000003</v>
      </c>
      <c r="C74" s="4">
        <f ca="1">C162*'Total Distance Tables Sup #1'!C74*(1+'Other Assumptions'!G$50)-(C71*'Active Mode Assumptions'!C9*'Active Mode Assumptions'!C15/(1+'Active Mode Assumptions'!C9))-(C72*'Active Mode Assumptions'!C18*'Active Mode Assumptions'!C24/(1+'Active Mode Assumptions'!C18))</f>
        <v>668.81983319229835</v>
      </c>
      <c r="D74" s="4">
        <f ca="1">D162*'Total Distance Tables Sup #1'!D74*(1+'Other Assumptions'!H$50)-(D71*'Active Mode Assumptions'!D9*'Active Mode Assumptions'!D15/(1+'Active Mode Assumptions'!D9))-(D72*'Active Mode Assumptions'!D18*'Active Mode Assumptions'!D24/(1+'Active Mode Assumptions'!D18))</f>
        <v>690.29248098627318</v>
      </c>
      <c r="E74" s="4">
        <f ca="1">E162*'Total Distance Tables Sup #1'!E74*(1+'Other Assumptions'!I$50)-(E71*'Active Mode Assumptions'!E9*'Active Mode Assumptions'!E15/(1+'Active Mode Assumptions'!E9))-(E72*'Active Mode Assumptions'!E18*'Active Mode Assumptions'!E24/(1+'Active Mode Assumptions'!E18))</f>
        <v>711.87241488483994</v>
      </c>
      <c r="F74" s="4">
        <f ca="1">F162*'Total Distance Tables Sup #1'!F74*(1+'Other Assumptions'!J$50)-(F71*'Active Mode Assumptions'!F9*'Active Mode Assumptions'!F15/(1+'Active Mode Assumptions'!F9))-(F72*'Active Mode Assumptions'!F18*'Active Mode Assumptions'!F24/(1+'Active Mode Assumptions'!F18))</f>
        <v>726.56013283569882</v>
      </c>
      <c r="G74" s="4">
        <f ca="1">G162*'Total Distance Tables Sup #1'!G74*(1+'Other Assumptions'!K$50)-(G71*'Active Mode Assumptions'!G9*'Active Mode Assumptions'!G15/(1+'Active Mode Assumptions'!G9))-(G72*'Active Mode Assumptions'!G18*'Active Mode Assumptions'!G24/(1+'Active Mode Assumptions'!G18))</f>
        <v>737.3614521918106</v>
      </c>
      <c r="H74" s="4">
        <f ca="1">H162*'Total Distance Tables Sup #1'!H74*(1+'Other Assumptions'!L$50)-(H71*'Active Mode Assumptions'!H9*'Active Mode Assumptions'!H15/(1+'Active Mode Assumptions'!H9))-(H72*'Active Mode Assumptions'!H18*'Active Mode Assumptions'!H24/(1+'Active Mode Assumptions'!H18))</f>
        <v>743.445114433291</v>
      </c>
      <c r="I74" s="1">
        <f ca="1">I162*'Total Distance Tables Sup #1'!I74*(1+'Other Assumptions'!M$50)-(I71*'Active Mode Assumptions'!I9*'Active Mode Assumptions'!I15/(1+'Active Mode Assumptions'!I9))-(I72*'Active Mode Assumptions'!I18*'Active Mode Assumptions'!I24/(1+'Active Mode Assumptions'!I18))</f>
        <v>762.6135592435287</v>
      </c>
      <c r="J74" s="1">
        <f ca="1">J162*'Total Distance Tables Sup #1'!J74*(1+'Other Assumptions'!N$50)-(J71*'Active Mode Assumptions'!J9*'Active Mode Assumptions'!J15/(1+'Active Mode Assumptions'!J9))-(J72*'Active Mode Assumptions'!J18*'Active Mode Assumptions'!J24/(1+'Active Mode Assumptions'!J18))</f>
        <v>779.68976108710626</v>
      </c>
      <c r="K74" s="1">
        <f ca="1">K162*'Total Distance Tables Sup #1'!K74*(1+'Other Assumptions'!O$50)-(K71*'Active Mode Assumptions'!K9*'Active Mode Assumptions'!K15/(1+'Active Mode Assumptions'!K9))-(K72*'Active Mode Assumptions'!K18*'Active Mode Assumptions'!K24/(1+'Active Mode Assumptions'!K18))</f>
        <v>795.18001861180767</v>
      </c>
    </row>
    <row r="75" spans="1:11" x14ac:dyDescent="0.2">
      <c r="A75" t="str">
        <f ca="1">OFFSET(Taranaki_Reference,28,2)</f>
        <v>Taxi/Vehicle Share</v>
      </c>
      <c r="B75" s="4">
        <f ca="1">B163*'Total Distance Tables Sup #1'!B75*(1+'Other Assumptions'!D$50)</f>
        <v>1.1335038904000001</v>
      </c>
      <c r="C75" s="4">
        <f ca="1">C163*'Total Distance Tables Sup #1'!C75*(1+'Other Assumptions'!G$50)</f>
        <v>1.2805200586642826</v>
      </c>
      <c r="D75" s="4">
        <f ca="1">D163*'Total Distance Tables Sup #1'!D75*(1+'Other Assumptions'!H$50)</f>
        <v>1.4563311847281093</v>
      </c>
      <c r="E75" s="4">
        <f ca="1">E163*'Total Distance Tables Sup #1'!E75*(1+'Other Assumptions'!I$50)</f>
        <v>1.6217555628965494</v>
      </c>
      <c r="F75" s="4">
        <f ca="1">F163*'Total Distance Tables Sup #1'!F75*(1+'Other Assumptions'!J$50)</f>
        <v>1.7596097291641664</v>
      </c>
      <c r="G75" s="4">
        <f ca="1">G163*'Total Distance Tables Sup #1'!G75*(1+'Other Assumptions'!K$50)</f>
        <v>1.8634290732514369</v>
      </c>
      <c r="H75" s="4">
        <f ca="1">H163*'Total Distance Tables Sup #1'!H75*(1+'Other Assumptions'!L$50)</f>
        <v>1.9474318736703644</v>
      </c>
      <c r="I75" s="1">
        <f ca="1">I163*'Total Distance Tables Sup #1'!I75*(1+'Other Assumptions'!M$50)</f>
        <v>1.9996418891816159</v>
      </c>
      <c r="J75" s="1">
        <f ca="1">J163*'Total Distance Tables Sup #1'!J75*(1+'Other Assumptions'!N$50)</f>
        <v>2.0478181530936062</v>
      </c>
      <c r="K75" s="1">
        <f ca="1">K163*'Total Distance Tables Sup #1'!K75*(1+'Other Assumptions'!O$50)</f>
        <v>2.0921157846992382</v>
      </c>
    </row>
    <row r="76" spans="1:11" x14ac:dyDescent="0.2">
      <c r="A76" t="str">
        <f ca="1">OFFSET(Taranaki_Reference,35,2)</f>
        <v>Motorcyclist</v>
      </c>
      <c r="B76" s="4">
        <f ca="1">B164*'Total Distance Tables Sup #1'!B76*(1+'Other Assumptions'!D$50)</f>
        <v>7.0100687938000004</v>
      </c>
      <c r="C76" s="4">
        <f ca="1">C164*'Total Distance Tables Sup #1'!C76*(1+'Other Assumptions'!G$50)</f>
        <v>7.4097724033601011</v>
      </c>
      <c r="D76" s="4">
        <f ca="1">D164*'Total Distance Tables Sup #1'!D76*(1+'Other Assumptions'!H$50)</f>
        <v>7.7590863140896209</v>
      </c>
      <c r="E76" s="4">
        <f ca="1">E164*'Total Distance Tables Sup #1'!E76*(1+'Other Assumptions'!I$50)</f>
        <v>7.9259590888957803</v>
      </c>
      <c r="F76" s="4">
        <f ca="1">F164*'Total Distance Tables Sup #1'!F76*(1+'Other Assumptions'!J$50)</f>
        <v>7.9137006323156811</v>
      </c>
      <c r="G76" s="4">
        <f ca="1">G164*'Total Distance Tables Sup #1'!G76*(1+'Other Assumptions'!K$50)</f>
        <v>7.7292425192945649</v>
      </c>
      <c r="H76" s="4">
        <f ca="1">H164*'Total Distance Tables Sup #1'!H76*(1+'Other Assumptions'!L$50)</f>
        <v>7.4726854704032588</v>
      </c>
      <c r="I76" s="1">
        <f ca="1">I164*'Total Distance Tables Sup #1'!I76*(1+'Other Assumptions'!M$50)</f>
        <v>7.6782958388042584</v>
      </c>
      <c r="J76" s="1">
        <f ca="1">J164*'Total Distance Tables Sup #1'!J76*(1+'Other Assumptions'!N$50)</f>
        <v>7.8628338113976692</v>
      </c>
      <c r="K76" s="1">
        <f ca="1">K164*'Total Distance Tables Sup #1'!K76*(1+'Other Assumptions'!O$50)</f>
        <v>8.0311129088242481</v>
      </c>
    </row>
    <row r="77" spans="1:11" x14ac:dyDescent="0.2">
      <c r="A77" t="str">
        <f ca="1">OFFSET(Taranaki_Reference,42,2)</f>
        <v>Local Train</v>
      </c>
      <c r="B77" s="4">
        <f ca="1">B165*'Total Distance Tables Sup #1'!B77*(1+'Other Assumptions'!D$50)</f>
        <v>0</v>
      </c>
      <c r="C77" s="4">
        <f ca="1">C165*'Total Distance Tables Sup #1'!C77*(1+'Other Assumptions'!G$50)</f>
        <v>0</v>
      </c>
      <c r="D77" s="4">
        <f ca="1">D165*'Total Distance Tables Sup #1'!D77*(1+'Other Assumptions'!H$50)</f>
        <v>0</v>
      </c>
      <c r="E77" s="4">
        <f ca="1">E165*'Total Distance Tables Sup #1'!E77*(1+'Other Assumptions'!I$50)</f>
        <v>0</v>
      </c>
      <c r="F77" s="4">
        <f ca="1">F165*'Total Distance Tables Sup #1'!F77*(1+'Other Assumptions'!J$50)</f>
        <v>0</v>
      </c>
      <c r="G77" s="4">
        <f ca="1">G165*'Total Distance Tables Sup #1'!G77*(1+'Other Assumptions'!K$50)</f>
        <v>0</v>
      </c>
      <c r="H77" s="4">
        <f ca="1">H165*'Total Distance Tables Sup #1'!H77*(1+'Other Assumptions'!L$50)</f>
        <v>0</v>
      </c>
      <c r="I77" s="1">
        <f ca="1">I165*'Total Distance Tables Sup #1'!I77*(1+'Other Assumptions'!M$50)</f>
        <v>0</v>
      </c>
      <c r="J77" s="1">
        <f ca="1">J165*'Total Distance Tables Sup #1'!J77*(1+'Other Assumptions'!N$50)</f>
        <v>0</v>
      </c>
      <c r="K77" s="1">
        <f ca="1">K165*'Total Distance Tables Sup #1'!K77*(1+'Other Assumptions'!O$50)</f>
        <v>0</v>
      </c>
    </row>
    <row r="78" spans="1:11" x14ac:dyDescent="0.2">
      <c r="A78" t="str">
        <f ca="1">OFFSET(Taranaki_Reference,49,2)</f>
        <v>Local Bus</v>
      </c>
      <c r="B78" s="4">
        <f ca="1">B166*'Total Distance Tables Sup #1'!B78*(1+'Other Assumptions'!D$50)</f>
        <v>14.084735078</v>
      </c>
      <c r="C78" s="4">
        <f ca="1">C166*'Total Distance Tables Sup #1'!C78*(1+'Other Assumptions'!G$50)</f>
        <v>12.745387011562251</v>
      </c>
      <c r="D78" s="4">
        <f ca="1">D166*'Total Distance Tables Sup #1'!D78*(1+'Other Assumptions'!H$50)</f>
        <v>12.796623177173977</v>
      </c>
      <c r="E78" s="4">
        <f ca="1">E166*'Total Distance Tables Sup #1'!E78*(1+'Other Assumptions'!I$50)</f>
        <v>12.645356087841121</v>
      </c>
      <c r="F78" s="4">
        <f ca="1">F166*'Total Distance Tables Sup #1'!F78*(1+'Other Assumptions'!J$50)</f>
        <v>12.37785983517287</v>
      </c>
      <c r="G78" s="4">
        <f ca="1">G166*'Total Distance Tables Sup #1'!G78*(1+'Other Assumptions'!K$50)</f>
        <v>12.265589314893601</v>
      </c>
      <c r="H78" s="4">
        <f ca="1">H166*'Total Distance Tables Sup #1'!H78*(1+'Other Assumptions'!L$50)</f>
        <v>12.155661107437268</v>
      </c>
      <c r="I78" s="1">
        <f ca="1">I166*'Total Distance Tables Sup #1'!I78*(1+'Other Assumptions'!M$50)</f>
        <v>12.501062138694104</v>
      </c>
      <c r="J78" s="1">
        <f ca="1">J166*'Total Distance Tables Sup #1'!J78*(1+'Other Assumptions'!N$50)</f>
        <v>12.820126670733453</v>
      </c>
      <c r="K78" s="1">
        <f ca="1">K166*'Total Distance Tables Sup #1'!K78*(1+'Other Assumptions'!O$50)</f>
        <v>13.115072256166888</v>
      </c>
    </row>
    <row r="79" spans="1:11" x14ac:dyDescent="0.2">
      <c r="A79" t="str">
        <f ca="1">OFFSET(Waikato_Reference,56,2)</f>
        <v>Local Ferry</v>
      </c>
      <c r="B79" s="4">
        <f>B167*'Total Distance Tables Sup #1'!B79*(1+'Other Assumptions'!D$50)</f>
        <v>0</v>
      </c>
      <c r="C79" s="4">
        <f ca="1">C167*'Total Distance Tables Sup #1'!C79*(1+'Other Assumptions'!G$50)</f>
        <v>0</v>
      </c>
      <c r="D79" s="4">
        <f ca="1">D167*'Total Distance Tables Sup #1'!D79*(1+'Other Assumptions'!H$50)</f>
        <v>0</v>
      </c>
      <c r="E79" s="4">
        <f ca="1">E167*'Total Distance Tables Sup #1'!E79*(1+'Other Assumptions'!I$50)</f>
        <v>0</v>
      </c>
      <c r="F79" s="4">
        <f ca="1">F167*'Total Distance Tables Sup #1'!F79*(1+'Other Assumptions'!J$50)</f>
        <v>0</v>
      </c>
      <c r="G79" s="4">
        <f ca="1">G167*'Total Distance Tables Sup #1'!G79*(1+'Other Assumptions'!K$50)</f>
        <v>0</v>
      </c>
      <c r="H79" s="4">
        <f ca="1">H167*'Total Distance Tables Sup #1'!H79*(1+'Other Assumptions'!L$50)</f>
        <v>0</v>
      </c>
      <c r="I79" s="1">
        <f ca="1">I167*'Total Distance Tables Sup #1'!I79*(1+'Other Assumptions'!M$50)</f>
        <v>0</v>
      </c>
      <c r="J79" s="1">
        <f ca="1">J167*'Total Distance Tables Sup #1'!J79*(1+'Other Assumptions'!N$50)</f>
        <v>0</v>
      </c>
      <c r="K79" s="1">
        <f ca="1">K167*'Total Distance Tables Sup #1'!K79*(1+'Other Assumptions'!O$50)</f>
        <v>0</v>
      </c>
    </row>
    <row r="80" spans="1:11" x14ac:dyDescent="0.2">
      <c r="A80" t="str">
        <f ca="1">OFFSET(Taranaki_Reference,56,2)</f>
        <v>Other Household Travel</v>
      </c>
      <c r="B80" s="4">
        <f ca="1">B168*'Total Distance Tables Sup #1'!B80*(1+'Other Assumptions'!D$50)</f>
        <v>0</v>
      </c>
      <c r="C80" s="4">
        <f ca="1">C168*'Total Distance Tables Sup #1'!C80*(1+'Other Assumptions'!G$50)</f>
        <v>0</v>
      </c>
      <c r="D80" s="4">
        <f ca="1">D168*'Total Distance Tables Sup #1'!D80*(1+'Other Assumptions'!H$50)</f>
        <v>0</v>
      </c>
      <c r="E80" s="4">
        <f ca="1">E168*'Total Distance Tables Sup #1'!E80*(1+'Other Assumptions'!I$50)</f>
        <v>0</v>
      </c>
      <c r="F80" s="4">
        <f ca="1">F168*'Total Distance Tables Sup #1'!F80*(1+'Other Assumptions'!J$50)</f>
        <v>0</v>
      </c>
      <c r="G80" s="4">
        <f ca="1">G168*'Total Distance Tables Sup #1'!G80*(1+'Other Assumptions'!K$50)</f>
        <v>0</v>
      </c>
      <c r="H80" s="4">
        <f ca="1">H168*'Total Distance Tables Sup #1'!H80*(1+'Other Assumptions'!L$50)</f>
        <v>0</v>
      </c>
      <c r="I80" s="1">
        <f ca="1">I168*'Total Distance Tables Sup #1'!I80*(1+'Other Assumptions'!M$50)</f>
        <v>0</v>
      </c>
      <c r="J80" s="1">
        <f ca="1">J168*'Total Distance Tables Sup #1'!J80*(1+'Other Assumptions'!N$50)</f>
        <v>0</v>
      </c>
      <c r="K80" s="1">
        <f ca="1">K168*'Total Distance Tables Sup #1'!K80*(1+'Other Assumptions'!O$50)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B159*'Total Distance Tables Sup #1'!B82*(1+'Other Assumptions'!D$51)*(1+'Active Mode Assumptions'!B9)</f>
        <v>32.265609755</v>
      </c>
      <c r="C82" s="4">
        <f ca="1">C159*'Total Distance Tables Sup #1'!C82*(1+'Other Assumptions'!G$51)*(1+'Active Mode Assumptions'!C9)</f>
        <v>32.699724003089933</v>
      </c>
      <c r="D82" s="4">
        <f ca="1">D159*'Total Distance Tables Sup #1'!D82*(1+'Other Assumptions'!H$51)*(1+'Active Mode Assumptions'!D9)</f>
        <v>33.345727278477199</v>
      </c>
      <c r="E82" s="4">
        <f ca="1">E159*'Total Distance Tables Sup #1'!E82*(1+'Other Assumptions'!I$51)*(1+'Active Mode Assumptions'!E9)</f>
        <v>33.548393741636239</v>
      </c>
      <c r="F82" s="4">
        <f ca="1">F159*'Total Distance Tables Sup #1'!F82*(1+'Other Assumptions'!J$51)*(1+'Active Mode Assumptions'!F9)</f>
        <v>33.449412160912701</v>
      </c>
      <c r="G82" s="4">
        <f ca="1">G159*'Total Distance Tables Sup #1'!G82*(1+'Other Assumptions'!K$51)*(1+'Active Mode Assumptions'!G9)</f>
        <v>33.326660717079001</v>
      </c>
      <c r="H82" s="4">
        <f ca="1">H159*'Total Distance Tables Sup #1'!H82*(1+'Other Assumptions'!L$51)*(1+'Active Mode Assumptions'!H9)</f>
        <v>32.983042834417539</v>
      </c>
      <c r="I82" s="1">
        <f ca="1">I159*'Total Distance Tables Sup #1'!I82*(1+'Other Assumptions'!M$51)*(1+'Active Mode Assumptions'!I9)</f>
        <v>33.318727575421441</v>
      </c>
      <c r="J82" s="1">
        <f ca="1">J159*'Total Distance Tables Sup #1'!J82*(1+'Other Assumptions'!N$51)*(1+'Active Mode Assumptions'!J9)</f>
        <v>33.551160806934888</v>
      </c>
      <c r="K82" s="1">
        <f ca="1">K159*'Total Distance Tables Sup #1'!K82*(1+'Other Assumptions'!O$51)*(1+'Active Mode Assumptions'!K9)</f>
        <v>33.703696380395733</v>
      </c>
    </row>
    <row r="83" spans="1:11" x14ac:dyDescent="0.2">
      <c r="A83" t="str">
        <f ca="1">OFFSET(Manawatu_Reference,7,2)</f>
        <v>Cyclist</v>
      </c>
      <c r="B83" s="4">
        <f ca="1">B160*'Total Distance Tables Sup #1'!B83*(1+'Other Assumptions'!D$51)*(1+'Active Mode Assumptions'!B18)</f>
        <v>20.722330986999999</v>
      </c>
      <c r="C83" s="4">
        <f ca="1">C160*'Total Distance Tables Sup #1'!C83*(1+'Other Assumptions'!G$51)*(1+'Active Mode Assumptions'!C18)</f>
        <v>21.52109519138385</v>
      </c>
      <c r="D83" s="4">
        <f ca="1">D160*'Total Distance Tables Sup #1'!D83*(1+'Other Assumptions'!H$51)*(1+'Active Mode Assumptions'!D18)</f>
        <v>25.023157443425788</v>
      </c>
      <c r="E83" s="4">
        <f ca="1">E160*'Total Distance Tables Sup #1'!E83*(1+'Other Assumptions'!I$51)*(1+'Active Mode Assumptions'!E18)</f>
        <v>27.595155825351554</v>
      </c>
      <c r="F83" s="4">
        <f ca="1">F160*'Total Distance Tables Sup #1'!F83*(1+'Other Assumptions'!J$51)*(1+'Active Mode Assumptions'!F18)</f>
        <v>30.557570487586684</v>
      </c>
      <c r="G83" s="4">
        <f ca="1">G160*'Total Distance Tables Sup #1'!G83*(1+'Other Assumptions'!K$51)*(1+'Active Mode Assumptions'!G18)</f>
        <v>34.07388155194942</v>
      </c>
      <c r="H83" s="4">
        <f ca="1">H160*'Total Distance Tables Sup #1'!H83*(1+'Other Assumptions'!L$51)*(1+'Active Mode Assumptions'!H18)</f>
        <v>37.595019951305019</v>
      </c>
      <c r="I83" s="1">
        <f ca="1">I160*'Total Distance Tables Sup #1'!I83*(1+'Other Assumptions'!M$51)*(1+'Active Mode Assumptions'!I18)</f>
        <v>38.254407153109803</v>
      </c>
      <c r="J83" s="1">
        <f ca="1">J160*'Total Distance Tables Sup #1'!J83*(1+'Other Assumptions'!N$51)*(1+'Active Mode Assumptions'!J18)</f>
        <v>38.918057506671282</v>
      </c>
      <c r="K83" s="1">
        <f ca="1">K160*'Total Distance Tables Sup #1'!K83*(1+'Other Assumptions'!O$51)*(1+'Active Mode Assumptions'!K18)</f>
        <v>39.505821418777202</v>
      </c>
    </row>
    <row r="84" spans="1:11" x14ac:dyDescent="0.2">
      <c r="A84" t="str">
        <f ca="1">OFFSET(Manawatu_Reference,14,2)</f>
        <v>Light Vehicle Driver</v>
      </c>
      <c r="B84" s="4">
        <f ca="1">B161*'Total Distance Tables Sup #1'!B84*(1+'Other Assumptions'!D$51)-(B82*'Active Mode Assumptions'!B9*'Active Mode Assumptions'!B14/(1+'Active Mode Assumptions'!B9))-(B83*'Active Mode Assumptions'!B18*'Active Mode Assumptions'!B23/(1+'Active Mode Assumptions'!B18))</f>
        <v>1782.4745101999999</v>
      </c>
      <c r="C84" s="4">
        <f ca="1">C161*'Total Distance Tables Sup #1'!C84*(1+'Other Assumptions'!G$51)-(C82*'Active Mode Assumptions'!C9*'Active Mode Assumptions'!C14/(1+'Active Mode Assumptions'!C9))-(C83*'Active Mode Assumptions'!C18*'Active Mode Assumptions'!C23/(1+'Active Mode Assumptions'!C18))</f>
        <v>1882.147346308637</v>
      </c>
      <c r="D84" s="4">
        <f ca="1">D161*'Total Distance Tables Sup #1'!D84*(1+'Other Assumptions'!H$51)-(D82*'Active Mode Assumptions'!D9*'Active Mode Assumptions'!D14/(1+'Active Mode Assumptions'!D9))-(D83*'Active Mode Assumptions'!D18*'Active Mode Assumptions'!D23/(1+'Active Mode Assumptions'!D18))</f>
        <v>1940.0753782742295</v>
      </c>
      <c r="E84" s="4">
        <f ca="1">E161*'Total Distance Tables Sup #1'!E84*(1+'Other Assumptions'!I$51)-(E82*'Active Mode Assumptions'!E9*'Active Mode Assumptions'!E14/(1+'Active Mode Assumptions'!E9))-(E83*'Active Mode Assumptions'!E18*'Active Mode Assumptions'!E23/(1+'Active Mode Assumptions'!E18))</f>
        <v>2001.6435544820697</v>
      </c>
      <c r="F84" s="4">
        <f ca="1">F161*'Total Distance Tables Sup #1'!F84*(1+'Other Assumptions'!J$51)-(F82*'Active Mode Assumptions'!F9*'Active Mode Assumptions'!F14/(1+'Active Mode Assumptions'!F9))-(F83*'Active Mode Assumptions'!F18*'Active Mode Assumptions'!F23/(1+'Active Mode Assumptions'!F18))</f>
        <v>2040.6560314321723</v>
      </c>
      <c r="G84" s="4">
        <f ca="1">G161*'Total Distance Tables Sup #1'!G84*(1+'Other Assumptions'!K$51)-(G82*'Active Mode Assumptions'!G9*'Active Mode Assumptions'!G14/(1+'Active Mode Assumptions'!G9))-(G83*'Active Mode Assumptions'!G18*'Active Mode Assumptions'!G23/(1+'Active Mode Assumptions'!G18))</f>
        <v>2054.5763545151276</v>
      </c>
      <c r="H84" s="4">
        <f ca="1">H161*'Total Distance Tables Sup #1'!H84*(1+'Other Assumptions'!L$51)-(H82*'Active Mode Assumptions'!H9*'Active Mode Assumptions'!H14/(1+'Active Mode Assumptions'!H9))-(H83*'Active Mode Assumptions'!H18*'Active Mode Assumptions'!H23/(1+'Active Mode Assumptions'!H18))</f>
        <v>2049.3759615185445</v>
      </c>
      <c r="I84" s="1">
        <f ca="1">I161*'Total Distance Tables Sup #1'!I84*(1+'Other Assumptions'!M$51)-(I82*'Active Mode Assumptions'!I9*'Active Mode Assumptions'!I14/(1+'Active Mode Assumptions'!I9))-(I83*'Active Mode Assumptions'!I18*'Active Mode Assumptions'!I23/(1+'Active Mode Assumptions'!I18))</f>
        <v>2069.4534693384967</v>
      </c>
      <c r="J84" s="1">
        <f ca="1">J161*'Total Distance Tables Sup #1'!J84*(1+'Other Assumptions'!N$51)-(J82*'Active Mode Assumptions'!J9*'Active Mode Assumptions'!J14/(1+'Active Mode Assumptions'!J9))-(J83*'Active Mode Assumptions'!J18*'Active Mode Assumptions'!J23/(1+'Active Mode Assumptions'!J18))</f>
        <v>2082.3521140325133</v>
      </c>
      <c r="K84" s="1">
        <f ca="1">K161*'Total Distance Tables Sup #1'!K84*(1+'Other Assumptions'!O$51)-(K82*'Active Mode Assumptions'!K9*'Active Mode Assumptions'!K14/(1+'Active Mode Assumptions'!K9))-(K83*'Active Mode Assumptions'!K18*'Active Mode Assumptions'!K23/(1+'Active Mode Assumptions'!K18))</f>
        <v>2090.173130635334</v>
      </c>
    </row>
    <row r="85" spans="1:11" x14ac:dyDescent="0.2">
      <c r="A85" t="str">
        <f ca="1">OFFSET(Manawatu_Reference,21,2)</f>
        <v>Light Vehicle Passenger</v>
      </c>
      <c r="B85" s="4">
        <f ca="1">B162*'Total Distance Tables Sup #1'!B85*(1+'Other Assumptions'!D$51)-(B82*'Active Mode Assumptions'!B9*'Active Mode Assumptions'!B15/(1+'Active Mode Assumptions'!B9))-(B83*'Active Mode Assumptions'!B18*'Active Mode Assumptions'!B24/(1+'Active Mode Assumptions'!B18))</f>
        <v>885.65568203999999</v>
      </c>
      <c r="C85" s="4">
        <f ca="1">C162*'Total Distance Tables Sup #1'!C85*(1+'Other Assumptions'!G$51)-(C82*'Active Mode Assumptions'!C9*'Active Mode Assumptions'!C15/(1+'Active Mode Assumptions'!C9))-(C83*'Active Mode Assumptions'!C18*'Active Mode Assumptions'!C24/(1+'Active Mode Assumptions'!C18))</f>
        <v>895.55608212227492</v>
      </c>
      <c r="D85" s="4">
        <f ca="1">D162*'Total Distance Tables Sup #1'!D85*(1+'Other Assumptions'!H$51)-(D82*'Active Mode Assumptions'!D9*'Active Mode Assumptions'!D15/(1+'Active Mode Assumptions'!D9))-(D83*'Active Mode Assumptions'!D18*'Active Mode Assumptions'!D24/(1+'Active Mode Assumptions'!D18))</f>
        <v>913.56325258041375</v>
      </c>
      <c r="E85" s="4">
        <f ca="1">E162*'Total Distance Tables Sup #1'!E85*(1+'Other Assumptions'!I$51)-(E82*'Active Mode Assumptions'!E9*'Active Mode Assumptions'!E15/(1+'Active Mode Assumptions'!E9))-(E83*'Active Mode Assumptions'!E18*'Active Mode Assumptions'!E24/(1+'Active Mode Assumptions'!E18))</f>
        <v>930.09538601009388</v>
      </c>
      <c r="F85" s="4">
        <f ca="1">F162*'Total Distance Tables Sup #1'!F85*(1+'Other Assumptions'!J$51)-(F82*'Active Mode Assumptions'!F9*'Active Mode Assumptions'!F15/(1+'Active Mode Assumptions'!F9))-(F83*'Active Mode Assumptions'!F18*'Active Mode Assumptions'!F24/(1+'Active Mode Assumptions'!F18))</f>
        <v>937.04578575486858</v>
      </c>
      <c r="G85" s="4">
        <f ca="1">G162*'Total Distance Tables Sup #1'!G85*(1+'Other Assumptions'!K$51)-(G82*'Active Mode Assumptions'!G9*'Active Mode Assumptions'!G15/(1+'Active Mode Assumptions'!G9))-(G83*'Active Mode Assumptions'!G18*'Active Mode Assumptions'!G24/(1+'Active Mode Assumptions'!G18))</f>
        <v>937.64678283155934</v>
      </c>
      <c r="H85" s="4">
        <f ca="1">H162*'Total Distance Tables Sup #1'!H85*(1+'Other Assumptions'!L$51)-(H82*'Active Mode Assumptions'!H9*'Active Mode Assumptions'!H15/(1+'Active Mode Assumptions'!H9))-(H83*'Active Mode Assumptions'!H18*'Active Mode Assumptions'!H24/(1+'Active Mode Assumptions'!H18))</f>
        <v>930.97651129307656</v>
      </c>
      <c r="I85" s="1">
        <f ca="1">I162*'Total Distance Tables Sup #1'!I85*(1+'Other Assumptions'!M$51)-(I82*'Active Mode Assumptions'!I9*'Active Mode Assumptions'!I15/(1+'Active Mode Assumptions'!I9))-(I83*'Active Mode Assumptions'!I18*'Active Mode Assumptions'!I24/(1+'Active Mode Assumptions'!I18))</f>
        <v>940.91494532286151</v>
      </c>
      <c r="J85" s="1">
        <f ca="1">J162*'Total Distance Tables Sup #1'!J85*(1+'Other Assumptions'!N$51)-(J82*'Active Mode Assumptions'!J9*'Active Mode Assumptions'!J15/(1+'Active Mode Assumptions'!J9))-(J83*'Active Mode Assumptions'!J18*'Active Mode Assumptions'!J24/(1+'Active Mode Assumptions'!J18))</f>
        <v>947.80871434604285</v>
      </c>
      <c r="K85" s="1">
        <f ca="1">K162*'Total Distance Tables Sup #1'!K85*(1+'Other Assumptions'!O$51)-(K82*'Active Mode Assumptions'!K9*'Active Mode Assumptions'!K15/(1+'Active Mode Assumptions'!K9))-(K83*'Active Mode Assumptions'!K18*'Active Mode Assumptions'!K24/(1+'Active Mode Assumptions'!K18))</f>
        <v>952.39476091004019</v>
      </c>
    </row>
    <row r="86" spans="1:11" x14ac:dyDescent="0.2">
      <c r="A86" t="str">
        <f ca="1">OFFSET(Manawatu_Reference,28,2)</f>
        <v>Taxi/Vehicle Share</v>
      </c>
      <c r="B86" s="4">
        <f ca="1">B163*'Total Distance Tables Sup #1'!B86*(1+'Other Assumptions'!D$51)</f>
        <v>5.6344181790999999</v>
      </c>
      <c r="C86" s="4">
        <f ca="1">C163*'Total Distance Tables Sup #1'!C86*(1+'Other Assumptions'!G$51)</f>
        <v>6.3154786057753372</v>
      </c>
      <c r="D86" s="4">
        <f ca="1">D163*'Total Distance Tables Sup #1'!D86*(1+'Other Assumptions'!H$51)</f>
        <v>7.1022683322299747</v>
      </c>
      <c r="E86" s="4">
        <f ca="1">E163*'Total Distance Tables Sup #1'!E86*(1+'Other Assumptions'!I$51)</f>
        <v>7.8114820107125178</v>
      </c>
      <c r="F86" s="4">
        <f ca="1">F163*'Total Distance Tables Sup #1'!F86*(1+'Other Assumptions'!J$51)</f>
        <v>8.3700289587177092</v>
      </c>
      <c r="G86" s="4">
        <f ca="1">G163*'Total Distance Tables Sup #1'!G86*(1+'Other Assumptions'!K$51)</f>
        <v>8.7439977636696504</v>
      </c>
      <c r="H86" s="4">
        <f ca="1">H163*'Total Distance Tables Sup #1'!H86*(1+'Other Assumptions'!L$51)</f>
        <v>9.0037148720257338</v>
      </c>
      <c r="I86" s="1">
        <f ca="1">I163*'Total Distance Tables Sup #1'!I86*(1+'Other Assumptions'!M$51)</f>
        <v>9.1090686313379692</v>
      </c>
      <c r="J86" s="1">
        <f ca="1">J163*'Total Distance Tables Sup #1'!J86*(1+'Other Assumptions'!N$51)</f>
        <v>9.1912679174706948</v>
      </c>
      <c r="K86" s="1">
        <f ca="1">K163*'Total Distance Tables Sup #1'!K86*(1+'Other Assumptions'!O$51)</f>
        <v>9.2519236889840162</v>
      </c>
    </row>
    <row r="87" spans="1:11" x14ac:dyDescent="0.2">
      <c r="A87" t="str">
        <f ca="1">OFFSET(Manawatu_Reference,35,2)</f>
        <v>Motorcyclist</v>
      </c>
      <c r="B87" s="4">
        <f ca="1">B164*'Total Distance Tables Sup #1'!B87*(1+'Other Assumptions'!D$51)</f>
        <v>3.8744282972000001</v>
      </c>
      <c r="C87" s="4">
        <f ca="1">C164*'Total Distance Tables Sup #1'!C87*(1+'Other Assumptions'!G$51)</f>
        <v>4.063348176465932</v>
      </c>
      <c r="D87" s="4">
        <f ca="1">D164*'Total Distance Tables Sup #1'!D87*(1+'Other Assumptions'!H$51)</f>
        <v>4.2073321281266809</v>
      </c>
      <c r="E87" s="4">
        <f ca="1">E164*'Total Distance Tables Sup #1'!E87*(1+'Other Assumptions'!I$51)</f>
        <v>4.2448187735013709</v>
      </c>
      <c r="F87" s="4">
        <f ca="1">F164*'Total Distance Tables Sup #1'!F87*(1+'Other Assumptions'!J$51)</f>
        <v>4.185520850083285</v>
      </c>
      <c r="G87" s="4">
        <f ca="1">G164*'Total Distance Tables Sup #1'!G87*(1+'Other Assumptions'!K$51)</f>
        <v>4.0326765657298402</v>
      </c>
      <c r="H87" s="4">
        <f ca="1">H164*'Total Distance Tables Sup #1'!H87*(1+'Other Assumptions'!L$51)</f>
        <v>3.8414523359761543</v>
      </c>
      <c r="I87" s="1">
        <f ca="1">I164*'Total Distance Tables Sup #1'!I87*(1+'Other Assumptions'!M$51)</f>
        <v>3.8890710361981609</v>
      </c>
      <c r="J87" s="1">
        <f ca="1">J164*'Total Distance Tables Sup #1'!J87*(1+'Other Assumptions'!N$51)</f>
        <v>3.9239405597436905</v>
      </c>
      <c r="K87" s="1">
        <f ca="1">K164*'Total Distance Tables Sup #1'!K87*(1+'Other Assumptions'!O$51)</f>
        <v>3.9489473540149556</v>
      </c>
    </row>
    <row r="88" spans="1:11" x14ac:dyDescent="0.2">
      <c r="A88" t="str">
        <f ca="1">OFFSET(Taranaki_Reference,42,2)</f>
        <v>Local Train</v>
      </c>
      <c r="B88" s="4">
        <f ca="1">B165*'Total Distance Tables Sup #1'!B88*(1+'Other Assumptions'!D$51)</f>
        <v>0</v>
      </c>
      <c r="C88" s="4">
        <f ca="1">C165*'Total Distance Tables Sup #1'!C88*(1+'Other Assumptions'!G$51)</f>
        <v>0</v>
      </c>
      <c r="D88" s="4">
        <f ca="1">D165*'Total Distance Tables Sup #1'!D88*(1+'Other Assumptions'!H$51)</f>
        <v>0</v>
      </c>
      <c r="E88" s="4">
        <f ca="1">E165*'Total Distance Tables Sup #1'!E88*(1+'Other Assumptions'!I$51)</f>
        <v>0</v>
      </c>
      <c r="F88" s="4">
        <f ca="1">F165*'Total Distance Tables Sup #1'!F88*(1+'Other Assumptions'!J$51)</f>
        <v>0</v>
      </c>
      <c r="G88" s="4">
        <f ca="1">G165*'Total Distance Tables Sup #1'!G88*(1+'Other Assumptions'!K$51)</f>
        <v>0</v>
      </c>
      <c r="H88" s="4">
        <f ca="1">H165*'Total Distance Tables Sup #1'!H88*(1+'Other Assumptions'!L$51)</f>
        <v>0</v>
      </c>
      <c r="I88" s="1">
        <f ca="1">I165*'Total Distance Tables Sup #1'!I88*(1+'Other Assumptions'!M$51)</f>
        <v>0</v>
      </c>
      <c r="J88" s="1">
        <f ca="1">J165*'Total Distance Tables Sup #1'!J88*(1+'Other Assumptions'!N$51)</f>
        <v>0</v>
      </c>
      <c r="K88" s="1">
        <f ca="1">K165*'Total Distance Tables Sup #1'!K88*(1+'Other Assumptions'!O$51)</f>
        <v>0</v>
      </c>
    </row>
    <row r="89" spans="1:11" x14ac:dyDescent="0.2">
      <c r="A89" t="str">
        <f ca="1">OFFSET(Manawatu_Reference,42,2)</f>
        <v>Local Bus</v>
      </c>
      <c r="B89" s="4">
        <f ca="1">B166*'Total Distance Tables Sup #1'!B89*(1+'Other Assumptions'!D$51)</f>
        <v>39.768452936000003</v>
      </c>
      <c r="C89" s="4">
        <f ca="1">C166*'Total Distance Tables Sup #1'!C89*(1+'Other Assumptions'!G$51)</f>
        <v>35.705643289716967</v>
      </c>
      <c r="D89" s="4">
        <f ca="1">D166*'Total Distance Tables Sup #1'!D89*(1+'Other Assumptions'!H$51)</f>
        <v>35.448369247281576</v>
      </c>
      <c r="E89" s="4">
        <f ca="1">E166*'Total Distance Tables Sup #1'!E89*(1+'Other Assumptions'!I$51)</f>
        <v>34.597367621183778</v>
      </c>
      <c r="F89" s="4">
        <f ca="1">F166*'Total Distance Tables Sup #1'!F89*(1+'Other Assumptions'!J$51)</f>
        <v>33.444146619394836</v>
      </c>
      <c r="G89" s="4">
        <f ca="1">G166*'Total Distance Tables Sup #1'!G89*(1+'Other Assumptions'!K$51)</f>
        <v>32.692606130288425</v>
      </c>
      <c r="H89" s="4">
        <f ca="1">H166*'Total Distance Tables Sup #1'!H89*(1+'Other Assumptions'!L$51)</f>
        <v>31.922874862986866</v>
      </c>
      <c r="I89" s="1">
        <f ca="1">I166*'Total Distance Tables Sup #1'!I89*(1+'Other Assumptions'!M$51)</f>
        <v>32.346896167176531</v>
      </c>
      <c r="J89" s="1">
        <f ca="1">J166*'Total Distance Tables Sup #1'!J89*(1+'Other Assumptions'!N$51)</f>
        <v>32.684384100451098</v>
      </c>
      <c r="K89" s="1">
        <f ca="1">K166*'Total Distance Tables Sup #1'!K89*(1+'Other Assumptions'!O$51)</f>
        <v>32.944351703725083</v>
      </c>
    </row>
    <row r="90" spans="1:11" x14ac:dyDescent="0.2">
      <c r="A90" t="str">
        <f ca="1">OFFSET(Manawatu_Reference,49,2)</f>
        <v>Local Ferry</v>
      </c>
      <c r="B90" s="4">
        <f ca="1">B167*'Total Distance Tables Sup #1'!B90*(1+'Other Assumptions'!D$51)</f>
        <v>0</v>
      </c>
      <c r="C90" s="4">
        <f ca="1">C167*'Total Distance Tables Sup #1'!C90*(1+'Other Assumptions'!G$51)</f>
        <v>0</v>
      </c>
      <c r="D90" s="4">
        <f ca="1">D167*'Total Distance Tables Sup #1'!D90*(1+'Other Assumptions'!H$51)</f>
        <v>0</v>
      </c>
      <c r="E90" s="4">
        <f ca="1">E167*'Total Distance Tables Sup #1'!E90*(1+'Other Assumptions'!I$51)</f>
        <v>0</v>
      </c>
      <c r="F90" s="4">
        <f ca="1">F167*'Total Distance Tables Sup #1'!F90*(1+'Other Assumptions'!J$51)</f>
        <v>0</v>
      </c>
      <c r="G90" s="4">
        <f ca="1">G167*'Total Distance Tables Sup #1'!G90*(1+'Other Assumptions'!K$51)</f>
        <v>0</v>
      </c>
      <c r="H90" s="4">
        <f ca="1">H167*'Total Distance Tables Sup #1'!H90*(1+'Other Assumptions'!L$51)</f>
        <v>0</v>
      </c>
      <c r="I90" s="1">
        <f ca="1">I167*'Total Distance Tables Sup #1'!I90*(1+'Other Assumptions'!M$51)</f>
        <v>0</v>
      </c>
      <c r="J90" s="1">
        <f ca="1">J167*'Total Distance Tables Sup #1'!J90*(1+'Other Assumptions'!N$51)</f>
        <v>0</v>
      </c>
      <c r="K90" s="1">
        <f ca="1">K167*'Total Distance Tables Sup #1'!K90*(1+'Other Assumptions'!O$51)</f>
        <v>0</v>
      </c>
    </row>
    <row r="91" spans="1:11" x14ac:dyDescent="0.2">
      <c r="A91" t="str">
        <f ca="1">OFFSET(Manawatu_Reference,56,2)</f>
        <v>Other Household Travel</v>
      </c>
      <c r="B91" s="4">
        <f ca="1">B168*'Total Distance Tables Sup #1'!B91*(1+'Other Assumptions'!D$51)</f>
        <v>0</v>
      </c>
      <c r="C91" s="4">
        <f ca="1">C168*'Total Distance Tables Sup #1'!C91*(1+'Other Assumptions'!G$51)</f>
        <v>0</v>
      </c>
      <c r="D91" s="4">
        <f ca="1">D168*'Total Distance Tables Sup #1'!D91*(1+'Other Assumptions'!H$51)</f>
        <v>0</v>
      </c>
      <c r="E91" s="4">
        <f ca="1">E168*'Total Distance Tables Sup #1'!E91*(1+'Other Assumptions'!I$51)</f>
        <v>0</v>
      </c>
      <c r="F91" s="4">
        <f ca="1">F168*'Total Distance Tables Sup #1'!F91*(1+'Other Assumptions'!J$51)</f>
        <v>0</v>
      </c>
      <c r="G91" s="4">
        <f ca="1">G168*'Total Distance Tables Sup #1'!G91*(1+'Other Assumptions'!K$51)</f>
        <v>0</v>
      </c>
      <c r="H91" s="4">
        <f ca="1">H168*'Total Distance Tables Sup #1'!H91*(1+'Other Assumptions'!L$51)</f>
        <v>0</v>
      </c>
      <c r="I91" s="1">
        <f ca="1">I168*'Total Distance Tables Sup #1'!I91*(1+'Other Assumptions'!M$51)</f>
        <v>0</v>
      </c>
      <c r="J91" s="1">
        <f ca="1">J168*'Total Distance Tables Sup #1'!J91*(1+'Other Assumptions'!N$51)</f>
        <v>0</v>
      </c>
      <c r="K91" s="1">
        <f ca="1">K168*'Total Distance Tables Sup #1'!K91*(1+'Other Assumptions'!O$51)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B159*'Total Distance Tables Sup #1'!B93*(1+'Other Assumptions'!D$52)*(1+'Active Mode Assumptions'!B9)-('PT Assumptions'!B44*'Total Distance Tables Sup #2'!B171+'PT Assumptions'!B56*'Total Distance Tables Sup #2'!B174)*(1+'Other Assumptions'!D$52)</f>
        <v>126.13499251</v>
      </c>
      <c r="C93" s="4">
        <f ca="1">C159*'Total Distance Tables Sup #1'!C93*(1+'Other Assumptions'!G$52)*(1+'Active Mode Assumptions'!C9)-('PT Assumptions'!C44*'Total Distance Tables Sup #2'!C171+'PT Assumptions'!C56*'Total Distance Tables Sup #2'!C174)*(1+'Other Assumptions'!G$52)</f>
        <v>130.1076834923893</v>
      </c>
      <c r="D93" s="4">
        <f ca="1">D159*'Total Distance Tables Sup #1'!D93*(1+'Other Assumptions'!H$52)*(1+'Active Mode Assumptions'!D9)-('PT Assumptions'!D44*'Total Distance Tables Sup #2'!D171+'PT Assumptions'!D56*'Total Distance Tables Sup #2'!D174)*(1+'Other Assumptions'!H$52)</f>
        <v>133.9338902635607</v>
      </c>
      <c r="E93" s="4">
        <f ca="1">E159*'Total Distance Tables Sup #1'!E93*(1+'Other Assumptions'!I$52)*(1+'Active Mode Assumptions'!E9)-('PT Assumptions'!E44*'Total Distance Tables Sup #2'!E171+'PT Assumptions'!E56*'Total Distance Tables Sup #2'!E174)*(1+'Other Assumptions'!I$52)</f>
        <v>135.95782553584925</v>
      </c>
      <c r="F93" s="4">
        <f ca="1">F159*'Total Distance Tables Sup #1'!F93*(1+'Other Assumptions'!J$52)*(1+'Active Mode Assumptions'!F9)-('PT Assumptions'!F44*'Total Distance Tables Sup #2'!F171+'PT Assumptions'!F56*'Total Distance Tables Sup #2'!F174)*(1+'Other Assumptions'!J$52)</f>
        <v>137.2942271587165</v>
      </c>
      <c r="G93" s="4">
        <f ca="1">G159*'Total Distance Tables Sup #1'!G93*(1+'Other Assumptions'!K$52)*(1+'Active Mode Assumptions'!G9)-('PT Assumptions'!G44*'Total Distance Tables Sup #2'!G171+'PT Assumptions'!G56*'Total Distance Tables Sup #2'!G174)*(1+'Other Assumptions'!K$52)</f>
        <v>138.54525648646774</v>
      </c>
      <c r="H93" s="4">
        <f ca="1">H159*'Total Distance Tables Sup #1'!H93*(1+'Other Assumptions'!L$52)*(1+'Active Mode Assumptions'!H9)-('PT Assumptions'!H44*'Total Distance Tables Sup #2'!H171+'PT Assumptions'!H56*'Total Distance Tables Sup #2'!H174)*(1+'Other Assumptions'!L$52)</f>
        <v>138.78207809229934</v>
      </c>
      <c r="I93" s="1">
        <f ca="1">I159*'Total Distance Tables Sup #1'!I93*(1+'Other Assumptions'!M$52)*(1+'Active Mode Assumptions'!I9)-('PT Assumptions'!I44*'Total Distance Tables Sup #2'!I171+'PT Assumptions'!I56*'Total Distance Tables Sup #2'!I174)*(1+'Other Assumptions'!M$52)</f>
        <v>142.05772000844598</v>
      </c>
      <c r="J93" s="1">
        <f ca="1">J159*'Total Distance Tables Sup #1'!J93*(1+'Other Assumptions'!N$52)*(1+'Active Mode Assumptions'!J9)-('PT Assumptions'!J44*'Total Distance Tables Sup #2'!J171+'PT Assumptions'!J56*'Total Distance Tables Sup #2'!J174)*(1+'Other Assumptions'!N$52)</f>
        <v>144.90430168477511</v>
      </c>
      <c r="K93" s="1">
        <f ca="1">K159*'Total Distance Tables Sup #1'!K93*(1+'Other Assumptions'!O$52)*(1+'Active Mode Assumptions'!K9)-('PT Assumptions'!K44*'Total Distance Tables Sup #2'!K171+'PT Assumptions'!K56*'Total Distance Tables Sup #2'!K174)*(1+'Other Assumptions'!O$52)</f>
        <v>147.41465500985839</v>
      </c>
    </row>
    <row r="94" spans="1:11" x14ac:dyDescent="0.2">
      <c r="A94" t="str">
        <f ca="1">OFFSET(Wellington_Reference,7,2)</f>
        <v>Cyclist</v>
      </c>
      <c r="B94" s="4">
        <f ca="1">B160*'Total Distance Tables Sup #1'!B94*(1+'Other Assumptions'!D$52)*(1+'Active Mode Assumptions'!B18)-('PT Assumptions'!B45*'Total Distance Tables Sup #2'!B171+'PT Assumptions'!B57*'Total Distance Tables Sup #2'!B174)*(1+'Other Assumptions'!D$52)</f>
        <v>52.092312808000003</v>
      </c>
      <c r="C94" s="4">
        <f ca="1">C160*'Total Distance Tables Sup #1'!C94*(1+'Other Assumptions'!G$52)*(1+'Active Mode Assumptions'!C18)-('PT Assumptions'!C45*'Total Distance Tables Sup #2'!C171+'PT Assumptions'!C57*'Total Distance Tables Sup #2'!C174)*(1+'Other Assumptions'!G$52)</f>
        <v>55.053718664547944</v>
      </c>
      <c r="D94" s="4">
        <f ca="1">D160*'Total Distance Tables Sup #1'!D94*(1+'Other Assumptions'!H$52)*(1+'Active Mode Assumptions'!D18)-('PT Assumptions'!D45*'Total Distance Tables Sup #2'!D171+'PT Assumptions'!D57*'Total Distance Tables Sup #2'!D174)*(1+'Other Assumptions'!H$52)</f>
        <v>65.052918452569727</v>
      </c>
      <c r="E94" s="4">
        <f ca="1">E160*'Total Distance Tables Sup #1'!E94*(1+'Other Assumptions'!I$52)*(1+'Active Mode Assumptions'!E18)-('PT Assumptions'!E45*'Total Distance Tables Sup #2'!E171+'PT Assumptions'!E57*'Total Distance Tables Sup #2'!E174)*(1+'Other Assumptions'!I$52)</f>
        <v>72.722844966078497</v>
      </c>
      <c r="F94" s="4">
        <f ca="1">F160*'Total Distance Tables Sup #1'!F94*(1+'Other Assumptions'!J$52)*(1+'Active Mode Assumptions'!F18)-('PT Assumptions'!F45*'Total Distance Tables Sup #2'!F171+'PT Assumptions'!F57*'Total Distance Tables Sup #2'!F174)*(1+'Other Assumptions'!J$52)</f>
        <v>81.718880250446048</v>
      </c>
      <c r="G94" s="4">
        <f ca="1">G160*'Total Distance Tables Sup #1'!G94*(1+'Other Assumptions'!K$52)*(1+'Active Mode Assumptions'!G18)-('PT Assumptions'!G45*'Total Distance Tables Sup #2'!G171+'PT Assumptions'!G57*'Total Distance Tables Sup #2'!G174)*(1+'Other Assumptions'!K$52)</f>
        <v>92.500089136766633</v>
      </c>
      <c r="H94" s="4">
        <f ca="1">H160*'Total Distance Tables Sup #1'!H94*(1+'Other Assumptions'!L$52)*(1+'Active Mode Assumptions'!H18)-('PT Assumptions'!H45*'Total Distance Tables Sup #2'!H171+'PT Assumptions'!H57*'Total Distance Tables Sup #2'!H174)*(1+'Other Assumptions'!L$52)</f>
        <v>103.58703932559459</v>
      </c>
      <c r="I94" s="1">
        <f ca="1">I160*'Total Distance Tables Sup #1'!I94*(1+'Other Assumptions'!M$52)*(1+'Active Mode Assumptions'!I18)-('PT Assumptions'!I45*'Total Distance Tables Sup #2'!I171+'PT Assumptions'!I57*'Total Distance Tables Sup #2'!I174)*(1+'Other Assumptions'!M$52)</f>
        <v>106.98210419621938</v>
      </c>
      <c r="J94" s="1">
        <f ca="1">J160*'Total Distance Tables Sup #1'!J94*(1+'Other Assumptions'!N$52)*(1+'Active Mode Assumptions'!J18)-('PT Assumptions'!J45*'Total Distance Tables Sup #2'!J171+'PT Assumptions'!J57*'Total Distance Tables Sup #2'!J174)*(1+'Other Assumptions'!N$52)</f>
        <v>110.4677158505736</v>
      </c>
      <c r="K94" s="1">
        <f ca="1">K160*'Total Distance Tables Sup #1'!K94*(1+'Other Assumptions'!O$52)*(1+'Active Mode Assumptions'!K18)-('PT Assumptions'!K45*'Total Distance Tables Sup #2'!K171+'PT Assumptions'!K57*'Total Distance Tables Sup #2'!K174)*(1+'Other Assumptions'!O$52)</f>
        <v>113.81509726537121</v>
      </c>
    </row>
    <row r="95" spans="1:11" x14ac:dyDescent="0.2">
      <c r="A95" t="str">
        <f ca="1">OFFSET(Wellington_Reference,14,2)</f>
        <v>Light Vehicle Driver</v>
      </c>
      <c r="B95" s="4">
        <f ca="1">(B161*'Total Distance Tables Sup #1'!B95-'PT Assumptions'!B46*'Total Distance Tables Sup #2'!B171-'PT Assumptions'!B58*'Total Distance Tables Sup #2'!B174)*(1+'Other Assumptions'!D$52)-(B159*'Total Distance Tables Sup #1'!B93)*(1+'Other Assumptions'!D$52)*'Active Mode Assumptions'!B9*'Active Mode Assumptions'!B14-(B160*'Total Distance Tables Sup #1'!B94)*(1+'Other Assumptions'!D$52)*'Active Mode Assumptions'!B18*'Active Mode Assumptions'!B23</f>
        <v>3481.4296611999998</v>
      </c>
      <c r="C95" s="4">
        <f ca="1">(C161*'Total Distance Tables Sup #1'!C95-'PT Assumptions'!C46*'Total Distance Tables Sup #2'!C171-'PT Assumptions'!C58*'Total Distance Tables Sup #2'!C174)*(1+'Other Assumptions'!G$52)-(C159*'Total Distance Tables Sup #1'!C93)*(1+'Other Assumptions'!G$52)*'Active Mode Assumptions'!C9*'Active Mode Assumptions'!C14-(C160*'Total Distance Tables Sup #1'!C94)*(1+'Other Assumptions'!G$52)*'Active Mode Assumptions'!C18*'Active Mode Assumptions'!C23</f>
        <v>3740.6207664405542</v>
      </c>
      <c r="D95" s="4">
        <f ca="1">(D161*'Total Distance Tables Sup #1'!D95-'PT Assumptions'!D46*'Total Distance Tables Sup #2'!D171-'PT Assumptions'!D58*'Total Distance Tables Sup #2'!D174)*(1+'Other Assumptions'!H$52)-(D159*'Total Distance Tables Sup #1'!D93)*(1+'Other Assumptions'!H$52)*'Active Mode Assumptions'!D9*'Active Mode Assumptions'!D14-(D160*'Total Distance Tables Sup #1'!D94)*(1+'Other Assumptions'!H$52)*'Active Mode Assumptions'!D18*'Active Mode Assumptions'!D23</f>
        <v>3904.7581290306257</v>
      </c>
      <c r="E95" s="4">
        <f ca="1">(E161*'Total Distance Tables Sup #1'!E95-'PT Assumptions'!E46*'Total Distance Tables Sup #2'!E171-'PT Assumptions'!E58*'Total Distance Tables Sup #2'!E174)*(1+'Other Assumptions'!I$52)-(E159*'Total Distance Tables Sup #1'!E93)*(1+'Other Assumptions'!I$52)*'Active Mode Assumptions'!E9*'Active Mode Assumptions'!E14-(E160*'Total Distance Tables Sup #1'!E94)*(1+'Other Assumptions'!I$52)*'Active Mode Assumptions'!E18*'Active Mode Assumptions'!E23</f>
        <v>4073.359482343008</v>
      </c>
      <c r="F95" s="4">
        <f ca="1">(F161*'Total Distance Tables Sup #1'!F95-'PT Assumptions'!F46*'Total Distance Tables Sup #2'!F171-'PT Assumptions'!F58*'Total Distance Tables Sup #2'!F174)*(1+'Other Assumptions'!J$52)-(F159*'Total Distance Tables Sup #1'!F93)*(1+'Other Assumptions'!J$52)*'Active Mode Assumptions'!F9*'Active Mode Assumptions'!F14-(F160*'Total Distance Tables Sup #1'!F94)*(1+'Other Assumptions'!J$52)*'Active Mode Assumptions'!F18*'Active Mode Assumptions'!F23</f>
        <v>4206.4942253957834</v>
      </c>
      <c r="G95" s="4">
        <f ca="1">(G161*'Total Distance Tables Sup #1'!G95-'PT Assumptions'!G46*'Total Distance Tables Sup #2'!G171-'PT Assumptions'!G58*'Total Distance Tables Sup #2'!G174)*(1+'Other Assumptions'!K$52)-(G159*'Total Distance Tables Sup #1'!G93)*(1+'Other Assumptions'!K$52)*'Active Mode Assumptions'!G9*'Active Mode Assumptions'!G14-(G160*'Total Distance Tables Sup #1'!G94)*(1+'Other Assumptions'!K$52)*'Active Mode Assumptions'!G18*'Active Mode Assumptions'!G23</f>
        <v>4291.0458555810801</v>
      </c>
      <c r="H95" s="4">
        <f ca="1">(H161*'Total Distance Tables Sup #1'!H95-'PT Assumptions'!H46*'Total Distance Tables Sup #2'!H171-'PT Assumptions'!H58*'Total Distance Tables Sup #2'!H174)*(1+'Other Assumptions'!L$52)-(H159*'Total Distance Tables Sup #1'!H93)*(1+'Other Assumptions'!L$52)*'Active Mode Assumptions'!H9*'Active Mode Assumptions'!H14-(H160*'Total Distance Tables Sup #1'!H94)*(1+'Other Assumptions'!L$52)*'Active Mode Assumptions'!H18*'Active Mode Assumptions'!H23</f>
        <v>4334.6814384451291</v>
      </c>
      <c r="I95" s="1">
        <f ca="1">(I161*'Total Distance Tables Sup #1'!I95-'PT Assumptions'!I46*'Total Distance Tables Sup #2'!I171-'PT Assumptions'!I58*'Total Distance Tables Sup #2'!I174)*(1+'Other Assumptions'!M$52)-(I159*'Total Distance Tables Sup #1'!I93)*(1+'Other Assumptions'!M$52)*'Active Mode Assumptions'!I9*'Active Mode Assumptions'!I14-(I160*'Total Distance Tables Sup #1'!I94)*(1+'Other Assumptions'!M$52)*'Active Mode Assumptions'!I18*'Active Mode Assumptions'!I23</f>
        <v>4434.0286294431653</v>
      </c>
      <c r="J95" s="1">
        <f ca="1">(J161*'Total Distance Tables Sup #1'!J95-'PT Assumptions'!J46*'Total Distance Tables Sup #2'!J171-'PT Assumptions'!J58*'Total Distance Tables Sup #2'!J174)*(1+'Other Assumptions'!N$52)-(J159*'Total Distance Tables Sup #1'!J93)*(1+'Other Assumptions'!N$52)*'Active Mode Assumptions'!J9*'Active Mode Assumptions'!J14-(J160*'Total Distance Tables Sup #1'!J94)*(1+'Other Assumptions'!N$52)*'Active Mode Assumptions'!J18*'Active Mode Assumptions'!J23</f>
        <v>4518.4747307294492</v>
      </c>
      <c r="K95" s="1">
        <f ca="1">(K161*'Total Distance Tables Sup #1'!K95-'PT Assumptions'!K46*'Total Distance Tables Sup #2'!K171-'PT Assumptions'!K58*'Total Distance Tables Sup #2'!K174)*(1+'Other Assumptions'!O$52)-(K159*'Total Distance Tables Sup #1'!K93)*(1+'Other Assumptions'!O$52)*'Active Mode Assumptions'!K9*'Active Mode Assumptions'!K14-(K160*'Total Distance Tables Sup #1'!K94)*(1+'Other Assumptions'!O$52)*'Active Mode Assumptions'!K18*'Active Mode Assumptions'!K23</f>
        <v>4592.1103796906091</v>
      </c>
    </row>
    <row r="96" spans="1:11" x14ac:dyDescent="0.2">
      <c r="A96" t="str">
        <f ca="1">OFFSET(Wellington_Reference,21,2)</f>
        <v>Light Vehicle Passenger</v>
      </c>
      <c r="B96" s="4">
        <f ca="1">(B162*'Total Distance Tables Sup #1'!B96-'PT Assumptions'!B47*'Total Distance Tables Sup #2'!B171-'PT Assumptions'!B59*'Total Distance Tables Sup #2'!B174)*(1+'Other Assumptions'!D$52)-(B159*'Total Distance Tables Sup #1'!B93)*(1+'Other Assumptions'!D$52)*'Active Mode Assumptions'!B9*'Active Mode Assumptions'!B15-(B160*'Total Distance Tables Sup #1'!B94)*(1+'Other Assumptions'!D$52)*'Active Mode Assumptions'!B18*'Active Mode Assumptions'!B24</f>
        <v>2005.8850408000001</v>
      </c>
      <c r="C96" s="4">
        <f ca="1">(C162*'Total Distance Tables Sup #1'!C96-'PT Assumptions'!C47*'Total Distance Tables Sup #2'!C171-'PT Assumptions'!C59*'Total Distance Tables Sup #2'!C174)*(1+'Other Assumptions'!G$52)-(C159*'Total Distance Tables Sup #1'!C93)*(1+'Other Assumptions'!G$52)*'Active Mode Assumptions'!C9*'Active Mode Assumptions'!C15-(C160*'Total Distance Tables Sup #1'!C94)*(1+'Other Assumptions'!G$52)*'Active Mode Assumptions'!C18*'Active Mode Assumptions'!C24</f>
        <v>2063.7832861446568</v>
      </c>
      <c r="D96" s="4">
        <f ca="1">(D162*'Total Distance Tables Sup #1'!D96-'PT Assumptions'!D47*'Total Distance Tables Sup #2'!D171-'PT Assumptions'!D59*'Total Distance Tables Sup #2'!D174)*(1+'Other Assumptions'!H$52)-(D159*'Total Distance Tables Sup #1'!D93)*(1+'Other Assumptions'!H$52)*'Active Mode Assumptions'!D9*'Active Mode Assumptions'!D15-(D160*'Total Distance Tables Sup #1'!D94)*(1+'Other Assumptions'!H$52)*'Active Mode Assumptions'!D18*'Active Mode Assumptions'!D24</f>
        <v>2126.0707148435622</v>
      </c>
      <c r="E96" s="4">
        <f ca="1">(E162*'Total Distance Tables Sup #1'!E96-'PT Assumptions'!E47*'Total Distance Tables Sup #2'!E171-'PT Assumptions'!E59*'Total Distance Tables Sup #2'!E174)*(1+'Other Assumptions'!I$52)-(E159*'Total Distance Tables Sup #1'!E93)*(1+'Other Assumptions'!I$52)*'Active Mode Assumptions'!E9*'Active Mode Assumptions'!E15-(E160*'Total Distance Tables Sup #1'!E94)*(1+'Other Assumptions'!I$52)*'Active Mode Assumptions'!E18*'Active Mode Assumptions'!E24</f>
        <v>2183.7180972654123</v>
      </c>
      <c r="F96" s="4">
        <f ca="1">(F162*'Total Distance Tables Sup #1'!F96-'PT Assumptions'!F47*'Total Distance Tables Sup #2'!F171-'PT Assumptions'!F59*'Total Distance Tables Sup #2'!F174)*(1+'Other Assumptions'!J$52)-(F159*'Total Distance Tables Sup #1'!F93)*(1+'Other Assumptions'!J$52)*'Active Mode Assumptions'!F9*'Active Mode Assumptions'!F15-(F160*'Total Distance Tables Sup #1'!F94)*(1+'Other Assumptions'!J$52)*'Active Mode Assumptions'!F18*'Active Mode Assumptions'!F24</f>
        <v>2224.891543712421</v>
      </c>
      <c r="G96" s="4">
        <f ca="1">(G162*'Total Distance Tables Sup #1'!G96-'PT Assumptions'!G47*'Total Distance Tables Sup #2'!G171-'PT Assumptions'!G59*'Total Distance Tables Sup #2'!G174)*(1+'Other Assumptions'!K$52)-(G159*'Total Distance Tables Sup #1'!G93)*(1+'Other Assumptions'!K$52)*'Active Mode Assumptions'!G9*'Active Mode Assumptions'!G15-(G160*'Total Distance Tables Sup #1'!G94)*(1+'Other Assumptions'!K$52)*'Active Mode Assumptions'!G18*'Active Mode Assumptions'!G24</f>
        <v>2251.8666319248905</v>
      </c>
      <c r="H96" s="4">
        <f ca="1">(H162*'Total Distance Tables Sup #1'!H96-'PT Assumptions'!H47*'Total Distance Tables Sup #2'!H171-'PT Assumptions'!H59*'Total Distance Tables Sup #2'!H174)*(1+'Other Assumptions'!L$52)-(H159*'Total Distance Tables Sup #1'!H93)*(1+'Other Assumptions'!L$52)*'Active Mode Assumptions'!H9*'Active Mode Assumptions'!H15-(H160*'Total Distance Tables Sup #1'!H94)*(1+'Other Assumptions'!L$52)*'Active Mode Assumptions'!H18*'Active Mode Assumptions'!H24</f>
        <v>2259.8276687878706</v>
      </c>
      <c r="I96" s="1">
        <f ca="1">(I162*'Total Distance Tables Sup #1'!I96-'PT Assumptions'!I47*'Total Distance Tables Sup #2'!I171-'PT Assumptions'!I59*'Total Distance Tables Sup #2'!I174)*(1+'Other Assumptions'!M$52)-(I159*'Total Distance Tables Sup #1'!I93)*(1+'Other Assumptions'!M$52)*'Active Mode Assumptions'!I9*'Active Mode Assumptions'!I15-(I160*'Total Distance Tables Sup #1'!I94)*(1+'Other Assumptions'!M$52)*'Active Mode Assumptions'!I18*'Active Mode Assumptions'!I24</f>
        <v>2309.5452256254471</v>
      </c>
      <c r="J96" s="1">
        <f ca="1">(J162*'Total Distance Tables Sup #1'!J96-'PT Assumptions'!J47*'Total Distance Tables Sup #2'!J171-'PT Assumptions'!J59*'Total Distance Tables Sup #2'!J174)*(1+'Other Assumptions'!N$52)-(J159*'Total Distance Tables Sup #1'!J93)*(1+'Other Assumptions'!N$52)*'Active Mode Assumptions'!J9*'Active Mode Assumptions'!J15-(J160*'Total Distance Tables Sup #1'!J94)*(1+'Other Assumptions'!N$52)*'Active Mode Assumptions'!J18*'Active Mode Assumptions'!J24</f>
        <v>2351.385786178967</v>
      </c>
      <c r="K96" s="1">
        <f ca="1">(K162*'Total Distance Tables Sup #1'!K96-'PT Assumptions'!K47*'Total Distance Tables Sup #2'!K171-'PT Assumptions'!K59*'Total Distance Tables Sup #2'!K174)*(1+'Other Assumptions'!O$52)-(K159*'Total Distance Tables Sup #1'!K93)*(1+'Other Assumptions'!O$52)*'Active Mode Assumptions'!K9*'Active Mode Assumptions'!K15-(K160*'Total Distance Tables Sup #1'!K94)*(1+'Other Assumptions'!O$52)*'Active Mode Assumptions'!K18*'Active Mode Assumptions'!K24</f>
        <v>2386.9891563313777</v>
      </c>
    </row>
    <row r="97" spans="1:11" x14ac:dyDescent="0.2">
      <c r="A97" t="str">
        <f ca="1">OFFSET(Wellington_Reference,28,2)</f>
        <v>Taxi/Vehicle Share</v>
      </c>
      <c r="B97" s="4">
        <f ca="1">B163*'Total Distance Tables Sup #1'!B97*(1+'Other Assumptions'!D$52)</f>
        <v>19.359252680000001</v>
      </c>
      <c r="C97" s="4">
        <f ca="1">C163*'Total Distance Tables Sup #1'!C97*(1+'Other Assumptions'!G$52)</f>
        <v>22.081727041884886</v>
      </c>
      <c r="D97" s="4">
        <f ca="1">D163*'Total Distance Tables Sup #1'!D97*(1+'Other Assumptions'!H$52)</f>
        <v>25.236331936044259</v>
      </c>
      <c r="E97" s="4">
        <f ca="1">E163*'Total Distance Tables Sup #1'!E97*(1+'Other Assumptions'!I$52)</f>
        <v>28.136879115547071</v>
      </c>
      <c r="F97" s="4">
        <f ca="1">F163*'Total Distance Tables Sup #1'!F97*(1+'Other Assumptions'!J$52)</f>
        <v>30.593912734470532</v>
      </c>
      <c r="G97" s="4">
        <f ca="1">G163*'Total Distance Tables Sup #1'!G97*(1+'Other Assumptions'!K$52)</f>
        <v>32.444049689901959</v>
      </c>
      <c r="H97" s="4">
        <f ca="1">H163*'Total Distance Tables Sup #1'!H97*(1+'Other Assumptions'!L$52)</f>
        <v>33.907932687106594</v>
      </c>
      <c r="I97" s="1">
        <f ca="1">I163*'Total Distance Tables Sup #1'!I97*(1+'Other Assumptions'!M$52)</f>
        <v>34.81834403154771</v>
      </c>
      <c r="J97" s="1">
        <f ca="1">J163*'Total Distance Tables Sup #1'!J97*(1+'Other Assumptions'!N$52)</f>
        <v>35.658586385466286</v>
      </c>
      <c r="K97" s="1">
        <f ca="1">K163*'Total Distance Tables Sup #1'!K97*(1+'Other Assumptions'!O$52)</f>
        <v>36.43135276998936</v>
      </c>
    </row>
    <row r="98" spans="1:11" x14ac:dyDescent="0.2">
      <c r="A98" t="str">
        <f ca="1">OFFSET(Wellington_Reference,35,2)</f>
        <v>Motorcyclist</v>
      </c>
      <c r="B98" s="4">
        <f ca="1">B164*'Total Distance Tables Sup #1'!B98*(1+'Other Assumptions'!D$52)</f>
        <v>24.444631151999999</v>
      </c>
      <c r="C98" s="4">
        <f ca="1">C164*'Total Distance Tables Sup #1'!C98*(1+'Other Assumptions'!G$52)</f>
        <v>26.088382603893169</v>
      </c>
      <c r="D98" s="4">
        <f ca="1">D164*'Total Distance Tables Sup #1'!D98*(1+'Other Assumptions'!H$52)</f>
        <v>27.451893173276456</v>
      </c>
      <c r="E98" s="4">
        <f ca="1">E164*'Total Distance Tables Sup #1'!E98*(1+'Other Assumptions'!I$52)</f>
        <v>28.076178185680536</v>
      </c>
      <c r="F98" s="4">
        <f ca="1">F164*'Total Distance Tables Sup #1'!F98*(1+'Other Assumptions'!J$52)</f>
        <v>28.092728470246836</v>
      </c>
      <c r="G98" s="4">
        <f ca="1">G164*'Total Distance Tables Sup #1'!G98*(1+'Other Assumptions'!K$52)</f>
        <v>27.476079250955976</v>
      </c>
      <c r="H98" s="4">
        <f ca="1">H164*'Total Distance Tables Sup #1'!H98*(1+'Other Assumptions'!L$52)</f>
        <v>26.565095205783582</v>
      </c>
      <c r="I98" s="1">
        <f ca="1">I164*'Total Distance Tables Sup #1'!I98*(1+'Other Assumptions'!M$52)</f>
        <v>27.29709068852716</v>
      </c>
      <c r="J98" s="1">
        <f ca="1">J164*'Total Distance Tables Sup #1'!J98*(1+'Other Assumptions'!N$52)</f>
        <v>27.954225596541068</v>
      </c>
      <c r="K98" s="1">
        <f ca="1">K164*'Total Distance Tables Sup #1'!K98*(1+'Other Assumptions'!O$52)</f>
        <v>28.553605077262596</v>
      </c>
    </row>
    <row r="99" spans="1:11" x14ac:dyDescent="0.2">
      <c r="A99" t="str">
        <f ca="1">OFFSET(Wellington_Reference,42,2)</f>
        <v>Local Train</v>
      </c>
      <c r="B99" s="4">
        <f ca="1">'Total Distance Tables Sup #1'!B99*(1+'PT Assumptions'!B39)*(1+'Other Assumptions'!D$52)</f>
        <v>297.83</v>
      </c>
      <c r="C99" s="4">
        <f ca="1">'Total Distance Tables Sup #1'!C99*(1+'PT Assumptions'!C39)*(1+'Other Assumptions'!G$52)</f>
        <v>296.32381974434077</v>
      </c>
      <c r="D99" s="4">
        <f ca="1">'Total Distance Tables Sup #1'!D99*(1+'PT Assumptions'!D39)*(1+'Other Assumptions'!H$52)</f>
        <v>344.24629237594803</v>
      </c>
      <c r="E99" s="4">
        <f ca="1">'Total Distance Tables Sup #1'!E99*(1+'PT Assumptions'!E39)*(1+'Other Assumptions'!I$52)</f>
        <v>366.54021706351227</v>
      </c>
      <c r="F99" s="4">
        <f ca="1">'Total Distance Tables Sup #1'!F99*(1+'PT Assumptions'!F39)*(1+'Other Assumptions'!J$52)</f>
        <v>380.25688401764108</v>
      </c>
      <c r="G99" s="4">
        <f ca="1">'Total Distance Tables Sup #1'!G99*(1+'PT Assumptions'!G39)*(1+'Other Assumptions'!K$52)</f>
        <v>391.88267473686017</v>
      </c>
      <c r="H99" s="4">
        <f ca="1">'Total Distance Tables Sup #1'!H99*(1+'PT Assumptions'!H39)*(1+'Other Assumptions'!L$52)</f>
        <v>401.79136950755253</v>
      </c>
      <c r="I99" s="1">
        <f ca="1">'Total Distance Tables Sup #1'!I99*(1+'PT Assumptions'!I39)*(1+'Other Assumptions'!M$52)</f>
        <v>432.61117023219794</v>
      </c>
      <c r="J99" s="1">
        <f ca="1">'Total Distance Tables Sup #1'!J99*(1+'PT Assumptions'!J39)*(1+'Other Assumptions'!N$52)</f>
        <v>465.47109673554678</v>
      </c>
      <c r="K99" s="1">
        <f ca="1">'Total Distance Tables Sup #1'!K99*(1+'PT Assumptions'!K39)*(1+'Other Assumptions'!O$52)</f>
        <v>500.67282270464256</v>
      </c>
    </row>
    <row r="100" spans="1:11" x14ac:dyDescent="0.2">
      <c r="A100" t="str">
        <f ca="1">OFFSET(Wellington_Reference,49,2)</f>
        <v>Local Bus</v>
      </c>
      <c r="B100" s="4">
        <f ca="1">'Total Distance Tables Sup #1'!B100*(1+'PT Assumptions'!B51)*(1+'Other Assumptions'!D$52)</f>
        <v>164.37</v>
      </c>
      <c r="C100" s="4">
        <f ca="1">'Total Distance Tables Sup #1'!C100*(1+'PT Assumptions'!C51)*(1+'Other Assumptions'!G$52)</f>
        <v>159.01779495627051</v>
      </c>
      <c r="D100" s="4">
        <f ca="1">'Total Distance Tables Sup #1'!D100*(1+'PT Assumptions'!D51)*(1+'Other Assumptions'!H$52)</f>
        <v>183.79240194579793</v>
      </c>
      <c r="E100" s="4">
        <f ca="1">'Total Distance Tables Sup #1'!E100*(1+'PT Assumptions'!E51)*(1+'Other Assumptions'!I$52)</f>
        <v>193.80834416024541</v>
      </c>
      <c r="F100" s="4">
        <f ca="1">'Total Distance Tables Sup #1'!F100*(1+'PT Assumptions'!F51)*(1+'Other Assumptions'!J$52)</f>
        <v>196.11811964247474</v>
      </c>
      <c r="G100" s="4">
        <f ca="1">'Total Distance Tables Sup #1'!G100*(1+'PT Assumptions'!G51)*(1+'Other Assumptions'!K$52)</f>
        <v>199.04835494368302</v>
      </c>
      <c r="H100" s="4">
        <f ca="1">'Total Distance Tables Sup #1'!H100*(1+'PT Assumptions'!H51)*(1+'Other Assumptions'!L$52)</f>
        <v>202.36414743266039</v>
      </c>
      <c r="I100" s="1">
        <f ca="1">'Total Distance Tables Sup #1'!I100*(1+'PT Assumptions'!I51)*(1+'Other Assumptions'!M$52)</f>
        <v>211.28647820856457</v>
      </c>
      <c r="J100" s="1">
        <f ca="1">'Total Distance Tables Sup #1'!J100*(1+'PT Assumptions'!J51)*(1+'Other Assumptions'!N$52)</f>
        <v>220.51510595850343</v>
      </c>
      <c r="K100" s="1">
        <f ca="1">'Total Distance Tables Sup #1'!K100*(1+'PT Assumptions'!K51)*(1+'Other Assumptions'!O$52)</f>
        <v>230.0759879957881</v>
      </c>
    </row>
    <row r="101" spans="1:11" x14ac:dyDescent="0.2">
      <c r="A101" t="str">
        <f ca="1">OFFSET(Wellington_Reference,56,2)</f>
        <v>Local Ferry</v>
      </c>
      <c r="B101" s="4">
        <f ca="1">B167*'Total Distance Tables Sup #1'!B101*(1+'Other Assumptions'!D$52)</f>
        <v>0</v>
      </c>
      <c r="C101" s="4">
        <f ca="1">C167*'Total Distance Tables Sup #1'!C101*(1+'Other Assumptions'!G$52)</f>
        <v>0</v>
      </c>
      <c r="D101" s="4">
        <f ca="1">D167*'Total Distance Tables Sup #1'!D101*(1+'Other Assumptions'!H$52)</f>
        <v>0</v>
      </c>
      <c r="E101" s="4">
        <f ca="1">E167*'Total Distance Tables Sup #1'!E101*(1+'Other Assumptions'!I$52)</f>
        <v>0</v>
      </c>
      <c r="F101" s="4">
        <f ca="1">F167*'Total Distance Tables Sup #1'!F101*(1+'Other Assumptions'!J$52)</f>
        <v>0</v>
      </c>
      <c r="G101" s="4">
        <f ca="1">G167*'Total Distance Tables Sup #1'!G101*(1+'Other Assumptions'!K$52)</f>
        <v>0</v>
      </c>
      <c r="H101" s="4">
        <f ca="1">H167*'Total Distance Tables Sup #1'!H101*(1+'Other Assumptions'!L$52)</f>
        <v>0</v>
      </c>
      <c r="I101" s="1">
        <f ca="1">I167*'Total Distance Tables Sup #1'!I101*(1+'Other Assumptions'!M$52)</f>
        <v>0</v>
      </c>
      <c r="J101" s="1">
        <f ca="1">J167*'Total Distance Tables Sup #1'!J101*(1+'Other Assumptions'!N$52)</f>
        <v>0</v>
      </c>
      <c r="K101" s="1">
        <f ca="1">K167*'Total Distance Tables Sup #1'!K101*(1+'Other Assumptions'!O$52)</f>
        <v>0</v>
      </c>
    </row>
    <row r="102" spans="1:11" x14ac:dyDescent="0.2">
      <c r="A102" t="str">
        <f ca="1">OFFSET(Wellington_Reference,63,2)</f>
        <v>Other Household Travel</v>
      </c>
      <c r="B102" s="4">
        <f ca="1">B168*'Total Distance Tables Sup #1'!B102*(1+'Other Assumptions'!D$52)</f>
        <v>0</v>
      </c>
      <c r="C102" s="4">
        <f ca="1">C168*'Total Distance Tables Sup #1'!C102*(1+'Other Assumptions'!G$52)</f>
        <v>0</v>
      </c>
      <c r="D102" s="4">
        <f ca="1">D168*'Total Distance Tables Sup #1'!D102*(1+'Other Assumptions'!H$52)</f>
        <v>0</v>
      </c>
      <c r="E102" s="4">
        <f ca="1">E168*'Total Distance Tables Sup #1'!E102*(1+'Other Assumptions'!I$52)</f>
        <v>0</v>
      </c>
      <c r="F102" s="4">
        <f ca="1">F168*'Total Distance Tables Sup #1'!F102*(1+'Other Assumptions'!J$52)</f>
        <v>0</v>
      </c>
      <c r="G102" s="4">
        <f ca="1">G168*'Total Distance Tables Sup #1'!G102*(1+'Other Assumptions'!K$52)</f>
        <v>0</v>
      </c>
      <c r="H102" s="4">
        <f ca="1">H168*'Total Distance Tables Sup #1'!H102*(1+'Other Assumptions'!L$52)</f>
        <v>0</v>
      </c>
      <c r="I102" s="1">
        <f ca="1">I168*'Total Distance Tables Sup #1'!I102*(1+'Other Assumptions'!M$52)</f>
        <v>0</v>
      </c>
      <c r="J102" s="1">
        <f ca="1">J168*'Total Distance Tables Sup #1'!J102*(1+'Other Assumptions'!N$52)</f>
        <v>0</v>
      </c>
      <c r="K102" s="1">
        <f ca="1">K168*'Total Distance Tables Sup #1'!K102*(1+'Other Assumptions'!O$52)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B159*'Total Distance Tables Sup #1'!B104*(1+'Other Assumptions'!D$53)*(1+'Active Mode Assumptions'!B9)</f>
        <v>28.582749250999999</v>
      </c>
      <c r="C104" s="4">
        <f ca="1">C159*'Total Distance Tables Sup #1'!C104*(1+'Other Assumptions'!G$53)*(1+'Active Mode Assumptions'!C9)</f>
        <v>29.198396766200727</v>
      </c>
      <c r="D104" s="4">
        <f ca="1">D159*'Total Distance Tables Sup #1'!D104*(1+'Other Assumptions'!H$53)*(1+'Active Mode Assumptions'!D9)</f>
        <v>30.159720525691547</v>
      </c>
      <c r="E104" s="4">
        <f ca="1">E159*'Total Distance Tables Sup #1'!E104*(1+'Other Assumptions'!I$53)*(1+'Active Mode Assumptions'!E9)</f>
        <v>30.651274433737903</v>
      </c>
      <c r="F104" s="4">
        <f ca="1">F159*'Total Distance Tables Sup #1'!F104*(1+'Other Assumptions'!J$53)*(1+'Active Mode Assumptions'!F9)</f>
        <v>30.853487853386895</v>
      </c>
      <c r="G104" s="4">
        <f ca="1">G159*'Total Distance Tables Sup #1'!G104*(1+'Other Assumptions'!K$53)*(1+'Active Mode Assumptions'!G9)</f>
        <v>31.003423793935411</v>
      </c>
      <c r="H104" s="4">
        <f ca="1">H159*'Total Distance Tables Sup #1'!H104*(1+'Other Assumptions'!L$53)*(1+'Active Mode Assumptions'!H9)</f>
        <v>30.890028598573256</v>
      </c>
      <c r="I104" s="1">
        <f ca="1">I159*'Total Distance Tables Sup #1'!I104*(1+'Other Assumptions'!M$53)*(1+'Active Mode Assumptions'!I9)</f>
        <v>31.415661852648881</v>
      </c>
      <c r="J104" s="1">
        <f ca="1">J159*'Total Distance Tables Sup #1'!J104*(1+'Other Assumptions'!N$53)*(1+'Active Mode Assumptions'!J9)</f>
        <v>31.850486810091677</v>
      </c>
      <c r="K104" s="1">
        <f ca="1">K159*'Total Distance Tables Sup #1'!K104*(1+'Other Assumptions'!O$53)*(1+'Active Mode Assumptions'!K9)</f>
        <v>32.214938122314521</v>
      </c>
    </row>
    <row r="105" spans="1:11" x14ac:dyDescent="0.2">
      <c r="A105" t="str">
        <f ca="1">OFFSET(Nelson_Reference,7,2)</f>
        <v>Cyclist</v>
      </c>
      <c r="B105" s="4">
        <f ca="1">B160*'Total Distance Tables Sup #1'!B105*(1+'Other Assumptions'!D$53)*(1+'Active Mode Assumptions'!B18)</f>
        <v>10.809874027999999</v>
      </c>
      <c r="C105" s="4">
        <f ca="1">C160*'Total Distance Tables Sup #1'!C105*(1+'Other Assumptions'!G$53)*(1+'Active Mode Assumptions'!C18)</f>
        <v>11.316110805333675</v>
      </c>
      <c r="D105" s="4">
        <f ca="1">D160*'Total Distance Tables Sup #1'!D105*(1+'Other Assumptions'!H$53)*(1+'Active Mode Assumptions'!D18)</f>
        <v>13.327452139620229</v>
      </c>
      <c r="E105" s="4">
        <f ca="1">E160*'Total Distance Tables Sup #1'!E105*(1+'Other Assumptions'!I$53)*(1+'Active Mode Assumptions'!E18)</f>
        <v>14.846618878516198</v>
      </c>
      <c r="F105" s="4">
        <f ca="1">F160*'Total Distance Tables Sup #1'!F105*(1+'Other Assumptions'!J$53)*(1+'Active Mode Assumptions'!F18)</f>
        <v>16.597875506912729</v>
      </c>
      <c r="G105" s="4">
        <f ca="1">G160*'Total Distance Tables Sup #1'!G105*(1+'Other Assumptions'!K$53)*(1+'Active Mode Assumptions'!G18)</f>
        <v>18.666262556754702</v>
      </c>
      <c r="H105" s="4">
        <f ca="1">H160*'Total Distance Tables Sup #1'!H105*(1+'Other Assumptions'!L$53)*(1+'Active Mode Assumptions'!H18)</f>
        <v>20.733652502841643</v>
      </c>
      <c r="I105" s="1">
        <f ca="1">I160*'Total Distance Tables Sup #1'!I105*(1+'Other Assumptions'!M$53)*(1+'Active Mode Assumptions'!I18)</f>
        <v>21.2401307683803</v>
      </c>
      <c r="J105" s="1">
        <f ca="1">J160*'Total Distance Tables Sup #1'!J105*(1+'Other Assumptions'!N$53)*(1+'Active Mode Assumptions'!J18)</f>
        <v>21.755926539993773</v>
      </c>
      <c r="K105" s="1">
        <f ca="1">K160*'Total Distance Tables Sup #1'!K105*(1+'Other Assumptions'!O$53)*(1+'Active Mode Assumptions'!K18)</f>
        <v>22.236107663732863</v>
      </c>
    </row>
    <row r="106" spans="1:11" x14ac:dyDescent="0.2">
      <c r="A106" t="str">
        <f ca="1">OFFSET(Nelson_Reference,14,2)</f>
        <v>Light Vehicle Driver</v>
      </c>
      <c r="B106" s="4">
        <f ca="1">B161*'Total Distance Tables Sup #1'!B106*(1+'Other Assumptions'!D$53)-(B104*'Active Mode Assumptions'!B9*'Active Mode Assumptions'!B14/(1+'Active Mode Assumptions'!B9))-(B105*'Active Mode Assumptions'!B18*'Active Mode Assumptions'!B23/(1+'Active Mode Assumptions'!B18))</f>
        <v>1012.1329009999999</v>
      </c>
      <c r="C106" s="4">
        <f ca="1">C161*'Total Distance Tables Sup #1'!C106*(1+'Other Assumptions'!G$53)-(C104*'Active Mode Assumptions'!C9*'Active Mode Assumptions'!C14/(1+'Active Mode Assumptions'!C9))-(C105*'Active Mode Assumptions'!C18*'Active Mode Assumptions'!C23/(1+'Active Mode Assumptions'!C18))</f>
        <v>1077.2552772566671</v>
      </c>
      <c r="D106" s="4">
        <f ca="1">D161*'Total Distance Tables Sup #1'!D106*(1+'Other Assumptions'!H$53)-(D104*'Active Mode Assumptions'!D9*'Active Mode Assumptions'!D14/(1+'Active Mode Assumptions'!D9))-(D105*'Active Mode Assumptions'!D18*'Active Mode Assumptions'!D23/(1+'Active Mode Assumptions'!D18))</f>
        <v>1124.7232479782203</v>
      </c>
      <c r="E106" s="4">
        <f ca="1">E161*'Total Distance Tables Sup #1'!E106*(1+'Other Assumptions'!I$53)-(E104*'Active Mode Assumptions'!E9*'Active Mode Assumptions'!E14/(1+'Active Mode Assumptions'!E9))-(E105*'Active Mode Assumptions'!E18*'Active Mode Assumptions'!E23/(1+'Active Mode Assumptions'!E18))</f>
        <v>1172.1811233454609</v>
      </c>
      <c r="F106" s="4">
        <f ca="1">F161*'Total Distance Tables Sup #1'!F106*(1+'Other Assumptions'!J$53)-(F104*'Active Mode Assumptions'!F9*'Active Mode Assumptions'!F14/(1+'Active Mode Assumptions'!F9))-(F105*'Active Mode Assumptions'!F18*'Active Mode Assumptions'!F23/(1+'Active Mode Assumptions'!F18))</f>
        <v>1206.4512020877778</v>
      </c>
      <c r="G106" s="4">
        <f ca="1">G161*'Total Distance Tables Sup #1'!G106*(1+'Other Assumptions'!K$53)-(G104*'Active Mode Assumptions'!G9*'Active Mode Assumptions'!G14/(1+'Active Mode Assumptions'!G9))-(G105*'Active Mode Assumptions'!G18*'Active Mode Assumptions'!G23/(1+'Active Mode Assumptions'!G18))</f>
        <v>1225.0646238797628</v>
      </c>
      <c r="H106" s="4">
        <f ca="1">H161*'Total Distance Tables Sup #1'!H106*(1+'Other Assumptions'!L$53)-(H104*'Active Mode Assumptions'!H9*'Active Mode Assumptions'!H14/(1+'Active Mode Assumptions'!H9))-(H105*'Active Mode Assumptions'!H18*'Active Mode Assumptions'!H23/(1+'Active Mode Assumptions'!H18))</f>
        <v>1230.1677323095939</v>
      </c>
      <c r="I106" s="1">
        <f ca="1">I161*'Total Distance Tables Sup #1'!I106*(1+'Other Assumptions'!M$53)-(I104*'Active Mode Assumptions'!I9*'Active Mode Assumptions'!I14/(1+'Active Mode Assumptions'!I9))-(I105*'Active Mode Assumptions'!I18*'Active Mode Assumptions'!I23/(1+'Active Mode Assumptions'!I18))</f>
        <v>1250.6303224169953</v>
      </c>
      <c r="J106" s="1">
        <f ca="1">J161*'Total Distance Tables Sup #1'!J106*(1+'Other Assumptions'!N$53)-(J104*'Active Mode Assumptions'!J9*'Active Mode Assumptions'!J14/(1+'Active Mode Assumptions'!J9))-(J105*'Active Mode Assumptions'!J18*'Active Mode Assumptions'!J23/(1+'Active Mode Assumptions'!J18))</f>
        <v>1267.0061110625327</v>
      </c>
      <c r="K106" s="1">
        <f ca="1">K161*'Total Distance Tables Sup #1'!K106*(1+'Other Assumptions'!O$53)-(K104*'Active Mode Assumptions'!K9*'Active Mode Assumptions'!K14/(1+'Active Mode Assumptions'!K9))-(K105*'Active Mode Assumptions'!K18*'Active Mode Assumptions'!K23/(1+'Active Mode Assumptions'!K18))</f>
        <v>1280.4970942267682</v>
      </c>
    </row>
    <row r="107" spans="1:11" x14ac:dyDescent="0.2">
      <c r="A107" t="str">
        <f ca="1">OFFSET(Nelson_Reference,21,2)</f>
        <v>Light Vehicle Passenger</v>
      </c>
      <c r="B107" s="4">
        <f ca="1">B162*'Total Distance Tables Sup #1'!B107*(1+'Other Assumptions'!D$53)-(B104*'Active Mode Assumptions'!B9*'Active Mode Assumptions'!B15/(1+'Active Mode Assumptions'!B9))-(B105*'Active Mode Assumptions'!B18*'Active Mode Assumptions'!B24/(1+'Active Mode Assumptions'!B18))</f>
        <v>528.66856442999995</v>
      </c>
      <c r="C107" s="4">
        <f ca="1">C162*'Total Distance Tables Sup #1'!C107*(1+'Other Assumptions'!G$53)-(C104*'Active Mode Assumptions'!C9*'Active Mode Assumptions'!C15/(1+'Active Mode Assumptions'!C9))-(C105*'Active Mode Assumptions'!C18*'Active Mode Assumptions'!C24/(1+'Active Mode Assumptions'!C18))</f>
        <v>538.84289134343646</v>
      </c>
      <c r="D107" s="4">
        <f ca="1">D162*'Total Distance Tables Sup #1'!D107*(1+'Other Assumptions'!H$53)-(D104*'Active Mode Assumptions'!D9*'Active Mode Assumptions'!D15/(1+'Active Mode Assumptions'!D9))-(D105*'Active Mode Assumptions'!D18*'Active Mode Assumptions'!D24/(1+'Active Mode Assumptions'!D18))</f>
        <v>556.77108191513389</v>
      </c>
      <c r="E107" s="4">
        <f ca="1">E162*'Total Distance Tables Sup #1'!E107*(1+'Other Assumptions'!I$53)-(E104*'Active Mode Assumptions'!E9*'Active Mode Assumptions'!E15/(1+'Active Mode Assumptions'!E9))-(E105*'Active Mode Assumptions'!E18*'Active Mode Assumptions'!E24/(1+'Active Mode Assumptions'!E18))</f>
        <v>572.60289197966551</v>
      </c>
      <c r="F107" s="4">
        <f ca="1">F162*'Total Distance Tables Sup #1'!F107*(1+'Other Assumptions'!J$53)-(F104*'Active Mode Assumptions'!F9*'Active Mode Assumptions'!F15/(1+'Active Mode Assumptions'!F9))-(F105*'Active Mode Assumptions'!F18*'Active Mode Assumptions'!F24/(1+'Active Mode Assumptions'!F18))</f>
        <v>582.40873620080458</v>
      </c>
      <c r="G107" s="4">
        <f ca="1">G162*'Total Distance Tables Sup #1'!G107*(1+'Other Assumptions'!K$53)-(G104*'Active Mode Assumptions'!G9*'Active Mode Assumptions'!G15/(1+'Active Mode Assumptions'!G9))-(G105*'Active Mode Assumptions'!G18*'Active Mode Assumptions'!G24/(1+'Active Mode Assumptions'!G18))</f>
        <v>587.78075170908562</v>
      </c>
      <c r="H107" s="4">
        <f ca="1">H162*'Total Distance Tables Sup #1'!H107*(1+'Other Assumptions'!L$53)-(H104*'Active Mode Assumptions'!H9*'Active Mode Assumptions'!H15/(1+'Active Mode Assumptions'!H9))-(H105*'Active Mode Assumptions'!H18*'Active Mode Assumptions'!H24/(1+'Active Mode Assumptions'!H18))</f>
        <v>587.53777043108653</v>
      </c>
      <c r="I107" s="1">
        <f ca="1">I162*'Total Distance Tables Sup #1'!I107*(1+'Other Assumptions'!M$53)-(I104*'Active Mode Assumptions'!I9*'Active Mode Assumptions'!I15/(1+'Active Mode Assumptions'!I9))-(I105*'Active Mode Assumptions'!I18*'Active Mode Assumptions'!I24/(1+'Active Mode Assumptions'!I18))</f>
        <v>597.83176000544336</v>
      </c>
      <c r="J107" s="1">
        <f ca="1">J162*'Total Distance Tables Sup #1'!J107*(1+'Other Assumptions'!N$53)-(J104*'Active Mode Assumptions'!J9*'Active Mode Assumptions'!J15/(1+'Active Mode Assumptions'!J9))-(J105*'Active Mode Assumptions'!J18*'Active Mode Assumptions'!J24/(1+'Active Mode Assumptions'!J18))</f>
        <v>606.32005927207524</v>
      </c>
      <c r="K107" s="1">
        <f ca="1">K162*'Total Distance Tables Sup #1'!K107*(1+'Other Assumptions'!O$53)-(K104*'Active Mode Assumptions'!K9*'Active Mode Assumptions'!K15/(1+'Active Mode Assumptions'!K9))-(K105*'Active Mode Assumptions'!K18*'Active Mode Assumptions'!K24/(1+'Active Mode Assumptions'!K18))</f>
        <v>613.43908536801291</v>
      </c>
    </row>
    <row r="108" spans="1:11" x14ac:dyDescent="0.2">
      <c r="A108" t="str">
        <f ca="1">OFFSET(Nelson_Reference,28,2)</f>
        <v>Taxi/Vehicle Share</v>
      </c>
      <c r="B108" s="4">
        <f ca="1">B163*'Total Distance Tables Sup #1'!B108*(1+'Other Assumptions'!D$53)</f>
        <v>2.5483198348</v>
      </c>
      <c r="C108" s="4">
        <f ca="1">C163*'Total Distance Tables Sup #1'!C108*(1+'Other Assumptions'!G$53)</f>
        <v>2.8791342925844576</v>
      </c>
      <c r="D108" s="4">
        <f ca="1">D163*'Total Distance Tables Sup #1'!D108*(1+'Other Assumptions'!H$53)</f>
        <v>3.2796306066421188</v>
      </c>
      <c r="E108" s="4">
        <f ca="1">E163*'Total Distance Tables Sup #1'!E108*(1+'Other Assumptions'!I$53)</f>
        <v>3.6437701805927953</v>
      </c>
      <c r="F108" s="4">
        <f ca="1">F163*'Total Distance Tables Sup #1'!F108*(1+'Other Assumptions'!J$53)</f>
        <v>3.9416991375498589</v>
      </c>
      <c r="G108" s="4">
        <f ca="1">G163*'Total Distance Tables Sup #1'!G108*(1+'Other Assumptions'!K$53)</f>
        <v>4.1530640587719914</v>
      </c>
      <c r="H108" s="4">
        <f ca="1">H163*'Total Distance Tables Sup #1'!H108*(1+'Other Assumptions'!L$53)</f>
        <v>4.3051675721868312</v>
      </c>
      <c r="I108" s="1">
        <f ca="1">I163*'Total Distance Tables Sup #1'!I108*(1+'Other Assumptions'!M$53)</f>
        <v>4.385029463075381</v>
      </c>
      <c r="J108" s="1">
        <f ca="1">J163*'Total Distance Tables Sup #1'!J108*(1+'Other Assumptions'!N$53)</f>
        <v>4.4547638324153063</v>
      </c>
      <c r="K108" s="1">
        <f ca="1">K163*'Total Distance Tables Sup #1'!K108*(1+'Other Assumptions'!O$53)</f>
        <v>4.5149458408961127</v>
      </c>
    </row>
    <row r="109" spans="1:11" x14ac:dyDescent="0.2">
      <c r="A109" t="str">
        <f ca="1">OFFSET(Nelson_Reference,35,2)</f>
        <v>Motorcyclist</v>
      </c>
      <c r="B109" s="4">
        <f ca="1">B164*'Total Distance Tables Sup #1'!B109*(1+'Other Assumptions'!D$53)</f>
        <v>34.127286998000002</v>
      </c>
      <c r="C109" s="4">
        <f ca="1">C164*'Total Distance Tables Sup #1'!C109*(1+'Other Assumptions'!G$53)</f>
        <v>36.076879865239263</v>
      </c>
      <c r="D109" s="4">
        <f ca="1">D164*'Total Distance Tables Sup #1'!D109*(1+'Other Assumptions'!H$53)</f>
        <v>37.837630327082216</v>
      </c>
      <c r="E109" s="4">
        <f ca="1">E164*'Total Distance Tables Sup #1'!E109*(1+'Other Assumptions'!I$53)</f>
        <v>38.562570261013676</v>
      </c>
      <c r="F109" s="4">
        <f ca="1">F164*'Total Distance Tables Sup #1'!F109*(1+'Other Assumptions'!J$53)</f>
        <v>38.387983572512141</v>
      </c>
      <c r="G109" s="4">
        <f ca="1">G164*'Total Distance Tables Sup #1'!G109*(1+'Other Assumptions'!K$53)</f>
        <v>37.302785451355959</v>
      </c>
      <c r="H109" s="4">
        <f ca="1">H164*'Total Distance Tables Sup #1'!H109*(1+'Other Assumptions'!L$53)</f>
        <v>35.772809905487279</v>
      </c>
      <c r="I109" s="1">
        <f ca="1">I164*'Total Distance Tables Sup #1'!I109*(1+'Other Assumptions'!M$53)</f>
        <v>36.461429892902828</v>
      </c>
      <c r="J109" s="1">
        <f ca="1">J164*'Total Distance Tables Sup #1'!J109*(1+'Other Assumptions'!N$53)</f>
        <v>37.03914544959401</v>
      </c>
      <c r="K109" s="1">
        <f ca="1">K164*'Total Distance Tables Sup #1'!K109*(1+'Other Assumptions'!O$53)</f>
        <v>37.531085523726503</v>
      </c>
    </row>
    <row r="110" spans="1:11" x14ac:dyDescent="0.2">
      <c r="A110" t="str">
        <f ca="1">OFFSET(Nelson_Reference,42,2)</f>
        <v>Local Train</v>
      </c>
      <c r="B110" s="4">
        <f ca="1">B165*'Total Distance Tables Sup #1'!B110*(1+'Other Assumptions'!D$53)</f>
        <v>0</v>
      </c>
      <c r="C110" s="4">
        <f ca="1">C165*'Total Distance Tables Sup #1'!C110*(1+'Other Assumptions'!G$53)</f>
        <v>0</v>
      </c>
      <c r="D110" s="4">
        <f ca="1">D165*'Total Distance Tables Sup #1'!D110*(1+'Other Assumptions'!H$53)</f>
        <v>0</v>
      </c>
      <c r="E110" s="4">
        <f ca="1">E165*'Total Distance Tables Sup #1'!E110*(1+'Other Assumptions'!I$53)</f>
        <v>0</v>
      </c>
      <c r="F110" s="4">
        <f ca="1">F165*'Total Distance Tables Sup #1'!F110*(1+'Other Assumptions'!J$53)</f>
        <v>0</v>
      </c>
      <c r="G110" s="4">
        <f ca="1">G165*'Total Distance Tables Sup #1'!G110*(1+'Other Assumptions'!K$53)</f>
        <v>0</v>
      </c>
      <c r="H110" s="4">
        <f ca="1">H165*'Total Distance Tables Sup #1'!H110*(1+'Other Assumptions'!L$53)</f>
        <v>0</v>
      </c>
      <c r="I110" s="1">
        <f ca="1">I165*'Total Distance Tables Sup #1'!I110*(1+'Other Assumptions'!M$53)</f>
        <v>0</v>
      </c>
      <c r="J110" s="1">
        <f ca="1">J165*'Total Distance Tables Sup #1'!J110*(1+'Other Assumptions'!N$53)</f>
        <v>0</v>
      </c>
      <c r="K110" s="1">
        <f ca="1">K165*'Total Distance Tables Sup #1'!K110*(1+'Other Assumptions'!O$53)</f>
        <v>0</v>
      </c>
    </row>
    <row r="111" spans="1:11" x14ac:dyDescent="0.2">
      <c r="A111" t="str">
        <f ca="1">OFFSET(Nelson_Reference,49,2)</f>
        <v>Local Bus</v>
      </c>
      <c r="B111" s="4">
        <f ca="1">B166*'Total Distance Tables Sup #1'!B111*(1+'Other Assumptions'!D$53)</f>
        <v>19.807462209000001</v>
      </c>
      <c r="C111" s="4">
        <f ca="1">C166*'Total Distance Tables Sup #1'!C111*(1+'Other Assumptions'!G$53)</f>
        <v>17.925769080716467</v>
      </c>
      <c r="D111" s="4">
        <f ca="1">D166*'Total Distance Tables Sup #1'!D111*(1+'Other Assumptions'!H$53)</f>
        <v>18.026416314262061</v>
      </c>
      <c r="E111" s="4">
        <f ca="1">E166*'Total Distance Tables Sup #1'!E111*(1+'Other Assumptions'!I$53)</f>
        <v>17.772391775745707</v>
      </c>
      <c r="F111" s="4">
        <f ca="1">F166*'Total Distance Tables Sup #1'!F111*(1+'Other Assumptions'!J$53)</f>
        <v>17.344505085705364</v>
      </c>
      <c r="G111" s="4">
        <f ca="1">G166*'Total Distance Tables Sup #1'!G111*(1+'Other Assumptions'!K$53)</f>
        <v>17.099893906229632</v>
      </c>
      <c r="H111" s="4">
        <f ca="1">H166*'Total Distance Tables Sup #1'!H111*(1+'Other Assumptions'!L$53)</f>
        <v>16.809531294883321</v>
      </c>
      <c r="I111" s="1">
        <f ca="1">I166*'Total Distance Tables Sup #1'!I111*(1+'Other Assumptions'!M$53)</f>
        <v>17.148116981674146</v>
      </c>
      <c r="J111" s="1">
        <f ca="1">J166*'Total Distance Tables Sup #1'!J111*(1+'Other Assumptions'!N$53)</f>
        <v>17.445155566335945</v>
      </c>
      <c r="K111" s="1">
        <f ca="1">K166*'Total Distance Tables Sup #1'!K111*(1+'Other Assumptions'!O$53)</f>
        <v>17.704625730332086</v>
      </c>
    </row>
    <row r="112" spans="1:11" x14ac:dyDescent="0.2">
      <c r="A112" t="str">
        <f ca="1">OFFSET(Wellington_Reference,56,2)</f>
        <v>Local Ferry</v>
      </c>
      <c r="B112" s="4">
        <f>B167*'Total Distance Tables Sup #1'!B112*(1+'Other Assumptions'!D$53)</f>
        <v>0</v>
      </c>
      <c r="C112" s="4">
        <f ca="1">C167*'Total Distance Tables Sup #1'!C112*(1+'Other Assumptions'!G$53)</f>
        <v>0</v>
      </c>
      <c r="D112" s="4">
        <f ca="1">D167*'Total Distance Tables Sup #1'!D112*(1+'Other Assumptions'!H$53)</f>
        <v>0</v>
      </c>
      <c r="E112" s="4">
        <f ca="1">E167*'Total Distance Tables Sup #1'!E112*(1+'Other Assumptions'!I$53)</f>
        <v>0</v>
      </c>
      <c r="F112" s="4">
        <f ca="1">F167*'Total Distance Tables Sup #1'!F112*(1+'Other Assumptions'!J$53)</f>
        <v>0</v>
      </c>
      <c r="G112" s="4">
        <f ca="1">G167*'Total Distance Tables Sup #1'!G112*(1+'Other Assumptions'!K$53)</f>
        <v>0</v>
      </c>
      <c r="H112" s="4">
        <f ca="1">H167*'Total Distance Tables Sup #1'!H112*(1+'Other Assumptions'!L$53)</f>
        <v>0</v>
      </c>
      <c r="I112" s="1">
        <f ca="1">I167*'Total Distance Tables Sup #1'!I112*(1+'Other Assumptions'!M$53)</f>
        <v>0</v>
      </c>
      <c r="J112" s="1">
        <f ca="1">J167*'Total Distance Tables Sup #1'!J112*(1+'Other Assumptions'!N$53)</f>
        <v>0</v>
      </c>
      <c r="K112" s="1">
        <f ca="1">K167*'Total Distance Tables Sup #1'!K112*(1+'Other Assumptions'!O$53)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Distance Tables Sup #1'!B113*(1+'Other Assumptions'!D$53)</f>
        <v>0</v>
      </c>
      <c r="C113" s="4">
        <f ca="1">C168*'Total Distance Tables Sup #1'!C113*(1+'Other Assumptions'!G$53)</f>
        <v>0</v>
      </c>
      <c r="D113" s="4">
        <f ca="1">D168*'Total Distance Tables Sup #1'!D113*(1+'Other Assumptions'!H$53)</f>
        <v>0</v>
      </c>
      <c r="E113" s="4">
        <f ca="1">E168*'Total Distance Tables Sup #1'!E113*(1+'Other Assumptions'!I$53)</f>
        <v>0</v>
      </c>
      <c r="F113" s="4">
        <f ca="1">F168*'Total Distance Tables Sup #1'!F113*(1+'Other Assumptions'!J$53)</f>
        <v>0</v>
      </c>
      <c r="G113" s="4">
        <f ca="1">G168*'Total Distance Tables Sup #1'!G113*(1+'Other Assumptions'!K$53)</f>
        <v>0</v>
      </c>
      <c r="H113" s="4">
        <f ca="1">H168*'Total Distance Tables Sup #1'!H113*(1+'Other Assumptions'!L$53)</f>
        <v>0</v>
      </c>
      <c r="I113" s="1">
        <f ca="1">I168*'Total Distance Tables Sup #1'!I113*(1+'Other Assumptions'!M$53)</f>
        <v>0</v>
      </c>
      <c r="J113" s="1">
        <f ca="1">J168*'Total Distance Tables Sup #1'!J113*(1+'Other Assumptions'!N$53)</f>
        <v>0</v>
      </c>
      <c r="K113" s="1">
        <f ca="1">K168*'Total Distance Tables Sup #1'!K113*(1+'Other Assumptions'!O$53)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B159*'Total Distance Tables Sup #1'!B115*(1+'Other Assumptions'!D$54)*(1+'Active Mode Assumptions'!B9)</f>
        <v>4.6474841125999999</v>
      </c>
      <c r="C115" s="4">
        <f ca="1">C159*'Total Distance Tables Sup #1'!C115*(1+'Other Assumptions'!G$54)*(1+'Active Mode Assumptions'!C9)</f>
        <v>4.4592753947604997</v>
      </c>
      <c r="D115" s="4">
        <f ca="1">D159*'Total Distance Tables Sup #1'!D115*(1+'Other Assumptions'!H$54)*(1+'Active Mode Assumptions'!D9)</f>
        <v>4.4711478284714437</v>
      </c>
      <c r="E115" s="4">
        <f ca="1">E159*'Total Distance Tables Sup #1'!E115*(1+'Other Assumptions'!I$54)*(1+'Active Mode Assumptions'!E9)</f>
        <v>4.4182570327796444</v>
      </c>
      <c r="F115" s="4">
        <f ca="1">F159*'Total Distance Tables Sup #1'!F115*(1+'Other Assumptions'!J$54)*(1+'Active Mode Assumptions'!F9)</f>
        <v>4.3261961173680348</v>
      </c>
      <c r="G115" s="4">
        <f ca="1">G159*'Total Distance Tables Sup #1'!G115*(1+'Other Assumptions'!K$54)*(1+'Active Mode Assumptions'!G9)</f>
        <v>4.2309480082781645</v>
      </c>
      <c r="H115" s="4">
        <f ca="1">H159*'Total Distance Tables Sup #1'!H115*(1+'Other Assumptions'!L$54)*(1+'Active Mode Assumptions'!H9)</f>
        <v>4.1135182817603635</v>
      </c>
      <c r="I115" s="1">
        <f ca="1">I159*'Total Distance Tables Sup #1'!I115*(1+'Other Assumptions'!M$54)*(1+'Active Mode Assumptions'!I9)</f>
        <v>4.0821404709320941</v>
      </c>
      <c r="J115" s="1">
        <f ca="1">J159*'Total Distance Tables Sup #1'!J115*(1+'Other Assumptions'!N$54)*(1+'Active Mode Assumptions'!J9)</f>
        <v>4.0381636280328408</v>
      </c>
      <c r="K115" s="1">
        <f ca="1">K159*'Total Distance Tables Sup #1'!K115*(1+'Other Assumptions'!O$54)*(1+'Active Mode Assumptions'!K9)</f>
        <v>3.9850219750758842</v>
      </c>
    </row>
    <row r="116" spans="1:11" x14ac:dyDescent="0.2">
      <c r="A116" t="str">
        <f ca="1">OFFSET(West_Coast_Reference,7,2)</f>
        <v>Cyclist</v>
      </c>
      <c r="B116" s="4">
        <f ca="1">B160*'Total Distance Tables Sup #1'!B116*(1+'Other Assumptions'!D$54)*(1+'Active Mode Assumptions'!B18)</f>
        <v>1.9571055828999999</v>
      </c>
      <c r="C116" s="4">
        <f ca="1">C160*'Total Distance Tables Sup #1'!C116*(1+'Other Assumptions'!G$54)*(1+'Active Mode Assumptions'!C18)</f>
        <v>1.9243416877100059</v>
      </c>
      <c r="D116" s="4">
        <f ca="1">D160*'Total Distance Tables Sup #1'!D116*(1+'Other Assumptions'!H$54)*(1+'Active Mode Assumptions'!D18)</f>
        <v>2.199979106333704</v>
      </c>
      <c r="E116" s="4">
        <f ca="1">E160*'Total Distance Tables Sup #1'!E116*(1+'Other Assumptions'!I$54)*(1+'Active Mode Assumptions'!E18)</f>
        <v>2.3829213554040134</v>
      </c>
      <c r="F116" s="4">
        <f ca="1">F160*'Total Distance Tables Sup #1'!F116*(1+'Other Assumptions'!J$54)*(1+'Active Mode Assumptions'!F18)</f>
        <v>2.5913981726756101</v>
      </c>
      <c r="G116" s="4">
        <f ca="1">G160*'Total Distance Tables Sup #1'!G116*(1+'Other Assumptions'!K$54)*(1+'Active Mode Assumptions'!G18)</f>
        <v>2.8363845456603509</v>
      </c>
      <c r="H116" s="4">
        <f ca="1">H160*'Total Distance Tables Sup #1'!H116*(1+'Other Assumptions'!L$54)*(1+'Active Mode Assumptions'!H18)</f>
        <v>3.0743311485343323</v>
      </c>
      <c r="I116" s="1">
        <f ca="1">I160*'Total Distance Tables Sup #1'!I116*(1+'Other Assumptions'!M$54)*(1+'Active Mode Assumptions'!I18)</f>
        <v>3.0731136817455025</v>
      </c>
      <c r="J116" s="1">
        <f ca="1">J160*'Total Distance Tables Sup #1'!J116*(1+'Other Assumptions'!N$54)*(1+'Active Mode Assumptions'!J18)</f>
        <v>3.0713204419513609</v>
      </c>
      <c r="K116" s="1">
        <f ca="1">K160*'Total Distance Tables Sup #1'!K116*(1+'Other Assumptions'!O$54)*(1+'Active Mode Assumptions'!K18)</f>
        <v>3.062752448222676</v>
      </c>
    </row>
    <row r="117" spans="1:11" x14ac:dyDescent="0.2">
      <c r="A117" t="str">
        <f ca="1">OFFSET(West_Coast_Reference,14,2)</f>
        <v>Light Vehicle Driver</v>
      </c>
      <c r="B117" s="4">
        <f ca="1">B161*'Total Distance Tables Sup #1'!B117*(1+'Other Assumptions'!D$54)-(B115*'Active Mode Assumptions'!B9*'Active Mode Assumptions'!B14/(1+'Active Mode Assumptions'!B9))-(B116*'Active Mode Assumptions'!B18*'Active Mode Assumptions'!B23/(1+'Active Mode Assumptions'!B18))</f>
        <v>226.22434741999999</v>
      </c>
      <c r="C117" s="4">
        <f ca="1">C161*'Total Distance Tables Sup #1'!C117*(1+'Other Assumptions'!G$54)-(C115*'Active Mode Assumptions'!C9*'Active Mode Assumptions'!C14/(1+'Active Mode Assumptions'!C9))-(C116*'Active Mode Assumptions'!C18*'Active Mode Assumptions'!C23/(1+'Active Mode Assumptions'!C18))</f>
        <v>226.15792242414088</v>
      </c>
      <c r="D117" s="4">
        <f ca="1">D161*'Total Distance Tables Sup #1'!D117*(1+'Other Assumptions'!H$54)-(D115*'Active Mode Assumptions'!D9*'Active Mode Assumptions'!D14/(1+'Active Mode Assumptions'!D9))-(D116*'Active Mode Assumptions'!D18*'Active Mode Assumptions'!D23/(1+'Active Mode Assumptions'!D18))</f>
        <v>229.22556542121862</v>
      </c>
      <c r="E117" s="4">
        <f ca="1">E161*'Total Distance Tables Sup #1'!E117*(1+'Other Assumptions'!I$54)-(E115*'Active Mode Assumptions'!E9*'Active Mode Assumptions'!E14/(1+'Active Mode Assumptions'!E9))-(E116*'Active Mode Assumptions'!E18*'Active Mode Assumptions'!E23/(1+'Active Mode Assumptions'!E18))</f>
        <v>232.30488847889131</v>
      </c>
      <c r="F117" s="4">
        <f ca="1">F161*'Total Distance Tables Sup #1'!F117*(1+'Other Assumptions'!J$54)-(F115*'Active Mode Assumptions'!F9*'Active Mode Assumptions'!F14/(1+'Active Mode Assumptions'!F9))-(F116*'Active Mode Assumptions'!F18*'Active Mode Assumptions'!F23/(1+'Active Mode Assumptions'!F18))</f>
        <v>232.59902719101359</v>
      </c>
      <c r="G117" s="4">
        <f ca="1">G161*'Total Distance Tables Sup #1'!G117*(1+'Other Assumptions'!K$54)-(G115*'Active Mode Assumptions'!G9*'Active Mode Assumptions'!G14/(1+'Active Mode Assumptions'!G9))-(G116*'Active Mode Assumptions'!G18*'Active Mode Assumptions'!G23/(1+'Active Mode Assumptions'!G18))</f>
        <v>229.89004474524774</v>
      </c>
      <c r="H117" s="4">
        <f ca="1">H161*'Total Distance Tables Sup #1'!H117*(1+'Other Assumptions'!L$54)-(H115*'Active Mode Assumptions'!H9*'Active Mode Assumptions'!H14/(1+'Active Mode Assumptions'!H9))-(H116*'Active Mode Assumptions'!H18*'Active Mode Assumptions'!H23/(1+'Active Mode Assumptions'!H18))</f>
        <v>225.28420118529934</v>
      </c>
      <c r="I117" s="1">
        <f ca="1">I161*'Total Distance Tables Sup #1'!I117*(1+'Other Assumptions'!M$54)-(I115*'Active Mode Assumptions'!I9*'Active Mode Assumptions'!I14/(1+'Active Mode Assumptions'!I9))-(I116*'Active Mode Assumptions'!I18*'Active Mode Assumptions'!I23/(1+'Active Mode Assumptions'!I18))</f>
        <v>223.48217173625792</v>
      </c>
      <c r="J117" s="1">
        <f ca="1">J161*'Total Distance Tables Sup #1'!J117*(1+'Other Assumptions'!N$54)-(J115*'Active Mode Assumptions'!J9*'Active Mode Assumptions'!J14/(1+'Active Mode Assumptions'!J9))-(J116*'Active Mode Assumptions'!J18*'Active Mode Assumptions'!J23/(1+'Active Mode Assumptions'!J18))</f>
        <v>220.91239506703107</v>
      </c>
      <c r="K117" s="1">
        <f ca="1">K161*'Total Distance Tables Sup #1'!K117*(1+'Other Assumptions'!O$54)-(K115*'Active Mode Assumptions'!K9*'Active Mode Assumptions'!K14/(1+'Active Mode Assumptions'!K9))-(K116*'Active Mode Assumptions'!K18*'Active Mode Assumptions'!K23/(1+'Active Mode Assumptions'!K18))</f>
        <v>217.83463879479433</v>
      </c>
    </row>
    <row r="118" spans="1:11" x14ac:dyDescent="0.2">
      <c r="A118" t="str">
        <f ca="1">OFFSET(West_Coast_Reference,21,2)</f>
        <v>Light Vehicle Passenger</v>
      </c>
      <c r="B118" s="4">
        <f ca="1">B162*'Total Distance Tables Sup #1'!B118*(1+'Other Assumptions'!D$54)-(B115*'Active Mode Assumptions'!B9*'Active Mode Assumptions'!B15/(1+'Active Mode Assumptions'!B9))-(B116*'Active Mode Assumptions'!B18*'Active Mode Assumptions'!B24/(1+'Active Mode Assumptions'!B18))</f>
        <v>160.37072223999999</v>
      </c>
      <c r="C118" s="4">
        <f ca="1">C162*'Total Distance Tables Sup #1'!C118*(1+'Other Assumptions'!G$54)-(C115*'Active Mode Assumptions'!C9*'Active Mode Assumptions'!C15/(1+'Active Mode Assumptions'!C9))-(C116*'Active Mode Assumptions'!C18*'Active Mode Assumptions'!C24/(1+'Active Mode Assumptions'!C18))</f>
        <v>153.53066453128227</v>
      </c>
      <c r="D118" s="4">
        <f ca="1">D162*'Total Distance Tables Sup #1'!D118*(1+'Other Assumptions'!H$54)-(D115*'Active Mode Assumptions'!D9*'Active Mode Assumptions'!D15/(1+'Active Mode Assumptions'!D9))-(D116*'Active Mode Assumptions'!D18*'Active Mode Assumptions'!D24/(1+'Active Mode Assumptions'!D18))</f>
        <v>154.04400703782827</v>
      </c>
      <c r="E118" s="4">
        <f ca="1">E162*'Total Distance Tables Sup #1'!E118*(1+'Other Assumptions'!I$54)-(E115*'Active Mode Assumptions'!E9*'Active Mode Assumptions'!E15/(1+'Active Mode Assumptions'!E9))-(E116*'Active Mode Assumptions'!E18*'Active Mode Assumptions'!E24/(1+'Active Mode Assumptions'!E18))</f>
        <v>154.09070518170779</v>
      </c>
      <c r="F118" s="4">
        <f ca="1">F162*'Total Distance Tables Sup #1'!F118*(1+'Other Assumptions'!J$54)-(F115*'Active Mode Assumptions'!F9*'Active Mode Assumptions'!F15/(1+'Active Mode Assumptions'!F9))-(F116*'Active Mode Assumptions'!F18*'Active Mode Assumptions'!F24/(1+'Active Mode Assumptions'!F18))</f>
        <v>152.50926306785342</v>
      </c>
      <c r="G118" s="4">
        <f ca="1">G162*'Total Distance Tables Sup #1'!G118*(1+'Other Assumptions'!K$54)-(G115*'Active Mode Assumptions'!G9*'Active Mode Assumptions'!G15/(1+'Active Mode Assumptions'!G9))-(G116*'Active Mode Assumptions'!G18*'Active Mode Assumptions'!G24/(1+'Active Mode Assumptions'!G18))</f>
        <v>149.85273640384892</v>
      </c>
      <c r="H118" s="4">
        <f ca="1">H162*'Total Distance Tables Sup #1'!H118*(1+'Other Assumptions'!L$54)-(H115*'Active Mode Assumptions'!H9*'Active Mode Assumptions'!H15/(1+'Active Mode Assumptions'!H9))-(H116*'Active Mode Assumptions'!H18*'Active Mode Assumptions'!H24/(1+'Active Mode Assumptions'!H18))</f>
        <v>146.22230584155449</v>
      </c>
      <c r="I118" s="1">
        <f ca="1">I162*'Total Distance Tables Sup #1'!I118*(1+'Other Assumptions'!M$54)-(I115*'Active Mode Assumptions'!I9*'Active Mode Assumptions'!I15/(1+'Active Mode Assumptions'!I9))-(I116*'Active Mode Assumptions'!I18*'Active Mode Assumptions'!I24/(1+'Active Mode Assumptions'!I18))</f>
        <v>145.18000295790213</v>
      </c>
      <c r="J118" s="1">
        <f ca="1">J162*'Total Distance Tables Sup #1'!J118*(1+'Other Assumptions'!N$54)-(J115*'Active Mode Assumptions'!J9*'Active Mode Assumptions'!J15/(1+'Active Mode Assumptions'!J9))-(J116*'Active Mode Assumptions'!J18*'Active Mode Assumptions'!J24/(1+'Active Mode Assumptions'!J18))</f>
        <v>143.6682898687784</v>
      </c>
      <c r="K118" s="1">
        <f ca="1">K162*'Total Distance Tables Sup #1'!K118*(1+'Other Assumptions'!O$54)-(K115*'Active Mode Assumptions'!K9*'Active Mode Assumptions'!K15/(1+'Active Mode Assumptions'!K9))-(K116*'Active Mode Assumptions'!K18*'Active Mode Assumptions'!K24/(1+'Active Mode Assumptions'!K18))</f>
        <v>141.82123911012059</v>
      </c>
    </row>
    <row r="119" spans="1:11" x14ac:dyDescent="0.2">
      <c r="A119" t="str">
        <f ca="1">OFFSET(West_Coast_Reference,28,2)</f>
        <v>Taxi/Vehicle Share</v>
      </c>
      <c r="B119" s="4">
        <f ca="1">B163*'Total Distance Tables Sup #1'!B119*(1+'Other Assumptions'!D$54)</f>
        <v>1.6916956777000001</v>
      </c>
      <c r="C119" s="4">
        <f ca="1">C163*'Total Distance Tables Sup #1'!C119*(1+'Other Assumptions'!G$54)</f>
        <v>1.7952362185742954</v>
      </c>
      <c r="D119" s="4">
        <f ca="1">D163*'Total Distance Tables Sup #1'!D119*(1+'Other Assumptions'!H$54)</f>
        <v>1.9850481136306077</v>
      </c>
      <c r="E119" s="4">
        <f ca="1">E163*'Total Distance Tables Sup #1'!E119*(1+'Other Assumptions'!I$54)</f>
        <v>2.1444099267161754</v>
      </c>
      <c r="F119" s="4">
        <f ca="1">F163*'Total Distance Tables Sup #1'!F119*(1+'Other Assumptions'!J$54)</f>
        <v>2.2565231842627096</v>
      </c>
      <c r="G119" s="4">
        <f ca="1">G163*'Total Distance Tables Sup #1'!G119*(1+'Other Assumptions'!K$54)</f>
        <v>2.3139344521565737</v>
      </c>
      <c r="H119" s="4">
        <f ca="1">H163*'Total Distance Tables Sup #1'!H119*(1+'Other Assumptions'!L$54)</f>
        <v>2.3406666777440917</v>
      </c>
      <c r="I119" s="1">
        <f ca="1">I163*'Total Distance Tables Sup #1'!I119*(1+'Other Assumptions'!M$54)</f>
        <v>2.3263156262059521</v>
      </c>
      <c r="J119" s="1">
        <f ca="1">J163*'Total Distance Tables Sup #1'!J119*(1+'Other Assumptions'!N$54)</f>
        <v>2.3059342179020406</v>
      </c>
      <c r="K119" s="1">
        <f ca="1">K163*'Total Distance Tables Sup #1'!K119*(1+'Other Assumptions'!O$54)</f>
        <v>2.2802389241248182</v>
      </c>
    </row>
    <row r="120" spans="1:11" x14ac:dyDescent="0.2">
      <c r="A120" t="str">
        <f ca="1">OFFSET(West_Coast_Reference,35,2)</f>
        <v>Motorcyclist</v>
      </c>
      <c r="B120" s="4">
        <f ca="1">B164*'Total Distance Tables Sup #1'!B120*(1+'Other Assumptions'!D$54)</f>
        <v>0.29466348679999999</v>
      </c>
      <c r="C120" s="4">
        <f ca="1">C164*'Total Distance Tables Sup #1'!C120*(1+'Other Assumptions'!G$54)</f>
        <v>0.29258018026713739</v>
      </c>
      <c r="D120" s="4">
        <f ca="1">D164*'Total Distance Tables Sup #1'!D120*(1+'Other Assumptions'!H$54)</f>
        <v>0.29786967428979072</v>
      </c>
      <c r="E120" s="4">
        <f ca="1">E164*'Total Distance Tables Sup #1'!E120*(1+'Other Assumptions'!I$54)</f>
        <v>0.29517465070487409</v>
      </c>
      <c r="F120" s="4">
        <f ca="1">F164*'Total Distance Tables Sup #1'!F120*(1+'Other Assumptions'!J$54)</f>
        <v>0.28583004763529318</v>
      </c>
      <c r="G120" s="4">
        <f ca="1">G164*'Total Distance Tables Sup #1'!G120*(1+'Other Assumptions'!K$54)</f>
        <v>0.27032109537496918</v>
      </c>
      <c r="H120" s="4">
        <f ca="1">H164*'Total Distance Tables Sup #1'!H120*(1+'Other Assumptions'!L$54)</f>
        <v>0.25296405862445165</v>
      </c>
      <c r="I120" s="1">
        <f ca="1">I164*'Total Distance Tables Sup #1'!I120*(1+'Other Assumptions'!M$54)</f>
        <v>0.25158576936559512</v>
      </c>
      <c r="J120" s="1">
        <f ca="1">J164*'Total Distance Tables Sup #1'!J120*(1+'Other Assumptions'!N$54)</f>
        <v>0.24936726432746198</v>
      </c>
      <c r="K120" s="1">
        <f ca="1">K164*'Total Distance Tables Sup #1'!K120*(1+'Other Assumptions'!O$54)</f>
        <v>0.24653307313543302</v>
      </c>
    </row>
    <row r="121" spans="1:11" x14ac:dyDescent="0.2">
      <c r="A121" t="str">
        <f ca="1">OFFSET(Nelson_Reference,42,2)</f>
        <v>Local Train</v>
      </c>
      <c r="B121" s="4">
        <f ca="1">B165*'Total Distance Tables Sup #1'!B121*(1+'Other Assumptions'!D$54)</f>
        <v>0</v>
      </c>
      <c r="C121" s="4">
        <f ca="1">C165*'Total Distance Tables Sup #1'!C121*(1+'Other Assumptions'!G$54)</f>
        <v>0</v>
      </c>
      <c r="D121" s="4">
        <f ca="1">D165*'Total Distance Tables Sup #1'!D121*(1+'Other Assumptions'!H$54)</f>
        <v>0</v>
      </c>
      <c r="E121" s="4">
        <f ca="1">E165*'Total Distance Tables Sup #1'!E121*(1+'Other Assumptions'!I$54)</f>
        <v>0</v>
      </c>
      <c r="F121" s="4">
        <f ca="1">F165*'Total Distance Tables Sup #1'!F121*(1+'Other Assumptions'!J$54)</f>
        <v>0</v>
      </c>
      <c r="G121" s="4">
        <f ca="1">G165*'Total Distance Tables Sup #1'!G121*(1+'Other Assumptions'!K$54)</f>
        <v>0</v>
      </c>
      <c r="H121" s="4">
        <f ca="1">H165*'Total Distance Tables Sup #1'!H121*(1+'Other Assumptions'!L$54)</f>
        <v>0</v>
      </c>
      <c r="I121" s="1">
        <f ca="1">I165*'Total Distance Tables Sup #1'!I121*(1+'Other Assumptions'!M$54)</f>
        <v>0</v>
      </c>
      <c r="J121" s="1">
        <f ca="1">J165*'Total Distance Tables Sup #1'!J121*(1+'Other Assumptions'!N$54)</f>
        <v>0</v>
      </c>
      <c r="K121" s="1">
        <f ca="1">K165*'Total Distance Tables Sup #1'!K121*(1+'Other Assumptions'!O$54)</f>
        <v>0</v>
      </c>
    </row>
    <row r="122" spans="1:11" x14ac:dyDescent="0.2">
      <c r="A122" t="str">
        <f ca="1">OFFSET(West_Coast_Reference,42,2)</f>
        <v>Local Bus</v>
      </c>
      <c r="B122" s="4">
        <f ca="1">B166*'Total Distance Tables Sup #1'!B122*(1+'Other Assumptions'!D$54)</f>
        <v>6.0600083682000001</v>
      </c>
      <c r="C122" s="4">
        <f ca="1">C166*'Total Distance Tables Sup #1'!C122*(1+'Other Assumptions'!G$54)</f>
        <v>5.1512610539294794</v>
      </c>
      <c r="D122" s="4">
        <f ca="1">D166*'Total Distance Tables Sup #1'!D122*(1+'Other Assumptions'!H$54)</f>
        <v>5.0284204785714115</v>
      </c>
      <c r="E122" s="4">
        <f ca="1">E166*'Total Distance Tables Sup #1'!E122*(1+'Other Assumptions'!I$54)</f>
        <v>4.8203524374553961</v>
      </c>
      <c r="F122" s="4">
        <f ca="1">F166*'Total Distance Tables Sup #1'!F122*(1+'Other Assumptions'!J$54)</f>
        <v>4.5760875248979342</v>
      </c>
      <c r="G122" s="4">
        <f ca="1">G166*'Total Distance Tables Sup #1'!G122*(1+'Other Assumptions'!K$54)</f>
        <v>4.3908835668484665</v>
      </c>
      <c r="H122" s="4">
        <f ca="1">H166*'Total Distance Tables Sup #1'!H122*(1+'Other Assumptions'!L$54)</f>
        <v>4.211930524259909</v>
      </c>
      <c r="I122" s="1">
        <f ca="1">I166*'Total Distance Tables Sup #1'!I122*(1+'Other Assumptions'!M$54)</f>
        <v>4.1926503205346455</v>
      </c>
      <c r="J122" s="1">
        <f ca="1">J166*'Total Distance Tables Sup #1'!J122*(1+'Other Assumptions'!N$54)</f>
        <v>4.1617228808810696</v>
      </c>
      <c r="K122" s="1">
        <f ca="1">K166*'Total Distance Tables Sup #1'!K122*(1+'Other Assumptions'!O$54)</f>
        <v>4.1208864034889796</v>
      </c>
    </row>
    <row r="123" spans="1:11" x14ac:dyDescent="0.2">
      <c r="A123" t="str">
        <f ca="1">OFFSET(Wellington_Reference,56,2)</f>
        <v>Local Ferry</v>
      </c>
      <c r="B123" s="4">
        <f>B167*'Total Distance Tables Sup #1'!B123*(1+'Other Assumptions'!D$54)</f>
        <v>0</v>
      </c>
      <c r="C123" s="4">
        <f ca="1">C167*'Total Distance Tables Sup #1'!C123*(1+'Other Assumptions'!G$54)</f>
        <v>0</v>
      </c>
      <c r="D123" s="4">
        <f ca="1">D167*'Total Distance Tables Sup #1'!D123*(1+'Other Assumptions'!H$54)</f>
        <v>0</v>
      </c>
      <c r="E123" s="4">
        <f ca="1">E167*'Total Distance Tables Sup #1'!E123*(1+'Other Assumptions'!I$54)</f>
        <v>0</v>
      </c>
      <c r="F123" s="4">
        <f ca="1">F167*'Total Distance Tables Sup #1'!F123*(1+'Other Assumptions'!J$54)</f>
        <v>0</v>
      </c>
      <c r="G123" s="4">
        <f ca="1">G167*'Total Distance Tables Sup #1'!G123*(1+'Other Assumptions'!K$54)</f>
        <v>0</v>
      </c>
      <c r="H123" s="4">
        <f ca="1">H167*'Total Distance Tables Sup #1'!H123*(1+'Other Assumptions'!L$54)</f>
        <v>0</v>
      </c>
      <c r="I123" s="1">
        <f ca="1">I167*'Total Distance Tables Sup #1'!I123*(1+'Other Assumptions'!M$54)</f>
        <v>0</v>
      </c>
      <c r="J123" s="1">
        <f ca="1">J167*'Total Distance Tables Sup #1'!J123*(1+'Other Assumptions'!N$54)</f>
        <v>0</v>
      </c>
      <c r="K123" s="1">
        <f ca="1">K167*'Total Distance Tables Sup #1'!K123*(1+'Other Assumptions'!O$54)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Distance Tables Sup #1'!B124*(1+'Other Assumptions'!D$54)</f>
        <v>0</v>
      </c>
      <c r="C124" s="4">
        <f ca="1">C168*'Total Distance Tables Sup #1'!C124*(1+'Other Assumptions'!G$54)</f>
        <v>0</v>
      </c>
      <c r="D124" s="4">
        <f ca="1">D168*'Total Distance Tables Sup #1'!D124*(1+'Other Assumptions'!H$54)</f>
        <v>0</v>
      </c>
      <c r="E124" s="4">
        <f ca="1">E168*'Total Distance Tables Sup #1'!E124*(1+'Other Assumptions'!I$54)</f>
        <v>0</v>
      </c>
      <c r="F124" s="4">
        <f ca="1">F168*'Total Distance Tables Sup #1'!F124*(1+'Other Assumptions'!J$54)</f>
        <v>0</v>
      </c>
      <c r="G124" s="4">
        <f ca="1">G168*'Total Distance Tables Sup #1'!G124*(1+'Other Assumptions'!K$54)</f>
        <v>0</v>
      </c>
      <c r="H124" s="4">
        <f ca="1">H168*'Total Distance Tables Sup #1'!H124*(1+'Other Assumptions'!L$54)</f>
        <v>0</v>
      </c>
      <c r="I124" s="1">
        <f ca="1">I168*'Total Distance Tables Sup #1'!I124*(1+'Other Assumptions'!M$54)</f>
        <v>0</v>
      </c>
      <c r="J124" s="1">
        <f ca="1">J168*'Total Distance Tables Sup #1'!J124*(1+'Other Assumptions'!N$54)</f>
        <v>0</v>
      </c>
      <c r="K124" s="1">
        <f ca="1">K168*'Total Distance Tables Sup #1'!K124*(1+'Other Assumptions'!O$54)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B159*'Total Distance Tables Sup #1'!B126*(1+'Other Assumptions'!D$55)*(1+'Active Mode Assumptions'!B9)</f>
        <v>113.37513976</v>
      </c>
      <c r="C126" s="4">
        <f ca="1">C159*'Total Distance Tables Sup #1'!C126*(1+'Other Assumptions'!G$55)*(1+'Active Mode Assumptions'!C9)</f>
        <v>122.29001288196953</v>
      </c>
      <c r="D126" s="4">
        <f ca="1">D159*'Total Distance Tables Sup #1'!D126*(1+'Other Assumptions'!H$55)*(1+'Active Mode Assumptions'!D9)</f>
        <v>130.6824151793337</v>
      </c>
      <c r="E126" s="4">
        <f ca="1">E159*'Total Distance Tables Sup #1'!E126*(1+'Other Assumptions'!I$55)*(1+'Active Mode Assumptions'!E9)</f>
        <v>135.82453696876107</v>
      </c>
      <c r="F126" s="4">
        <f ca="1">F159*'Total Distance Tables Sup #1'!F126*(1+'Other Assumptions'!J$55)*(1+'Active Mode Assumptions'!F9)</f>
        <v>139.97640593831591</v>
      </c>
      <c r="G126" s="4">
        <f ca="1">G159*'Total Distance Tables Sup #1'!G126*(1+'Other Assumptions'!K$55)*(1+'Active Mode Assumptions'!G9)</f>
        <v>144.17778290815505</v>
      </c>
      <c r="H126" s="4">
        <f ca="1">H159*'Total Distance Tables Sup #1'!H126*(1+'Other Assumptions'!L$55)*(1+'Active Mode Assumptions'!H9)</f>
        <v>147.51623392087347</v>
      </c>
      <c r="I126" s="1">
        <f ca="1">I159*'Total Distance Tables Sup #1'!I126*(1+'Other Assumptions'!M$55)*(1+'Active Mode Assumptions'!I9)</f>
        <v>154.05651172572746</v>
      </c>
      <c r="J126" s="1">
        <f ca="1">J159*'Total Distance Tables Sup #1'!J126*(1+'Other Assumptions'!N$55)*(1+'Active Mode Assumptions'!J9)</f>
        <v>160.37687904324625</v>
      </c>
      <c r="K126" s="1">
        <f ca="1">K159*'Total Distance Tables Sup #1'!K126*(1+'Other Assumptions'!O$55)*(1+'Active Mode Assumptions'!K9)</f>
        <v>166.55370417489377</v>
      </c>
    </row>
    <row r="127" spans="1:11" x14ac:dyDescent="0.2">
      <c r="A127" t="str">
        <f ca="1">OFFSET(Canterbury_Reference,7,2)</f>
        <v>Cyclist</v>
      </c>
      <c r="B127" s="4">
        <f ca="1">B160*'Total Distance Tables Sup #1'!B127*(1+'Other Assumptions'!D$55)*(1+'Active Mode Assumptions'!B18)</f>
        <v>97.023488555</v>
      </c>
      <c r="C127" s="4">
        <f ca="1">C160*'Total Distance Tables Sup #1'!C127*(1+'Other Assumptions'!G$55)*(1+'Active Mode Assumptions'!C18)</f>
        <v>107.24365164506339</v>
      </c>
      <c r="D127" s="4">
        <f ca="1">D160*'Total Distance Tables Sup #1'!D127*(1+'Other Assumptions'!H$55)*(1+'Active Mode Assumptions'!D18)</f>
        <v>130.67105211700493</v>
      </c>
      <c r="E127" s="4">
        <f ca="1">E160*'Total Distance Tables Sup #1'!E127*(1+'Other Assumptions'!I$55)*(1+'Active Mode Assumptions'!E18)</f>
        <v>148.86742408587776</v>
      </c>
      <c r="F127" s="4">
        <f ca="1">F160*'Total Distance Tables Sup #1'!F127*(1+'Other Assumptions'!J$55)*(1+'Active Mode Assumptions'!F18)</f>
        <v>170.39054490760154</v>
      </c>
      <c r="G127" s="4">
        <f ca="1">G160*'Total Distance Tables Sup #1'!G127*(1+'Other Assumptions'!K$55)*(1+'Active Mode Assumptions'!G18)</f>
        <v>196.42125123873225</v>
      </c>
      <c r="H127" s="4">
        <f ca="1">H160*'Total Distance Tables Sup #1'!H127*(1+'Other Assumptions'!L$55)*(1+'Active Mode Assumptions'!H18)</f>
        <v>224.04731226629036</v>
      </c>
      <c r="I127" s="1">
        <f ca="1">I160*'Total Distance Tables Sup #1'!I127*(1+'Other Assumptions'!M$55)*(1+'Active Mode Assumptions'!I18)</f>
        <v>235.68581750501295</v>
      </c>
      <c r="J127" s="1">
        <f ca="1">J160*'Total Distance Tables Sup #1'!J127*(1+'Other Assumptions'!N$55)*(1+'Active Mode Assumptions'!J18)</f>
        <v>247.88239516973508</v>
      </c>
      <c r="K127" s="1">
        <f ca="1">K160*'Total Distance Tables Sup #1'!K127*(1+'Other Assumptions'!O$55)*(1+'Active Mode Assumptions'!K18)</f>
        <v>260.13463521149436</v>
      </c>
    </row>
    <row r="128" spans="1:11" x14ac:dyDescent="0.2">
      <c r="A128" t="str">
        <f ca="1">OFFSET(Canterbury_Reference,14,2)</f>
        <v>Light Vehicle Driver</v>
      </c>
      <c r="B128" s="4">
        <f ca="1">B161*'Total Distance Tables Sup #1'!B128*(1+'Other Assumptions'!D$55)-(B126*'Active Mode Assumptions'!B9*'Active Mode Assumptions'!B14/(1+'Active Mode Assumptions'!B9))-(B127*'Active Mode Assumptions'!B18*'Active Mode Assumptions'!B23/(1+'Active Mode Assumptions'!B18))</f>
        <v>3777.041205</v>
      </c>
      <c r="C128" s="4">
        <f ca="1">C161*'Total Distance Tables Sup #1'!C128*(1+'Other Assumptions'!G$55)-(C126*'Active Mode Assumptions'!C9*'Active Mode Assumptions'!C14/(1+'Active Mode Assumptions'!C9))-(C127*'Active Mode Assumptions'!C18*'Active Mode Assumptions'!C23/(1+'Active Mode Assumptions'!C18))</f>
        <v>4244.7386859587114</v>
      </c>
      <c r="D128" s="4">
        <f ca="1">D161*'Total Distance Tables Sup #1'!D128*(1+'Other Assumptions'!H$55)-(D126*'Active Mode Assumptions'!D9*'Active Mode Assumptions'!D14/(1+'Active Mode Assumptions'!D9))-(D127*'Active Mode Assumptions'!D18*'Active Mode Assumptions'!D23/(1+'Active Mode Assumptions'!D18))</f>
        <v>4583.190263741586</v>
      </c>
      <c r="E128" s="4">
        <f ca="1">E161*'Total Distance Tables Sup #1'!E128*(1+'Other Assumptions'!I$55)-(E126*'Active Mode Assumptions'!E9*'Active Mode Assumptions'!E14/(1+'Active Mode Assumptions'!E9))-(E127*'Active Mode Assumptions'!E18*'Active Mode Assumptions'!E23/(1+'Active Mode Assumptions'!E18))</f>
        <v>4883.1010916321011</v>
      </c>
      <c r="F128" s="4">
        <f ca="1">F161*'Total Distance Tables Sup #1'!F128*(1+'Other Assumptions'!J$55)-(F126*'Active Mode Assumptions'!F9*'Active Mode Assumptions'!F14/(1+'Active Mode Assumptions'!F9))-(F127*'Active Mode Assumptions'!F18*'Active Mode Assumptions'!F23/(1+'Active Mode Assumptions'!F18))</f>
        <v>5143.5876798058098</v>
      </c>
      <c r="G128" s="4">
        <f ca="1">G161*'Total Distance Tables Sup #1'!G128*(1+'Other Assumptions'!K$55)-(G126*'Active Mode Assumptions'!G9*'Active Mode Assumptions'!G14/(1+'Active Mode Assumptions'!G9))-(G127*'Active Mode Assumptions'!G18*'Active Mode Assumptions'!G23/(1+'Active Mode Assumptions'!G18))</f>
        <v>5351.4383686549354</v>
      </c>
      <c r="H128" s="4">
        <f ca="1">H161*'Total Distance Tables Sup #1'!H128*(1+'Other Assumptions'!L$55)-(H126*'Active Mode Assumptions'!H9*'Active Mode Assumptions'!H14/(1+'Active Mode Assumptions'!H9))-(H127*'Active Mode Assumptions'!H18*'Active Mode Assumptions'!H23/(1+'Active Mode Assumptions'!H18))</f>
        <v>5515.8519161431459</v>
      </c>
      <c r="I128" s="1">
        <f ca="1">I161*'Total Distance Tables Sup #1'!I128*(1+'Other Assumptions'!M$55)-(I126*'Active Mode Assumptions'!I9*'Active Mode Assumptions'!I14/(1+'Active Mode Assumptions'!I9))-(I127*'Active Mode Assumptions'!I18*'Active Mode Assumptions'!I23/(1+'Active Mode Assumptions'!I18))</f>
        <v>5758.1499664339453</v>
      </c>
      <c r="J128" s="1">
        <f ca="1">J161*'Total Distance Tables Sup #1'!J128*(1+'Other Assumptions'!N$55)-(J126*'Active Mode Assumptions'!J9*'Active Mode Assumptions'!J14/(1+'Active Mode Assumptions'!J9))-(J127*'Active Mode Assumptions'!J18*'Active Mode Assumptions'!J23/(1+'Active Mode Assumptions'!J18))</f>
        <v>5989.8368474782455</v>
      </c>
      <c r="K128" s="1">
        <f ca="1">K161*'Total Distance Tables Sup #1'!K128*(1+'Other Assumptions'!O$55)-(K126*'Active Mode Assumptions'!K9*'Active Mode Assumptions'!K14/(1+'Active Mode Assumptions'!K9))-(K127*'Active Mode Assumptions'!K18*'Active Mode Assumptions'!K23/(1+'Active Mode Assumptions'!K18))</f>
        <v>6215.5031277281623</v>
      </c>
    </row>
    <row r="129" spans="1:11" x14ac:dyDescent="0.2">
      <c r="A129" t="str">
        <f ca="1">OFFSET(Canterbury_Reference,21,2)</f>
        <v>Light Vehicle Passenger</v>
      </c>
      <c r="B129" s="4">
        <f ca="1">B162*'Total Distance Tables Sup #1'!B129*(1+'Other Assumptions'!D$55)-(B126*'Active Mode Assumptions'!B9*'Active Mode Assumptions'!B15/(1+'Active Mode Assumptions'!B9))-(B127*'Active Mode Assumptions'!B18*'Active Mode Assumptions'!B24/(1+'Active Mode Assumptions'!B18))</f>
        <v>2033.7115475000001</v>
      </c>
      <c r="C129" s="4">
        <f ca="1">C162*'Total Distance Tables Sup #1'!C129*(1+'Other Assumptions'!G$55)-(C126*'Active Mode Assumptions'!C9*'Active Mode Assumptions'!C15/(1+'Active Mode Assumptions'!C9))-(C127*'Active Mode Assumptions'!C18*'Active Mode Assumptions'!C24/(1+'Active Mode Assumptions'!C18))</f>
        <v>2188.6996783577706</v>
      </c>
      <c r="D129" s="4">
        <f ca="1">D162*'Total Distance Tables Sup #1'!D129*(1+'Other Assumptions'!H$55)-(D126*'Active Mode Assumptions'!D9*'Active Mode Assumptions'!D15/(1+'Active Mode Assumptions'!D9))-(D127*'Active Mode Assumptions'!D18*'Active Mode Assumptions'!D24/(1+'Active Mode Assumptions'!D18))</f>
        <v>2337.9749156003813</v>
      </c>
      <c r="E129" s="4">
        <f ca="1">E162*'Total Distance Tables Sup #1'!E129*(1+'Other Assumptions'!I$55)-(E126*'Active Mode Assumptions'!E9*'Active Mode Assumptions'!E15/(1+'Active Mode Assumptions'!E9))-(E127*'Active Mode Assumptions'!E18*'Active Mode Assumptions'!E24/(1+'Active Mode Assumptions'!E18))</f>
        <v>2457.2103195242726</v>
      </c>
      <c r="F129" s="4">
        <f ca="1">F162*'Total Distance Tables Sup #1'!F129*(1+'Other Assumptions'!J$55)-(F126*'Active Mode Assumptions'!F9*'Active Mode Assumptions'!F15/(1+'Active Mode Assumptions'!F9))-(F127*'Active Mode Assumptions'!F18*'Active Mode Assumptions'!F24/(1+'Active Mode Assumptions'!F18))</f>
        <v>2556.8622109619291</v>
      </c>
      <c r="G129" s="4">
        <f ca="1">G162*'Total Distance Tables Sup #1'!G129*(1+'Other Assumptions'!K$55)-(G126*'Active Mode Assumptions'!G9*'Active Mode Assumptions'!G15/(1+'Active Mode Assumptions'!G9))-(G127*'Active Mode Assumptions'!G18*'Active Mode Assumptions'!G24/(1+'Active Mode Assumptions'!G18))</f>
        <v>2642.8192743949339</v>
      </c>
      <c r="H129" s="4">
        <f ca="1">H162*'Total Distance Tables Sup #1'!H129*(1+'Other Assumptions'!L$55)-(H126*'Active Mode Assumptions'!H9*'Active Mode Assumptions'!H15/(1+'Active Mode Assumptions'!H9))-(H127*'Active Mode Assumptions'!H18*'Active Mode Assumptions'!H24/(1+'Active Mode Assumptions'!H18))</f>
        <v>2710.3606271665685</v>
      </c>
      <c r="I129" s="1">
        <f ca="1">I162*'Total Distance Tables Sup #1'!I129*(1+'Other Assumptions'!M$55)-(I126*'Active Mode Assumptions'!I9*'Active Mode Assumptions'!I15/(1+'Active Mode Assumptions'!I9))-(I127*'Active Mode Assumptions'!I18*'Active Mode Assumptions'!I24/(1+'Active Mode Assumptions'!I18))</f>
        <v>2831.8550246124632</v>
      </c>
      <c r="J129" s="1">
        <f ca="1">J162*'Total Distance Tables Sup #1'!J129*(1+'Other Assumptions'!N$55)-(J126*'Active Mode Assumptions'!J9*'Active Mode Assumptions'!J15/(1+'Active Mode Assumptions'!J9))-(J127*'Active Mode Assumptions'!J18*'Active Mode Assumptions'!J24/(1+'Active Mode Assumptions'!J18))</f>
        <v>2948.9587403953001</v>
      </c>
      <c r="K129" s="1">
        <f ca="1">K162*'Total Distance Tables Sup #1'!K129*(1+'Other Assumptions'!O$55)-(K126*'Active Mode Assumptions'!K9*'Active Mode Assumptions'!K15/(1+'Active Mode Assumptions'!K9))-(K127*'Active Mode Assumptions'!K18*'Active Mode Assumptions'!K24/(1+'Active Mode Assumptions'!K18))</f>
        <v>3063.3158008003256</v>
      </c>
    </row>
    <row r="130" spans="1:11" x14ac:dyDescent="0.2">
      <c r="A130" t="str">
        <f ca="1">OFFSET(Canterbury_Reference,28,2)</f>
        <v>Taxi/Vehicle Share</v>
      </c>
      <c r="B130" s="4">
        <f ca="1">B163*'Total Distance Tables Sup #1'!B130*(1+'Other Assumptions'!D$55)</f>
        <v>16.530142167000001</v>
      </c>
      <c r="C130" s="4">
        <f ca="1">C163*'Total Distance Tables Sup #1'!C130*(1+'Other Assumptions'!G$55)</f>
        <v>19.719809964496918</v>
      </c>
      <c r="D130" s="4">
        <f ca="1">D163*'Total Distance Tables Sup #1'!D130*(1+'Other Assumptions'!H$55)</f>
        <v>23.239329208424483</v>
      </c>
      <c r="E130" s="4">
        <f ca="1">E163*'Total Distance Tables Sup #1'!E130*(1+'Other Assumptions'!I$55)</f>
        <v>26.405201875228002</v>
      </c>
      <c r="F130" s="4">
        <f ca="1">F163*'Total Distance Tables Sup #1'!F130*(1+'Other Assumptions'!J$55)</f>
        <v>29.244409897552007</v>
      </c>
      <c r="G130" s="4">
        <f ca="1">G163*'Total Distance Tables Sup #1'!G130*(1+'Other Assumptions'!K$55)</f>
        <v>31.583927499750029</v>
      </c>
      <c r="H130" s="4">
        <f ca="1">H163*'Total Distance Tables Sup #1'!H130*(1+'Other Assumptions'!L$55)</f>
        <v>33.621755409919345</v>
      </c>
      <c r="I130" s="1">
        <f ca="1">I163*'Total Distance Tables Sup #1'!I130*(1+'Other Assumptions'!M$55)</f>
        <v>35.165369096278368</v>
      </c>
      <c r="J130" s="1">
        <f ca="1">J163*'Total Distance Tables Sup #1'!J130*(1+'Other Assumptions'!N$55)</f>
        <v>36.682521971680281</v>
      </c>
      <c r="K130" s="1">
        <f ca="1">K163*'Total Distance Tables Sup #1'!K130*(1+'Other Assumptions'!O$55)</f>
        <v>38.173181531547833</v>
      </c>
    </row>
    <row r="131" spans="1:11" x14ac:dyDescent="0.2">
      <c r="A131" t="str">
        <f ca="1">OFFSET(Canterbury_Reference,35,2)</f>
        <v>Motorcyclist</v>
      </c>
      <c r="B131" s="4">
        <f ca="1">B164*'Total Distance Tables Sup #1'!B131*(1+'Other Assumptions'!D$55)</f>
        <v>12.048552727000001</v>
      </c>
      <c r="C131" s="4">
        <f ca="1">C164*'Total Distance Tables Sup #1'!C131*(1+'Other Assumptions'!G$55)</f>
        <v>13.44869786658874</v>
      </c>
      <c r="D131" s="4">
        <f ca="1">D164*'Total Distance Tables Sup #1'!D131*(1+'Other Assumptions'!H$55)</f>
        <v>14.592612527988063</v>
      </c>
      <c r="E131" s="4">
        <f ca="1">E164*'Total Distance Tables Sup #1'!E131*(1+'Other Assumptions'!I$55)</f>
        <v>15.20950048550076</v>
      </c>
      <c r="F131" s="4">
        <f ca="1">F164*'Total Distance Tables Sup #1'!F131*(1+'Other Assumptions'!J$55)</f>
        <v>15.501194089776341</v>
      </c>
      <c r="G131" s="4">
        <f ca="1">G164*'Total Distance Tables Sup #1'!G131*(1+'Other Assumptions'!K$55)</f>
        <v>15.440068765431787</v>
      </c>
      <c r="H131" s="4">
        <f ca="1">H164*'Total Distance Tables Sup #1'!H131*(1+'Other Assumptions'!L$55)</f>
        <v>15.205259711632998</v>
      </c>
      <c r="I131" s="1">
        <f ca="1">I164*'Total Distance Tables Sup #1'!I131*(1+'Other Assumptions'!M$55)</f>
        <v>15.914273747683474</v>
      </c>
      <c r="J131" s="1">
        <f ca="1">J164*'Total Distance Tables Sup #1'!J131*(1+'Other Assumptions'!N$55)</f>
        <v>16.599917255954534</v>
      </c>
      <c r="K131" s="1">
        <f ca="1">K164*'Total Distance Tables Sup #1'!K131*(1+'Other Assumptions'!O$55)</f>
        <v>17.27059905716489</v>
      </c>
    </row>
    <row r="132" spans="1:11" x14ac:dyDescent="0.2">
      <c r="A132" t="str">
        <f ca="1">OFFSET(Canterbury_Reference,42,2)</f>
        <v>Local Train</v>
      </c>
      <c r="B132" s="4">
        <f ca="1">B165*'Total Distance Tables Sup #1'!B132*(1+'Other Assumptions'!D$55)</f>
        <v>0</v>
      </c>
      <c r="C132" s="4">
        <f ca="1">C165*'Total Distance Tables Sup #1'!C132*(1+'Other Assumptions'!G$55)</f>
        <v>0</v>
      </c>
      <c r="D132" s="4">
        <f ca="1">D165*'Total Distance Tables Sup #1'!D132*(1+'Other Assumptions'!H$55)</f>
        <v>0</v>
      </c>
      <c r="E132" s="4">
        <f ca="1">E165*'Total Distance Tables Sup #1'!E132*(1+'Other Assumptions'!I$55)</f>
        <v>0</v>
      </c>
      <c r="F132" s="4">
        <f ca="1">F165*'Total Distance Tables Sup #1'!F132*(1+'Other Assumptions'!J$55)</f>
        <v>0</v>
      </c>
      <c r="G132" s="4">
        <f ca="1">G165*'Total Distance Tables Sup #1'!G132*(1+'Other Assumptions'!K$55)</f>
        <v>0</v>
      </c>
      <c r="H132" s="4">
        <f ca="1">H165*'Total Distance Tables Sup #1'!H132*(1+'Other Assumptions'!L$55)</f>
        <v>0</v>
      </c>
      <c r="I132" s="1">
        <f ca="1">I165*'Total Distance Tables Sup #1'!I132*(1+'Other Assumptions'!M$55)</f>
        <v>0</v>
      </c>
      <c r="J132" s="1">
        <f ca="1">J165*'Total Distance Tables Sup #1'!J132*(1+'Other Assumptions'!N$55)</f>
        <v>0</v>
      </c>
      <c r="K132" s="1">
        <f ca="1">K165*'Total Distance Tables Sup #1'!K132*(1+'Other Assumptions'!O$55)</f>
        <v>0</v>
      </c>
    </row>
    <row r="133" spans="1:11" x14ac:dyDescent="0.2">
      <c r="A133" t="str">
        <f ca="1">OFFSET(Canterbury_Reference,49,2)</f>
        <v>Local Bus</v>
      </c>
      <c r="B133" s="4">
        <f ca="1">'Total Distance Tables Sup #1'!B133*(1+'Other Assumptions'!D$55)</f>
        <v>174.53993166999999</v>
      </c>
      <c r="C133" s="4">
        <f ca="1">'Total Distance Tables Sup #1'!C133*(1+'Other Assumptions'!G$55)</f>
        <v>161.08250000999999</v>
      </c>
      <c r="D133" s="4">
        <f ca="1">'Total Distance Tables Sup #1'!D133*(1+'Other Assumptions'!H$55)</f>
        <v>161.11330019759998</v>
      </c>
      <c r="E133" s="4">
        <f ca="1">'Total Distance Tables Sup #1'!E133*(1+'Other Assumptions'!I$55)</f>
        <v>155.6887270016</v>
      </c>
      <c r="F133" s="4">
        <f ca="1">'Total Distance Tables Sup #1'!F133*(1+'Other Assumptions'!J$55)</f>
        <v>148.88651087120002</v>
      </c>
      <c r="G133" s="4">
        <f ca="1">'Total Distance Tables Sup #1'!G133*(1+'Other Assumptions'!K$55)</f>
        <v>143.70499158120001</v>
      </c>
      <c r="H133" s="4">
        <f ca="1">'Total Distance Tables Sup #1'!H133*(1+'Other Assumptions'!L$55)</f>
        <v>139.19373204000001</v>
      </c>
      <c r="I133" s="1">
        <f ca="1">'Total Distance Tables Sup #1'!I133*(1+'Other Assumptions'!M$55)</f>
        <v>141.72452716800001</v>
      </c>
      <c r="J133" s="1">
        <f ca="1">'Total Distance Tables Sup #1'!J133*(1+'Other Assumptions'!N$55)</f>
        <v>144.25532229600003</v>
      </c>
      <c r="K133" s="1">
        <f ca="1">'Total Distance Tables Sup #1'!K133*(1+'Other Assumptions'!O$55)</f>
        <v>146.786117424</v>
      </c>
    </row>
    <row r="134" spans="1:11" x14ac:dyDescent="0.2">
      <c r="A134" t="str">
        <f ca="1">OFFSET(Wellington_Reference,56,2)</f>
        <v>Local Ferry</v>
      </c>
      <c r="B134" s="4">
        <f>B167*'Total Distance Tables Sup #1'!B134*(1+'Other Assumptions'!D$55)</f>
        <v>0</v>
      </c>
      <c r="C134" s="4">
        <f ca="1">C167*'Total Distance Tables Sup #1'!C134*(1+'Other Assumptions'!G$55)</f>
        <v>0</v>
      </c>
      <c r="D134" s="4">
        <f ca="1">D167*'Total Distance Tables Sup #1'!D134*(1+'Other Assumptions'!H$55)</f>
        <v>0</v>
      </c>
      <c r="E134" s="4">
        <f ca="1">E167*'Total Distance Tables Sup #1'!E134*(1+'Other Assumptions'!I$55)</f>
        <v>0</v>
      </c>
      <c r="F134" s="4">
        <f ca="1">F167*'Total Distance Tables Sup #1'!F134*(1+'Other Assumptions'!J$55)</f>
        <v>0</v>
      </c>
      <c r="G134" s="4">
        <f ca="1">G167*'Total Distance Tables Sup #1'!G134*(1+'Other Assumptions'!K$55)</f>
        <v>0</v>
      </c>
      <c r="H134" s="4">
        <f ca="1">H167*'Total Distance Tables Sup #1'!H134*(1+'Other Assumptions'!L$55)</f>
        <v>0</v>
      </c>
      <c r="I134" s="1">
        <f ca="1">I167*'Total Distance Tables Sup #1'!I134*(1+'Other Assumptions'!M$55)</f>
        <v>0</v>
      </c>
      <c r="J134" s="1">
        <f ca="1">J167*'Total Distance Tables Sup #1'!J134*(1+'Other Assumptions'!N$55)</f>
        <v>0</v>
      </c>
      <c r="K134" s="1">
        <f ca="1">K167*'Total Distance Tables Sup #1'!K134*(1+'Other Assumptions'!O$55)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Distance Tables Sup #1'!B135*(1+'Other Assumptions'!D$55)</f>
        <v>0</v>
      </c>
      <c r="C135" s="4">
        <f ca="1">C168*'Total Distance Tables Sup #1'!C135*(1+'Other Assumptions'!G$55)</f>
        <v>0</v>
      </c>
      <c r="D135" s="4">
        <f ca="1">D168*'Total Distance Tables Sup #1'!D135*(1+'Other Assumptions'!H$55)</f>
        <v>0</v>
      </c>
      <c r="E135" s="4">
        <f ca="1">E168*'Total Distance Tables Sup #1'!E135*(1+'Other Assumptions'!I$55)</f>
        <v>0</v>
      </c>
      <c r="F135" s="4">
        <f ca="1">F168*'Total Distance Tables Sup #1'!F135*(1+'Other Assumptions'!J$55)</f>
        <v>0</v>
      </c>
      <c r="G135" s="4">
        <f ca="1">G168*'Total Distance Tables Sup #1'!G135*(1+'Other Assumptions'!K$55)</f>
        <v>0</v>
      </c>
      <c r="H135" s="4">
        <f ca="1">H168*'Total Distance Tables Sup #1'!H135*(1+'Other Assumptions'!L$55)</f>
        <v>0</v>
      </c>
      <c r="I135" s="1">
        <f ca="1">I168*'Total Distance Tables Sup #1'!I135*(1+'Other Assumptions'!M$55)</f>
        <v>0</v>
      </c>
      <c r="J135" s="1">
        <f ca="1">J168*'Total Distance Tables Sup #1'!J135*(1+'Other Assumptions'!N$55)</f>
        <v>0</v>
      </c>
      <c r="K135" s="1">
        <f ca="1">K168*'Total Distance Tables Sup #1'!K135*(1+'Other Assumptions'!O$55)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B159*'Total Distance Tables Sup #1'!B137*(1+'Other Assumptions'!D$56)*(1+'Active Mode Assumptions'!B9)</f>
        <v>45.829100335</v>
      </c>
      <c r="C137" s="4">
        <f ca="1">C159*'Total Distance Tables Sup #1'!C137*(1+'Other Assumptions'!G$56)*(1+'Active Mode Assumptions'!C9)</f>
        <v>48.284944251656427</v>
      </c>
      <c r="D137" s="4">
        <f ca="1">D159*'Total Distance Tables Sup #1'!D137*(1+'Other Assumptions'!H$56)*(1+'Active Mode Assumptions'!D9)</f>
        <v>50.600468109388153</v>
      </c>
      <c r="E137" s="4">
        <f ca="1">E159*'Total Distance Tables Sup #1'!E137*(1+'Other Assumptions'!I$56)*(1+'Active Mode Assumptions'!E9)</f>
        <v>51.739841612148908</v>
      </c>
      <c r="F137" s="4">
        <f ca="1">F159*'Total Distance Tables Sup #1'!F137*(1+'Other Assumptions'!J$56)*(1+'Active Mode Assumptions'!F9)</f>
        <v>52.480637653956009</v>
      </c>
      <c r="G137" s="4">
        <f ca="1">G159*'Total Distance Tables Sup #1'!G137*(1+'Other Assumptions'!K$56)*(1+'Active Mode Assumptions'!G9)</f>
        <v>53.236004907484471</v>
      </c>
      <c r="H137" s="4">
        <f ca="1">H159*'Total Distance Tables Sup #1'!H137*(1+'Other Assumptions'!L$56)*(1+'Active Mode Assumptions'!H9)</f>
        <v>53.654783555992701</v>
      </c>
      <c r="I137" s="1">
        <f ca="1">I159*'Total Distance Tables Sup #1'!I137*(1+'Other Assumptions'!M$56)*(1+'Active Mode Assumptions'!I9)</f>
        <v>55.196330736158657</v>
      </c>
      <c r="J137" s="1">
        <f ca="1">J159*'Total Distance Tables Sup #1'!J137*(1+'Other Assumptions'!N$56)*(1+'Active Mode Assumptions'!J9)</f>
        <v>56.602214582518279</v>
      </c>
      <c r="K137" s="1">
        <f ca="1">K159*'Total Distance Tables Sup #1'!K137*(1+'Other Assumptions'!O$56)*(1+'Active Mode Assumptions'!K9)</f>
        <v>57.903855094133618</v>
      </c>
    </row>
    <row r="138" spans="1:11" x14ac:dyDescent="0.2">
      <c r="A138" t="str">
        <f ca="1">OFFSET(Otago_Reference,7,2)</f>
        <v>Cyclist</v>
      </c>
      <c r="B138" s="4">
        <f ca="1">B160*'Total Distance Tables Sup #1'!B138*(1+'Other Assumptions'!D$56)*(1+'Active Mode Assumptions'!B18)</f>
        <v>16.325352069000001</v>
      </c>
      <c r="C138" s="4">
        <f ca="1">C160*'Total Distance Tables Sup #1'!C138*(1+'Other Assumptions'!G$56)*(1+'Active Mode Assumptions'!C18)</f>
        <v>17.626030225360903</v>
      </c>
      <c r="D138" s="4">
        <f ca="1">D160*'Total Distance Tables Sup #1'!D138*(1+'Other Assumptions'!H$56)*(1+'Active Mode Assumptions'!D18)</f>
        <v>21.06099785600933</v>
      </c>
      <c r="E138" s="4">
        <f ca="1">E160*'Total Distance Tables Sup #1'!E138*(1+'Other Assumptions'!I$56)*(1+'Active Mode Assumptions'!E18)</f>
        <v>23.605255690783007</v>
      </c>
      <c r="F138" s="4">
        <f ca="1">F160*'Total Distance Tables Sup #1'!F138*(1+'Other Assumptions'!J$56)*(1+'Active Mode Assumptions'!F18)</f>
        <v>26.592056837411199</v>
      </c>
      <c r="G138" s="4">
        <f ca="1">G160*'Total Distance Tables Sup #1'!G138*(1+'Other Assumptions'!K$56)*(1+'Active Mode Assumptions'!G18)</f>
        <v>30.189627918356724</v>
      </c>
      <c r="H138" s="4">
        <f ca="1">H160*'Total Distance Tables Sup #1'!H138*(1+'Other Assumptions'!L$56)*(1+'Active Mode Assumptions'!H18)</f>
        <v>33.921148093491304</v>
      </c>
      <c r="I138" s="1">
        <f ca="1">I160*'Total Distance Tables Sup #1'!I138*(1+'Other Assumptions'!M$56)*(1+'Active Mode Assumptions'!I18)</f>
        <v>35.150035777803268</v>
      </c>
      <c r="J138" s="1">
        <f ca="1">J160*'Total Distance Tables Sup #1'!J138*(1+'Other Assumptions'!N$56)*(1+'Active Mode Assumptions'!J18)</f>
        <v>36.41661067690373</v>
      </c>
      <c r="K138" s="1">
        <f ca="1">K160*'Total Distance Tables Sup #1'!K138*(1+'Other Assumptions'!O$56)*(1+'Active Mode Assumptions'!K18)</f>
        <v>37.645540434023175</v>
      </c>
    </row>
    <row r="139" spans="1:11" x14ac:dyDescent="0.2">
      <c r="A139" t="str">
        <f ca="1">OFFSET(Otago_Reference,14,2)</f>
        <v>Light Vehicle Driver</v>
      </c>
      <c r="B139" s="4">
        <f ca="1">B161*'Total Distance Tables Sup #1'!B139*(1+'Other Assumptions'!D$56)-(B137*'Active Mode Assumptions'!B9*'Active Mode Assumptions'!B14/(1+'Active Mode Assumptions'!B9))-(B138*'Active Mode Assumptions'!B18*'Active Mode Assumptions'!B23/(1+'Active Mode Assumptions'!B18))</f>
        <v>1192.1699989000001</v>
      </c>
      <c r="C139" s="4">
        <f ca="1">C161*'Total Distance Tables Sup #1'!C139*(1+'Other Assumptions'!G$56)-(C137*'Active Mode Assumptions'!C9*'Active Mode Assumptions'!C14/(1+'Active Mode Assumptions'!C9))-(C138*'Active Mode Assumptions'!C18*'Active Mode Assumptions'!C23/(1+'Active Mode Assumptions'!C18))</f>
        <v>1308.6836377012635</v>
      </c>
      <c r="D139" s="4">
        <f ca="1">D161*'Total Distance Tables Sup #1'!D139*(1+'Other Assumptions'!H$56)-(D137*'Active Mode Assumptions'!D9*'Active Mode Assumptions'!D14/(1+'Active Mode Assumptions'!D9))-(D138*'Active Mode Assumptions'!D18*'Active Mode Assumptions'!D23/(1+'Active Mode Assumptions'!D18))</f>
        <v>1386.0617568353998</v>
      </c>
      <c r="E139" s="4">
        <f ca="1">E161*'Total Distance Tables Sup #1'!E139*(1+'Other Assumptions'!I$56)-(E137*'Active Mode Assumptions'!E9*'Active Mode Assumptions'!E14/(1+'Active Mode Assumptions'!E9))-(E138*'Active Mode Assumptions'!E18*'Active Mode Assumptions'!E23/(1+'Active Mode Assumptions'!E18))</f>
        <v>1453.2169917677518</v>
      </c>
      <c r="F139" s="4">
        <f ca="1">F161*'Total Distance Tables Sup #1'!F139*(1+'Other Assumptions'!J$56)-(F137*'Active Mode Assumptions'!F9*'Active Mode Assumptions'!F14/(1+'Active Mode Assumptions'!F9))-(F138*'Active Mode Assumptions'!F18*'Active Mode Assumptions'!F23/(1+'Active Mode Assumptions'!F18))</f>
        <v>1507.0020634909456</v>
      </c>
      <c r="G139" s="4">
        <f ca="1">G161*'Total Distance Tables Sup #1'!G139*(1+'Other Assumptions'!K$56)-(G137*'Active Mode Assumptions'!G9*'Active Mode Assumptions'!G14/(1+'Active Mode Assumptions'!G9))-(G138*'Active Mode Assumptions'!G18*'Active Mode Assumptions'!G23/(1+'Active Mode Assumptions'!G18))</f>
        <v>1544.582713707872</v>
      </c>
      <c r="H139" s="4">
        <f ca="1">H161*'Total Distance Tables Sup #1'!H139*(1+'Other Assumptions'!L$56)-(H137*'Active Mode Assumptions'!H9*'Active Mode Assumptions'!H14/(1+'Active Mode Assumptions'!H9))-(H138*'Active Mode Assumptions'!H18*'Active Mode Assumptions'!H23/(1+'Active Mode Assumptions'!H18))</f>
        <v>1568.7583802348588</v>
      </c>
      <c r="I139" s="1">
        <f ca="1">I161*'Total Distance Tables Sup #1'!I139*(1+'Other Assumptions'!M$56)-(I137*'Active Mode Assumptions'!I9*'Active Mode Assumptions'!I14/(1+'Active Mode Assumptions'!I9))-(I138*'Active Mode Assumptions'!I18*'Active Mode Assumptions'!I23/(1+'Active Mode Assumptions'!I18))</f>
        <v>1613.2184699974669</v>
      </c>
      <c r="J139" s="1">
        <f ca="1">J161*'Total Distance Tables Sup #1'!J139*(1+'Other Assumptions'!N$56)-(J137*'Active Mode Assumptions'!J9*'Active Mode Assumptions'!J14/(1+'Active Mode Assumptions'!J9))-(J138*'Active Mode Assumptions'!J18*'Active Mode Assumptions'!J23/(1+'Active Mode Assumptions'!J18))</f>
        <v>1653.0816782992813</v>
      </c>
      <c r="K139" s="1">
        <f ca="1">K161*'Total Distance Tables Sup #1'!K139*(1+'Other Assumptions'!O$56)-(K137*'Active Mode Assumptions'!K9*'Active Mode Assumptions'!K14/(1+'Active Mode Assumptions'!K9))-(K138*'Active Mode Assumptions'!K18*'Active Mode Assumptions'!K23/(1+'Active Mode Assumptions'!K18))</f>
        <v>1689.759804606151</v>
      </c>
    </row>
    <row r="140" spans="1:11" x14ac:dyDescent="0.2">
      <c r="A140" t="str">
        <f ca="1">OFFSET(Otago_Reference,21,2)</f>
        <v>Light Vehicle Passenger</v>
      </c>
      <c r="B140" s="4">
        <f ca="1">B162*'Total Distance Tables Sup #1'!B140*(1+'Other Assumptions'!D$56)-(B137*'Active Mode Assumptions'!B9*'Active Mode Assumptions'!B15/(1+'Active Mode Assumptions'!B9))-(B138*'Active Mode Assumptions'!B18*'Active Mode Assumptions'!B24/(1+'Active Mode Assumptions'!B18))</f>
        <v>849.31688999999994</v>
      </c>
      <c r="C140" s="4">
        <f ca="1">C162*'Total Distance Tables Sup #1'!C140*(1+'Other Assumptions'!G$56)-(C137*'Active Mode Assumptions'!C9*'Active Mode Assumptions'!C15/(1+'Active Mode Assumptions'!C9))-(C138*'Active Mode Assumptions'!C18*'Active Mode Assumptions'!C24/(1+'Active Mode Assumptions'!C18))</f>
        <v>892.81982991377868</v>
      </c>
      <c r="D140" s="4">
        <f ca="1">D162*'Total Distance Tables Sup #1'!D140*(1+'Other Assumptions'!H$56)-(D137*'Active Mode Assumptions'!D9*'Active Mode Assumptions'!D15/(1+'Active Mode Assumptions'!D9))-(D138*'Active Mode Assumptions'!D18*'Active Mode Assumptions'!D24/(1+'Active Mode Assumptions'!D18))</f>
        <v>935.98140341555495</v>
      </c>
      <c r="E140" s="4">
        <f ca="1">E162*'Total Distance Tables Sup #1'!E140*(1+'Other Assumptions'!I$56)-(E137*'Active Mode Assumptions'!E9*'Active Mode Assumptions'!E15/(1+'Active Mode Assumptions'!E9))-(E138*'Active Mode Assumptions'!E18*'Active Mode Assumptions'!E24/(1+'Active Mode Assumptions'!E18))</f>
        <v>968.51777428168339</v>
      </c>
      <c r="F140" s="4">
        <f ca="1">F162*'Total Distance Tables Sup #1'!F140*(1+'Other Assumptions'!J$56)-(F137*'Active Mode Assumptions'!F9*'Active Mode Assumptions'!F15/(1+'Active Mode Assumptions'!F9))-(F138*'Active Mode Assumptions'!F18*'Active Mode Assumptions'!F24/(1+'Active Mode Assumptions'!F18))</f>
        <v>992.69330391264634</v>
      </c>
      <c r="G140" s="4">
        <f ca="1">G162*'Total Distance Tables Sup #1'!G140*(1+'Other Assumptions'!K$56)-(G137*'Active Mode Assumptions'!G9*'Active Mode Assumptions'!G15/(1+'Active Mode Assumptions'!G9))-(G138*'Active Mode Assumptions'!G18*'Active Mode Assumptions'!G24/(1+'Active Mode Assumptions'!G18))</f>
        <v>1011.3930715019007</v>
      </c>
      <c r="H140" s="4">
        <f ca="1">H162*'Total Distance Tables Sup #1'!H140*(1+'Other Assumptions'!L$56)-(H137*'Active Mode Assumptions'!H9*'Active Mode Assumptions'!H15/(1+'Active Mode Assumptions'!H9))-(H138*'Active Mode Assumptions'!H18*'Active Mode Assumptions'!H24/(1+'Active Mode Assumptions'!H18))</f>
        <v>1022.7098240868409</v>
      </c>
      <c r="I140" s="1">
        <f ca="1">I162*'Total Distance Tables Sup #1'!I140*(1+'Other Assumptions'!M$56)-(I137*'Active Mode Assumptions'!I9*'Active Mode Assumptions'!I15/(1+'Active Mode Assumptions'!I9))-(I138*'Active Mode Assumptions'!I18*'Active Mode Assumptions'!I24/(1+'Active Mode Assumptions'!I18))</f>
        <v>1052.6160724936776</v>
      </c>
      <c r="J140" s="1">
        <f ca="1">J162*'Total Distance Tables Sup #1'!J140*(1+'Other Assumptions'!N$56)-(J137*'Active Mode Assumptions'!J9*'Active Mode Assumptions'!J15/(1+'Active Mode Assumptions'!J9))-(J138*'Active Mode Assumptions'!J18*'Active Mode Assumptions'!J24/(1+'Active Mode Assumptions'!J18))</f>
        <v>1079.8093169993597</v>
      </c>
      <c r="K140" s="1">
        <f ca="1">K162*'Total Distance Tables Sup #1'!K140*(1+'Other Assumptions'!O$56)-(K137*'Active Mode Assumptions'!K9*'Active Mode Assumptions'!K15/(1+'Active Mode Assumptions'!K9))-(K138*'Active Mode Assumptions'!K18*'Active Mode Assumptions'!K24/(1+'Active Mode Assumptions'!K18))</f>
        <v>1104.9692706777541</v>
      </c>
    </row>
    <row r="141" spans="1:11" x14ac:dyDescent="0.2">
      <c r="A141" t="str">
        <f ca="1">OFFSET(Otago_Reference,28,2)</f>
        <v>Taxi/Vehicle Share</v>
      </c>
      <c r="B141" s="4">
        <f ca="1">B163*'Total Distance Tables Sup #1'!B141*(1+'Other Assumptions'!D$56)</f>
        <v>7.2892681777000004</v>
      </c>
      <c r="C141" s="4">
        <f ca="1">C163*'Total Distance Tables Sup #1'!C141*(1+'Other Assumptions'!G$56)</f>
        <v>8.4939033019915211</v>
      </c>
      <c r="D141" s="4">
        <f ca="1">D163*'Total Distance Tables Sup #1'!D141*(1+'Other Assumptions'!H$56)</f>
        <v>9.8162319993097498</v>
      </c>
      <c r="E141" s="4">
        <f ca="1">E163*'Total Distance Tables Sup #1'!E141*(1+'Other Assumptions'!I$56)</f>
        <v>10.972869075235989</v>
      </c>
      <c r="F141" s="4">
        <f ca="1">F163*'Total Distance Tables Sup #1'!F141*(1+'Other Assumptions'!J$56)</f>
        <v>11.961095857319444</v>
      </c>
      <c r="G141" s="4">
        <f ca="1">G163*'Total Distance Tables Sup #1'!G141*(1+'Other Assumptions'!K$56)</f>
        <v>12.722049795570598</v>
      </c>
      <c r="H141" s="4">
        <f ca="1">H163*'Total Distance Tables Sup #1'!H141*(1+'Other Assumptions'!L$56)</f>
        <v>13.340523089945261</v>
      </c>
      <c r="I141" s="1">
        <f ca="1">I163*'Total Distance Tables Sup #1'!I141*(1+'Other Assumptions'!M$56)</f>
        <v>13.744507162122167</v>
      </c>
      <c r="J141" s="1">
        <f ca="1">J163*'Total Distance Tables Sup #1'!J141*(1+'Other Assumptions'!N$56)</f>
        <v>14.123251585180277</v>
      </c>
      <c r="K141" s="1">
        <f ca="1">K163*'Total Distance Tables Sup #1'!K141*(1+'Other Assumptions'!O$56)</f>
        <v>14.477560355176424</v>
      </c>
    </row>
    <row r="142" spans="1:11" x14ac:dyDescent="0.2">
      <c r="A142" t="str">
        <f ca="1">OFFSET(Otago_Reference,35,2)</f>
        <v>Motorcyclist</v>
      </c>
      <c r="B142" s="4">
        <f ca="1">B164*'Total Distance Tables Sup #1'!B142*(1+'Other Assumptions'!D$56)</f>
        <v>18.503357486999999</v>
      </c>
      <c r="C142" s="4">
        <f ca="1">C164*'Total Distance Tables Sup #1'!C142*(1+'Other Assumptions'!G$56)</f>
        <v>20.174052246234574</v>
      </c>
      <c r="D142" s="4">
        <f ca="1">D164*'Total Distance Tables Sup #1'!D142*(1+'Other Assumptions'!H$56)</f>
        <v>21.466566886555146</v>
      </c>
      <c r="E142" s="4">
        <f ca="1">E164*'Total Distance Tables Sup #1'!E142*(1+'Other Assumptions'!I$56)</f>
        <v>22.01171968117788</v>
      </c>
      <c r="F142" s="4">
        <f ca="1">F164*'Total Distance Tables Sup #1'!F142*(1+'Other Assumptions'!J$56)</f>
        <v>22.080127640825193</v>
      </c>
      <c r="G142" s="4">
        <f ca="1">G164*'Total Distance Tables Sup #1'!G142*(1+'Other Assumptions'!K$56)</f>
        <v>21.659503865311891</v>
      </c>
      <c r="H142" s="4">
        <f ca="1">H164*'Total Distance Tables Sup #1'!H142*(1+'Other Assumptions'!L$56)</f>
        <v>21.011382747303429</v>
      </c>
      <c r="I142" s="1">
        <f ca="1">I164*'Total Distance Tables Sup #1'!I142*(1+'Other Assumptions'!M$56)</f>
        <v>21.662527806696428</v>
      </c>
      <c r="J142" s="1">
        <f ca="1">J164*'Total Distance Tables Sup #1'!J142*(1+'Other Assumptions'!N$56)</f>
        <v>22.258185093117483</v>
      </c>
      <c r="K142" s="1">
        <f ca="1">K164*'Total Distance Tables Sup #1'!K142*(1+'Other Assumptions'!O$56)</f>
        <v>22.811442319994288</v>
      </c>
    </row>
    <row r="143" spans="1:11" x14ac:dyDescent="0.2">
      <c r="A143" t="str">
        <f ca="1">OFFSET(Canterbury_Reference,42,2)</f>
        <v>Local Train</v>
      </c>
      <c r="B143" s="4">
        <f ca="1">B165*'Total Distance Tables Sup #1'!B143*(1+'Other Assumptions'!D$56)</f>
        <v>0</v>
      </c>
      <c r="C143" s="4">
        <f ca="1">C165*'Total Distance Tables Sup #1'!C143*(1+'Other Assumptions'!G$56)</f>
        <v>0</v>
      </c>
      <c r="D143" s="4">
        <f ca="1">D165*'Total Distance Tables Sup #1'!D143*(1+'Other Assumptions'!H$56)</f>
        <v>0</v>
      </c>
      <c r="E143" s="4">
        <f ca="1">E165*'Total Distance Tables Sup #1'!E143*(1+'Other Assumptions'!I$56)</f>
        <v>0</v>
      </c>
      <c r="F143" s="4">
        <f ca="1">F165*'Total Distance Tables Sup #1'!F143*(1+'Other Assumptions'!J$56)</f>
        <v>0</v>
      </c>
      <c r="G143" s="4">
        <f ca="1">G165*'Total Distance Tables Sup #1'!G143*(1+'Other Assumptions'!K$56)</f>
        <v>0</v>
      </c>
      <c r="H143" s="4">
        <f ca="1">H165*'Total Distance Tables Sup #1'!H143*(1+'Other Assumptions'!L$56)</f>
        <v>0</v>
      </c>
      <c r="I143" s="1">
        <f ca="1">I165*'Total Distance Tables Sup #1'!I143*(1+'Other Assumptions'!M$56)</f>
        <v>0</v>
      </c>
      <c r="J143" s="1">
        <f ca="1">J165*'Total Distance Tables Sup #1'!J143*(1+'Other Assumptions'!N$56)</f>
        <v>0</v>
      </c>
      <c r="K143" s="1">
        <f ca="1">K165*'Total Distance Tables Sup #1'!K143*(1+'Other Assumptions'!O$56)</f>
        <v>0</v>
      </c>
    </row>
    <row r="144" spans="1:11" x14ac:dyDescent="0.2">
      <c r="A144" t="str">
        <f ca="1">OFFSET(Otago_Reference,42,2)</f>
        <v>Local Bus</v>
      </c>
      <c r="B144" s="4">
        <f ca="1">B166*'Total Distance Tables Sup #1'!B144*(1+'Other Assumptions'!D$56)</f>
        <v>27.157477096000001</v>
      </c>
      <c r="C144" s="4">
        <f ca="1">C166*'Total Distance Tables Sup #1'!C144*(1+'Other Assumptions'!G$56)</f>
        <v>25.348588407313787</v>
      </c>
      <c r="D144" s="4">
        <f ca="1">D166*'Total Distance Tables Sup #1'!D144*(1+'Other Assumptions'!H$56)</f>
        <v>25.861866885627869</v>
      </c>
      <c r="E144" s="4">
        <f ca="1">E166*'Total Distance Tables Sup #1'!E144*(1+'Other Assumptions'!I$56)</f>
        <v>25.65344473172491</v>
      </c>
      <c r="F144" s="4">
        <f ca="1">F166*'Total Distance Tables Sup #1'!F144*(1+'Other Assumptions'!J$56)</f>
        <v>25.227836200083203</v>
      </c>
      <c r="G144" s="4">
        <f ca="1">G166*'Total Distance Tables Sup #1'!G144*(1+'Other Assumptions'!K$56)</f>
        <v>25.108020180272035</v>
      </c>
      <c r="H144" s="4">
        <f ca="1">H166*'Total Distance Tables Sup #1'!H144*(1+'Other Assumptions'!L$56)</f>
        <v>24.967151380432735</v>
      </c>
      <c r="I144" s="1">
        <f ca="1">I166*'Total Distance Tables Sup #1'!I144*(1+'Other Assumptions'!M$56)</f>
        <v>25.76343021223073</v>
      </c>
      <c r="J144" s="1">
        <f ca="1">J166*'Total Distance Tables Sup #1'!J144*(1+'Other Assumptions'!N$56)</f>
        <v>26.510349239019163</v>
      </c>
      <c r="K144" s="1">
        <f ca="1">K166*'Total Distance Tables Sup #1'!K144*(1+'Other Assumptions'!O$56)</f>
        <v>27.21198239644724</v>
      </c>
    </row>
    <row r="145" spans="1:11" x14ac:dyDescent="0.2">
      <c r="A145" t="str">
        <f ca="1">OFFSET(Wellington_Reference,56,2)</f>
        <v>Local Ferry</v>
      </c>
      <c r="B145" s="4">
        <f>B167*'Total Distance Tables Sup #1'!B145*(1+'Other Assumptions'!D$56)</f>
        <v>0</v>
      </c>
      <c r="C145" s="4">
        <f ca="1">C167*'Total Distance Tables Sup #1'!C145*(1+'Other Assumptions'!G$56)</f>
        <v>0</v>
      </c>
      <c r="D145" s="4">
        <f ca="1">D167*'Total Distance Tables Sup #1'!D145*(1+'Other Assumptions'!H$56)</f>
        <v>0</v>
      </c>
      <c r="E145" s="4">
        <f ca="1">E167*'Total Distance Tables Sup #1'!E145*(1+'Other Assumptions'!I$56)</f>
        <v>0</v>
      </c>
      <c r="F145" s="4">
        <f ca="1">F167*'Total Distance Tables Sup #1'!F145*(1+'Other Assumptions'!J$56)</f>
        <v>0</v>
      </c>
      <c r="G145" s="4">
        <f ca="1">G167*'Total Distance Tables Sup #1'!G145*(1+'Other Assumptions'!K$56)</f>
        <v>0</v>
      </c>
      <c r="H145" s="4">
        <f ca="1">H167*'Total Distance Tables Sup #1'!H145*(1+'Other Assumptions'!L$56)</f>
        <v>0</v>
      </c>
      <c r="I145" s="1">
        <f ca="1">I167*'Total Distance Tables Sup #1'!I145*(1+'Other Assumptions'!M$56)</f>
        <v>0</v>
      </c>
      <c r="J145" s="1">
        <f ca="1">J167*'Total Distance Tables Sup #1'!J145*(1+'Other Assumptions'!N$56)</f>
        <v>0</v>
      </c>
      <c r="K145" s="1">
        <f ca="1">K167*'Total Distance Tables Sup #1'!K145*(1+'Other Assumptions'!O$56)</f>
        <v>0</v>
      </c>
    </row>
    <row r="146" spans="1:11" x14ac:dyDescent="0.2">
      <c r="A146" t="str">
        <f ca="1">OFFSET(Otago_Reference,49,2)</f>
        <v>Other Household Travel</v>
      </c>
      <c r="B146" s="4">
        <f ca="1">B168*'Total Distance Tables Sup #1'!B146*(1+'Other Assumptions'!D$56)</f>
        <v>0</v>
      </c>
      <c r="C146" s="4">
        <f ca="1">C168*'Total Distance Tables Sup #1'!C146*(1+'Other Assumptions'!G$56)</f>
        <v>0</v>
      </c>
      <c r="D146" s="4">
        <f ca="1">D168*'Total Distance Tables Sup #1'!D146*(1+'Other Assumptions'!H$56)</f>
        <v>0</v>
      </c>
      <c r="E146" s="4">
        <f ca="1">E168*'Total Distance Tables Sup #1'!E146*(1+'Other Assumptions'!I$56)</f>
        <v>0</v>
      </c>
      <c r="F146" s="4">
        <f ca="1">F168*'Total Distance Tables Sup #1'!F146*(1+'Other Assumptions'!J$56)</f>
        <v>0</v>
      </c>
      <c r="G146" s="4">
        <f ca="1">G168*'Total Distance Tables Sup #1'!G146*(1+'Other Assumptions'!K$56)</f>
        <v>0</v>
      </c>
      <c r="H146" s="4">
        <f ca="1">H168*'Total Distance Tables Sup #1'!H146*(1+'Other Assumptions'!L$56)</f>
        <v>0</v>
      </c>
      <c r="I146" s="1">
        <f ca="1">I168*'Total Distance Tables Sup #1'!I146*(1+'Other Assumptions'!M$56)</f>
        <v>0</v>
      </c>
      <c r="J146" s="1">
        <f ca="1">J168*'Total Distance Tables Sup #1'!J146*(1+'Other Assumptions'!N$56)</f>
        <v>0</v>
      </c>
      <c r="K146" s="1">
        <f ca="1">K168*'Total Distance Tables Sup #1'!K146*(1+'Other Assumptions'!O$56)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B159*'Total Distance Tables Sup #1'!B148*(1+'Other Assumptions'!D$57)*(1+'Active Mode Assumptions'!B9)</f>
        <v>8.8466785109000003</v>
      </c>
      <c r="C148" s="4">
        <f ca="1">C159*'Total Distance Tables Sup #1'!C148*(1+'Other Assumptions'!G$57)*(1+'Active Mode Assumptions'!C9)</f>
        <v>8.9063066414476744</v>
      </c>
      <c r="D148" s="4">
        <f ca="1">D159*'Total Distance Tables Sup #1'!D148*(1+'Other Assumptions'!H$57)*(1+'Active Mode Assumptions'!D9)</f>
        <v>9.0110372266107781</v>
      </c>
      <c r="E148" s="4">
        <f ca="1">E159*'Total Distance Tables Sup #1'!E148*(1+'Other Assumptions'!I$57)*(1+'Active Mode Assumptions'!E9)</f>
        <v>9.0043314719805885</v>
      </c>
      <c r="F148" s="4">
        <f ca="1">F159*'Total Distance Tables Sup #1'!F148*(1+'Other Assumptions'!J$57)*(1+'Active Mode Assumptions'!F9)</f>
        <v>8.9272673114117342</v>
      </c>
      <c r="G148" s="4">
        <f ca="1">G159*'Total Distance Tables Sup #1'!G148*(1+'Other Assumptions'!K$57)*(1+'Active Mode Assumptions'!G9)</f>
        <v>8.8450112433762715</v>
      </c>
      <c r="H148" s="4">
        <f ca="1">H159*'Total Distance Tables Sup #1'!H148*(1+'Other Assumptions'!L$57)*(1+'Active Mode Assumptions'!H9)</f>
        <v>8.7082770642133358</v>
      </c>
      <c r="I148" s="1">
        <f ca="1">I159*'Total Distance Tables Sup #1'!I148*(1+'Other Assumptions'!M$57)*(1+'Active Mode Assumptions'!I9)</f>
        <v>8.7511445447730836</v>
      </c>
      <c r="J148" s="1">
        <f ca="1">J159*'Total Distance Tables Sup #1'!J148*(1+'Other Assumptions'!N$57)*(1+'Active Mode Assumptions'!J9)</f>
        <v>8.7663525117160912</v>
      </c>
      <c r="K148" s="1">
        <f ca="1">K159*'Total Distance Tables Sup #1'!K148*(1+'Other Assumptions'!O$57)*(1+'Active Mode Assumptions'!K9)</f>
        <v>8.7603981339716963</v>
      </c>
    </row>
    <row r="149" spans="1:11" x14ac:dyDescent="0.2">
      <c r="A149" t="str">
        <f ca="1">OFFSET(Southland_Reference,7,2)</f>
        <v>Cyclist</v>
      </c>
      <c r="B149" s="4">
        <f ca="1">B160*'Total Distance Tables Sup #1'!B149*(1+'Other Assumptions'!D$57)*(1+'Active Mode Assumptions'!B18)</f>
        <v>7.5402861329000004</v>
      </c>
      <c r="C149" s="4">
        <f ca="1">C160*'Total Distance Tables Sup #1'!C149*(1+'Other Assumptions'!G$57)*(1+'Active Mode Assumptions'!C18)</f>
        <v>7.7790538321603107</v>
      </c>
      <c r="D149" s="4">
        <f ca="1">D160*'Total Distance Tables Sup #1'!D149*(1+'Other Assumptions'!H$57)*(1+'Active Mode Assumptions'!D18)</f>
        <v>8.9739893588609885</v>
      </c>
      <c r="E149" s="4">
        <f ca="1">E160*'Total Distance Tables Sup #1'!E149*(1+'Other Assumptions'!I$57)*(1+'Active Mode Assumptions'!E18)</f>
        <v>9.8292740822563616</v>
      </c>
      <c r="F149" s="4">
        <f ca="1">F160*'Total Distance Tables Sup #1'!F149*(1+'Other Assumptions'!J$57)*(1+'Active Mode Assumptions'!F18)</f>
        <v>10.823250828310302</v>
      </c>
      <c r="G149" s="4">
        <f ca="1">G160*'Total Distance Tables Sup #1'!G149*(1+'Other Assumptions'!K$57)*(1+'Active Mode Assumptions'!G18)</f>
        <v>12.001542028345893</v>
      </c>
      <c r="H149" s="4">
        <f ca="1">H160*'Total Distance Tables Sup #1'!H149*(1+'Other Assumptions'!L$57)*(1+'Active Mode Assumptions'!H18)</f>
        <v>13.172878643652339</v>
      </c>
      <c r="I149" s="1">
        <f ca="1">I160*'Total Distance Tables Sup #1'!I149*(1+'Other Assumptions'!M$57)*(1+'Active Mode Assumptions'!I18)</f>
        <v>13.334194244568913</v>
      </c>
      <c r="J149" s="1">
        <f ca="1">J160*'Total Distance Tables Sup #1'!J149*(1+'Other Assumptions'!N$57)*(1+'Active Mode Assumptions'!J18)</f>
        <v>13.494953338182778</v>
      </c>
      <c r="K149" s="1">
        <f ca="1">K160*'Total Distance Tables Sup #1'!K149*(1+'Other Assumptions'!O$57)*(1+'Active Mode Assumptions'!K18)</f>
        <v>13.627502119950151</v>
      </c>
    </row>
    <row r="150" spans="1:11" x14ac:dyDescent="0.2">
      <c r="A150" t="str">
        <f ca="1">OFFSET(Southland_Reference,14,2)</f>
        <v>Light Vehicle Driver</v>
      </c>
      <c r="B150" s="4">
        <f ca="1">B161*'Total Distance Tables Sup #1'!B150*(1+'Other Assumptions'!D$57)-(B148*'Active Mode Assumptions'!B9*'Active Mode Assumptions'!B14/(1+'Active Mode Assumptions'!B9))-(B149*'Active Mode Assumptions'!B18*'Active Mode Assumptions'!B23/(1+'Active Mode Assumptions'!B18))</f>
        <v>657.74873722999996</v>
      </c>
      <c r="C150" s="4">
        <f ca="1">C161*'Total Distance Tables Sup #1'!C150*(1+'Other Assumptions'!G$57)-(C148*'Active Mode Assumptions'!C9*'Active Mode Assumptions'!C14/(1+'Active Mode Assumptions'!C9))-(C149*'Active Mode Assumptions'!C18*'Active Mode Assumptions'!C23/(1+'Active Mode Assumptions'!C18))</f>
        <v>689.92757443140044</v>
      </c>
      <c r="D150" s="4">
        <f ca="1">D161*'Total Distance Tables Sup #1'!D150*(1+'Other Assumptions'!H$57)-(D148*'Active Mode Assumptions'!D9*'Active Mode Assumptions'!D14/(1+'Active Mode Assumptions'!D9))-(D149*'Active Mode Assumptions'!D18*'Active Mode Assumptions'!D23/(1+'Active Mode Assumptions'!D18))</f>
        <v>705.60344953543483</v>
      </c>
      <c r="E150" s="4">
        <f ca="1">E161*'Total Distance Tables Sup #1'!E150*(1+'Other Assumptions'!I$57)-(E148*'Active Mode Assumptions'!E9*'Active Mode Assumptions'!E14/(1+'Active Mode Assumptions'!E9))-(E149*'Active Mode Assumptions'!E18*'Active Mode Assumptions'!E23/(1+'Active Mode Assumptions'!E18))</f>
        <v>723.07653639721616</v>
      </c>
      <c r="F150" s="4">
        <f ca="1">F161*'Total Distance Tables Sup #1'!F150*(1+'Other Assumptions'!J$57)-(F148*'Active Mode Assumptions'!F9*'Active Mode Assumptions'!F14/(1+'Active Mode Assumptions'!F9))-(F149*'Active Mode Assumptions'!F18*'Active Mode Assumptions'!F23/(1+'Active Mode Assumptions'!F18))</f>
        <v>733.03935414577074</v>
      </c>
      <c r="G150" s="4">
        <f ca="1">G161*'Total Distance Tables Sup #1'!G150*(1+'Other Assumptions'!K$57)-(G148*'Active Mode Assumptions'!G9*'Active Mode Assumptions'!G14/(1+'Active Mode Assumptions'!G9))-(G149*'Active Mode Assumptions'!G18*'Active Mode Assumptions'!G23/(1+'Active Mode Assumptions'!G18))</f>
        <v>733.94900125650838</v>
      </c>
      <c r="H150" s="4">
        <f ca="1">H161*'Total Distance Tables Sup #1'!H150*(1+'Other Assumptions'!L$57)-(H148*'Active Mode Assumptions'!H9*'Active Mode Assumptions'!H14/(1+'Active Mode Assumptions'!H9))-(H149*'Active Mode Assumptions'!H18*'Active Mode Assumptions'!H23/(1+'Active Mode Assumptions'!H18))</f>
        <v>728.29871479794997</v>
      </c>
      <c r="I150" s="1">
        <f ca="1">I161*'Total Distance Tables Sup #1'!I150*(1+'Other Assumptions'!M$57)-(I148*'Active Mode Assumptions'!I9*'Active Mode Assumptions'!I14/(1+'Active Mode Assumptions'!I9))-(I149*'Active Mode Assumptions'!I18*'Active Mode Assumptions'!I23/(1+'Active Mode Assumptions'!I18))</f>
        <v>731.60824001880565</v>
      </c>
      <c r="J150" s="1">
        <f ca="1">J161*'Total Distance Tables Sup #1'!J150*(1+'Other Assumptions'!N$57)-(J148*'Active Mode Assumptions'!J9*'Active Mode Assumptions'!J14/(1+'Active Mode Assumptions'!J9))-(J149*'Active Mode Assumptions'!J18*'Active Mode Assumptions'!J23/(1+'Active Mode Assumptions'!J18))</f>
        <v>732.33898487703107</v>
      </c>
      <c r="K150" s="1">
        <f ca="1">K161*'Total Distance Tables Sup #1'!K150*(1+'Other Assumptions'!O$57)-(K148*'Active Mode Assumptions'!K9*'Active Mode Assumptions'!K14/(1+'Active Mode Assumptions'!K9))-(K149*'Active Mode Assumptions'!K18*'Active Mode Assumptions'!K23/(1+'Active Mode Assumptions'!K18))</f>
        <v>731.26588800419756</v>
      </c>
    </row>
    <row r="151" spans="1:11" x14ac:dyDescent="0.2">
      <c r="A151" t="str">
        <f ca="1">OFFSET(Southland_Reference,21,2)</f>
        <v>Light Vehicle Passenger</v>
      </c>
      <c r="B151" s="4">
        <f ca="1">B162*'Total Distance Tables Sup #1'!B151*(1+'Other Assumptions'!D$57)-(B148*'Active Mode Assumptions'!B9*'Active Mode Assumptions'!B15/(1+'Active Mode Assumptions'!B9))-(B149*'Active Mode Assumptions'!B18*'Active Mode Assumptions'!B24/(1+'Active Mode Assumptions'!B18))</f>
        <v>380.70733008000002</v>
      </c>
      <c r="C151" s="4">
        <f ca="1">C162*'Total Distance Tables Sup #1'!C151*(1+'Other Assumptions'!G$57)-(C148*'Active Mode Assumptions'!C9*'Active Mode Assumptions'!C15/(1+'Active Mode Assumptions'!C9))-(C149*'Active Mode Assumptions'!C18*'Active Mode Assumptions'!C24/(1+'Active Mode Assumptions'!C18))</f>
        <v>382.41269516762293</v>
      </c>
      <c r="D151" s="4">
        <f ca="1">D162*'Total Distance Tables Sup #1'!D151*(1+'Other Assumptions'!H$57)-(D148*'Active Mode Assumptions'!D9*'Active Mode Assumptions'!D15/(1+'Active Mode Assumptions'!D9))-(D149*'Active Mode Assumptions'!D18*'Active Mode Assumptions'!D24/(1+'Active Mode Assumptions'!D18))</f>
        <v>387.10502327485091</v>
      </c>
      <c r="E151" s="4">
        <f ca="1">E162*'Total Distance Tables Sup #1'!E151*(1+'Other Assumptions'!I$57)-(E148*'Active Mode Assumptions'!E9*'Active Mode Assumptions'!E15/(1+'Active Mode Assumptions'!E9))-(E149*'Active Mode Assumptions'!E18*'Active Mode Assumptions'!E24/(1+'Active Mode Assumptions'!E18))</f>
        <v>391.49852771557249</v>
      </c>
      <c r="F151" s="4">
        <f ca="1">F162*'Total Distance Tables Sup #1'!F151*(1+'Other Assumptions'!J$57)-(F148*'Active Mode Assumptions'!F9*'Active Mode Assumptions'!F15/(1+'Active Mode Assumptions'!F9))-(F149*'Active Mode Assumptions'!F18*'Active Mode Assumptions'!F24/(1+'Active Mode Assumptions'!F18))</f>
        <v>392.26688507290851</v>
      </c>
      <c r="G151" s="4">
        <f ca="1">G162*'Total Distance Tables Sup #1'!G151*(1+'Other Assumptions'!K$57)-(G148*'Active Mode Assumptions'!G9*'Active Mode Assumptions'!G15/(1+'Active Mode Assumptions'!G9))-(G149*'Active Mode Assumptions'!G18*'Active Mode Assumptions'!G24/(1+'Active Mode Assumptions'!G18))</f>
        <v>390.39864241607648</v>
      </c>
      <c r="H151" s="4">
        <f ca="1">H162*'Total Distance Tables Sup #1'!H151*(1+'Other Assumptions'!L$57)-(H148*'Active Mode Assumptions'!H9*'Active Mode Assumptions'!H15/(1+'Active Mode Assumptions'!H9))-(H149*'Active Mode Assumptions'!H18*'Active Mode Assumptions'!H24/(1+'Active Mode Assumptions'!H18))</f>
        <v>385.67105942981078</v>
      </c>
      <c r="I151" s="1">
        <f ca="1">I162*'Total Distance Tables Sup #1'!I151*(1+'Other Assumptions'!M$57)-(I148*'Active Mode Assumptions'!I9*'Active Mode Assumptions'!I15/(1+'Active Mode Assumptions'!I9))-(I149*'Active Mode Assumptions'!I18*'Active Mode Assumptions'!I24/(1+'Active Mode Assumptions'!I18))</f>
        <v>387.76185494128441</v>
      </c>
      <c r="J151" s="1">
        <f ca="1">J162*'Total Distance Tables Sup #1'!J151*(1+'Other Assumptions'!N$57)-(J148*'Active Mode Assumptions'!J9*'Active Mode Assumptions'!J15/(1+'Active Mode Assumptions'!J9))-(J149*'Active Mode Assumptions'!J18*'Active Mode Assumptions'!J24/(1+'Active Mode Assumptions'!J18))</f>
        <v>388.57293380777065</v>
      </c>
      <c r="K151" s="1">
        <f ca="1">K162*'Total Distance Tables Sup #1'!K151*(1+'Other Assumptions'!O$57)-(K148*'Active Mode Assumptions'!K9*'Active Mode Assumptions'!K15/(1+'Active Mode Assumptions'!K9))-(K149*'Active Mode Assumptions'!K18*'Active Mode Assumptions'!K24/(1+'Active Mode Assumptions'!K18))</f>
        <v>388.42401085395818</v>
      </c>
    </row>
    <row r="152" spans="1:11" x14ac:dyDescent="0.2">
      <c r="A152" t="str">
        <f ca="1">OFFSET(Southland_Reference,28,2)</f>
        <v>Taxi/Vehicle Share</v>
      </c>
      <c r="B152" s="4">
        <f ca="1">B163*'Total Distance Tables Sup #1'!B152*(1+'Other Assumptions'!D$57)</f>
        <v>1.2430116738999999</v>
      </c>
      <c r="C152" s="4">
        <f ca="1">C163*'Total Distance Tables Sup #1'!C152*(1+'Other Assumptions'!G$57)</f>
        <v>1.3840302654185297</v>
      </c>
      <c r="D152" s="4">
        <f ca="1">D163*'Total Distance Tables Sup #1'!D152*(1+'Other Assumptions'!H$57)</f>
        <v>1.5442493553476671</v>
      </c>
      <c r="E152" s="4">
        <f ca="1">E163*'Total Distance Tables Sup #1'!E152*(1+'Other Assumptions'!I$57)</f>
        <v>1.6869373032584458</v>
      </c>
      <c r="F152" s="4">
        <f ca="1">F163*'Total Distance Tables Sup #1'!F152*(1+'Other Assumptions'!J$57)</f>
        <v>1.7973918667916857</v>
      </c>
      <c r="G152" s="4">
        <f ca="1">G163*'Total Distance Tables Sup #1'!G152*(1+'Other Assumptions'!K$57)</f>
        <v>1.8672496613230714</v>
      </c>
      <c r="H152" s="4">
        <f ca="1">H163*'Total Distance Tables Sup #1'!H152*(1+'Other Assumptions'!L$57)</f>
        <v>1.9127095009349608</v>
      </c>
      <c r="I152" s="1">
        <f ca="1">I163*'Total Distance Tables Sup #1'!I152*(1+'Other Assumptions'!M$57)</f>
        <v>1.9250241677754492</v>
      </c>
      <c r="J152" s="1">
        <f ca="1">J163*'Total Distance Tables Sup #1'!J152*(1+'Other Assumptions'!N$57)</f>
        <v>1.9322911637194604</v>
      </c>
      <c r="K152" s="1">
        <f ca="1">K163*'Total Distance Tables Sup #1'!K152*(1+'Other Assumptions'!O$57)</f>
        <v>1.9349249048057016</v>
      </c>
    </row>
    <row r="153" spans="1:11" x14ac:dyDescent="0.2">
      <c r="A153" t="str">
        <f ca="1">OFFSET(Southland_Reference,35,2)</f>
        <v>Motorcyclist</v>
      </c>
      <c r="B153" s="4">
        <f ca="1">B164*'Total Distance Tables Sup #1'!B153*(1+'Other Assumptions'!D$57)</f>
        <v>18.926640866</v>
      </c>
      <c r="C153" s="4">
        <f ca="1">C164*'Total Distance Tables Sup #1'!C153*(1+'Other Assumptions'!G$57)</f>
        <v>19.718012563446052</v>
      </c>
      <c r="D153" s="4">
        <f ca="1">D164*'Total Distance Tables Sup #1'!D153*(1+'Other Assumptions'!H$57)</f>
        <v>20.256617694808618</v>
      </c>
      <c r="E153" s="4">
        <f ca="1">E164*'Total Distance Tables Sup #1'!E153*(1+'Other Assumptions'!I$57)</f>
        <v>20.29852313751789</v>
      </c>
      <c r="F153" s="4">
        <f ca="1">F164*'Total Distance Tables Sup #1'!F153*(1+'Other Assumptions'!J$57)</f>
        <v>19.90238412243432</v>
      </c>
      <c r="G153" s="4">
        <f ca="1">G164*'Total Distance Tables Sup #1'!G153*(1+'Other Assumptions'!K$57)</f>
        <v>19.068894926355963</v>
      </c>
      <c r="H153" s="4">
        <f ca="1">H164*'Total Distance Tables Sup #1'!H153*(1+'Other Assumptions'!L$57)</f>
        <v>18.070181443763349</v>
      </c>
      <c r="I153" s="1">
        <f ca="1">I164*'Total Distance Tables Sup #1'!I153*(1+'Other Assumptions'!M$57)</f>
        <v>18.199014481740065</v>
      </c>
      <c r="J153" s="1">
        <f ca="1">J164*'Total Distance Tables Sup #1'!J153*(1+'Other Assumptions'!N$57)</f>
        <v>18.26666840119174</v>
      </c>
      <c r="K153" s="1">
        <f ca="1">K164*'Total Distance Tables Sup #1'!K153*(1+'Other Assumptions'!O$57)</f>
        <v>18.287451997658675</v>
      </c>
    </row>
    <row r="154" spans="1:11" x14ac:dyDescent="0.2">
      <c r="A154" t="str">
        <f ca="1">OFFSET(Canterbury_Reference,42,2)</f>
        <v>Local Train</v>
      </c>
      <c r="B154" s="4">
        <f ca="1">B165*'Total Distance Tables Sup #1'!B154*(1+'Other Assumptions'!D$57)</f>
        <v>0</v>
      </c>
      <c r="C154" s="4">
        <f ca="1">C165*'Total Distance Tables Sup #1'!C154*(1+'Other Assumptions'!G$57)</f>
        <v>0</v>
      </c>
      <c r="D154" s="4">
        <f ca="1">D165*'Total Distance Tables Sup #1'!D154*(1+'Other Assumptions'!H$57)</f>
        <v>0</v>
      </c>
      <c r="E154" s="4">
        <f ca="1">E165*'Total Distance Tables Sup #1'!E154*(1+'Other Assumptions'!I$57)</f>
        <v>0</v>
      </c>
      <c r="F154" s="4">
        <f ca="1">F165*'Total Distance Tables Sup #1'!F154*(1+'Other Assumptions'!J$57)</f>
        <v>0</v>
      </c>
      <c r="G154" s="4">
        <f ca="1">G165*'Total Distance Tables Sup #1'!G154*(1+'Other Assumptions'!K$57)</f>
        <v>0</v>
      </c>
      <c r="H154" s="4">
        <f ca="1">H165*'Total Distance Tables Sup #1'!H154*(1+'Other Assumptions'!L$57)</f>
        <v>0</v>
      </c>
      <c r="I154" s="1">
        <f ca="1">I165*'Total Distance Tables Sup #1'!I154*(1+'Other Assumptions'!M$57)</f>
        <v>0</v>
      </c>
      <c r="J154" s="1">
        <f ca="1">J165*'Total Distance Tables Sup #1'!J154*(1+'Other Assumptions'!N$57)</f>
        <v>0</v>
      </c>
      <c r="K154" s="1">
        <f ca="1">K165*'Total Distance Tables Sup #1'!K154*(1+'Other Assumptions'!O$57)</f>
        <v>0</v>
      </c>
    </row>
    <row r="155" spans="1:11" x14ac:dyDescent="0.2">
      <c r="A155" t="str">
        <f ca="1">OFFSET(Southland_Reference,42,2)</f>
        <v>Local Bus</v>
      </c>
      <c r="B155" s="4">
        <f ca="1">B166*'Total Distance Tables Sup #1'!B155*(1+'Other Assumptions'!D$57)</f>
        <v>30.182609224</v>
      </c>
      <c r="C155" s="4">
        <f ca="1">C166*'Total Distance Tables Sup #1'!C155*(1+'Other Assumptions'!G$57)</f>
        <v>26.91957099960306</v>
      </c>
      <c r="D155" s="4">
        <f ca="1">D166*'Total Distance Tables Sup #1'!D155*(1+'Other Assumptions'!H$57)</f>
        <v>26.516033974162859</v>
      </c>
      <c r="E155" s="4">
        <f ca="1">E166*'Total Distance Tables Sup #1'!E155*(1+'Other Assumptions'!I$57)</f>
        <v>25.703988300769076</v>
      </c>
      <c r="F155" s="4">
        <f ca="1">F166*'Total Distance Tables Sup #1'!F155*(1+'Other Assumptions'!J$57)</f>
        <v>24.707447656637516</v>
      </c>
      <c r="G155" s="4">
        <f ca="1">G166*'Total Distance Tables Sup #1'!G155*(1+'Other Assumptions'!K$57)</f>
        <v>24.017834471986326</v>
      </c>
      <c r="H155" s="4">
        <f ca="1">H166*'Total Distance Tables Sup #1'!H155*(1+'Other Assumptions'!L$57)</f>
        <v>23.330348753312808</v>
      </c>
      <c r="I155" s="1">
        <f ca="1">I166*'Total Distance Tables Sup #1'!I155*(1+'Other Assumptions'!M$57)</f>
        <v>23.517263221816258</v>
      </c>
      <c r="J155" s="1">
        <f ca="1">J166*'Total Distance Tables Sup #1'!J155*(1+'Other Assumptions'!N$57)</f>
        <v>23.639016377339299</v>
      </c>
      <c r="K155" s="1">
        <f ca="1">K166*'Total Distance Tables Sup #1'!K155*(1+'Other Assumptions'!O$57)</f>
        <v>23.703091439236701</v>
      </c>
    </row>
    <row r="156" spans="1:11" x14ac:dyDescent="0.2">
      <c r="A156" t="str">
        <f ca="1">OFFSET(Wellington_Reference,56,2)</f>
        <v>Local Ferry</v>
      </c>
      <c r="B156" s="4">
        <f>B167*'Total Distance Tables Sup #1'!B156*(1+'Other Assumptions'!D$57)</f>
        <v>0</v>
      </c>
      <c r="C156" s="4">
        <f ca="1">C167*'Total Distance Tables Sup #1'!C156*(1+'Other Assumptions'!G$57)</f>
        <v>0</v>
      </c>
      <c r="D156" s="4">
        <f ca="1">D167*'Total Distance Tables Sup #1'!D156*(1+'Other Assumptions'!H$57)</f>
        <v>0</v>
      </c>
      <c r="E156" s="4">
        <f ca="1">E167*'Total Distance Tables Sup #1'!E156*(1+'Other Assumptions'!I$57)</f>
        <v>0</v>
      </c>
      <c r="F156" s="4">
        <f ca="1">F167*'Total Distance Tables Sup #1'!F156*(1+'Other Assumptions'!J$57)</f>
        <v>0</v>
      </c>
      <c r="G156" s="4">
        <f ca="1">G167*'Total Distance Tables Sup #1'!G156*(1+'Other Assumptions'!K$57)</f>
        <v>0</v>
      </c>
      <c r="H156" s="4">
        <f ca="1">H167*'Total Distance Tables Sup #1'!H156*(1+'Other Assumptions'!L$57)</f>
        <v>0</v>
      </c>
      <c r="I156" s="1">
        <f ca="1">I167*'Total Distance Tables Sup #1'!I156*(1+'Other Assumptions'!M$57)</f>
        <v>0</v>
      </c>
      <c r="J156" s="1">
        <f ca="1">J167*'Total Distance Tables Sup #1'!J156*(1+'Other Assumptions'!N$57)</f>
        <v>0</v>
      </c>
      <c r="K156" s="1">
        <f ca="1">K167*'Total Distance Tables Sup #1'!K156*(1+'Other Assumptions'!O$57)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Distance Tables Sup #1'!B157*(1+'Other Assumptions'!D$57)</f>
        <v>0</v>
      </c>
      <c r="C157" s="4">
        <f ca="1">C168*'Total Distance Tables Sup #1'!C157*(1+'Other Assumptions'!G$57)</f>
        <v>0</v>
      </c>
      <c r="D157" s="4">
        <f ca="1">D168*'Total Distance Tables Sup #1'!D157*(1+'Other Assumptions'!H$57)</f>
        <v>0</v>
      </c>
      <c r="E157" s="4">
        <f ca="1">E168*'Total Distance Tables Sup #1'!E157*(1+'Other Assumptions'!I$57)</f>
        <v>0</v>
      </c>
      <c r="F157" s="4">
        <f ca="1">F168*'Total Distance Tables Sup #1'!F157*(1+'Other Assumptions'!J$57)</f>
        <v>0</v>
      </c>
      <c r="G157" s="4">
        <f ca="1">G168*'Total Distance Tables Sup #1'!G157*(1+'Other Assumptions'!K$57)</f>
        <v>0</v>
      </c>
      <c r="H157" s="4">
        <f ca="1">H168*'Total Distance Tables Sup #1'!H157*(1+'Other Assumptions'!L$57)</f>
        <v>0</v>
      </c>
      <c r="I157" s="1">
        <f ca="1">I168*'Total Distance Tables Sup #1'!I157*(1+'Other Assumptions'!M$57)</f>
        <v>0</v>
      </c>
      <c r="J157" s="1">
        <f ca="1">J168*'Total Distance Tables Sup #1'!J157*(1+'Other Assumptions'!N$57)</f>
        <v>0</v>
      </c>
      <c r="K157" s="1">
        <f ca="1">K168*'Total Distance Tables Sup #1'!K157*(1+'Other Assumptions'!O$57)</f>
        <v>0</v>
      </c>
    </row>
    <row r="158" spans="1:11" x14ac:dyDescent="0.2">
      <c r="A158" t="s">
        <v>18</v>
      </c>
    </row>
    <row r="159" spans="1:11" x14ac:dyDescent="0.2">
      <c r="A159" t="str">
        <f ca="1">'Total Distance Tables'!A16</f>
        <v>Pedestrian</v>
      </c>
      <c r="B159" s="58">
        <f ca="1">('Total Distance Tables Sup #1'!B170*'Updated Population'!B$158)/('Total Distance Tables Sup #1'!B159*1000000)</f>
        <v>1</v>
      </c>
      <c r="C159" s="58">
        <f ca="1">('Total Distance Tables Sup #1'!C170*'Updated Population'!C$158)/('Total Distance Tables Sup #1'!C159*1000000)</f>
        <v>1.0007472070541126</v>
      </c>
      <c r="D159" s="58">
        <f ca="1">('Total Distance Tables Sup #1'!D170*'Updated Population'!D$158)/('Total Distance Tables Sup #1'!D159*1000000)</f>
        <v>1.0015599873607564</v>
      </c>
      <c r="E159" s="58">
        <f ca="1">('Total Distance Tables Sup #1'!E170*'Updated Population'!E$158)/('Total Distance Tables Sup #1'!E159*1000000)</f>
        <v>1.0024460292921793</v>
      </c>
      <c r="F159" s="58">
        <f ca="1">('Total Distance Tables Sup #1'!F170*'Updated Population'!F$158)/('Total Distance Tables Sup #1'!F159*1000000)</f>
        <v>1.0032213495165478</v>
      </c>
      <c r="G159" s="58">
        <f ca="1">('Total Distance Tables Sup #1'!G170*'Updated Population'!G$158)/('Total Distance Tables Sup #1'!G159*1000000)</f>
        <v>1.0039400685006483</v>
      </c>
      <c r="H159" s="58">
        <f ca="1">('Total Distance Tables Sup #1'!H170*'Updated Population'!H$158)/('Total Distance Tables Sup #1'!H159*1000000)</f>
        <v>1.0046573153826543</v>
      </c>
      <c r="I159" s="58">
        <f ca="1">('Total Distance Tables Sup #1'!I170*'Updated Population'!I$158)/('Total Distance Tables Sup #1'!I159*1000000)</f>
        <v>1.0050373100024588</v>
      </c>
      <c r="J159" s="58">
        <f ca="1">('Total Distance Tables Sup #1'!J170*'Updated Population'!J$158)/('Total Distance Tables Sup #1'!J159*1000000)</f>
        <v>1.0057522665640093</v>
      </c>
      <c r="K159" s="58">
        <f ca="1">('Total Distance Tables Sup #1'!K170*'Updated Population'!K$158)/('Total Distance Tables Sup #1'!K159*1000000)</f>
        <v>1.0065114456221034</v>
      </c>
    </row>
    <row r="160" spans="1:11" x14ac:dyDescent="0.2">
      <c r="A160" t="str">
        <f ca="1">'Total Distance Tables'!A17</f>
        <v>Cyclist</v>
      </c>
      <c r="B160" s="58">
        <f ca="1">('Total Distance Tables Sup #1'!B171*'Updated Population'!B$158)/('Total Distance Tables Sup #1'!B160*1000000)</f>
        <v>1</v>
      </c>
      <c r="C160" s="58">
        <f ca="1">('Total Distance Tables Sup #1'!C171*'Updated Population'!C$158)/('Total Distance Tables Sup #1'!C160*1000000)</f>
        <v>1.0150904937739276</v>
      </c>
      <c r="D160" s="58">
        <f ca="1">('Total Distance Tables Sup #1'!D171*'Updated Population'!D$158)/('Total Distance Tables Sup #1'!D160*1000000)</f>
        <v>1.0290826377539986</v>
      </c>
      <c r="E160" s="58">
        <f ca="1">('Total Distance Tables Sup #1'!E171*'Updated Population'!E$158)/('Total Distance Tables Sup #1'!E160*1000000)</f>
        <v>1.0428425324792667</v>
      </c>
      <c r="F160" s="58">
        <f ca="1">('Total Distance Tables Sup #1'!F171*'Updated Population'!F$158)/('Total Distance Tables Sup #1'!F160*1000000)</f>
        <v>1.0558963317767969</v>
      </c>
      <c r="G160" s="58">
        <f ca="1">('Total Distance Tables Sup #1'!G171*'Updated Population'!G$158)/('Total Distance Tables Sup #1'!G160*1000000)</f>
        <v>1.0684604472938632</v>
      </c>
      <c r="H160" s="58">
        <f ca="1">('Total Distance Tables Sup #1'!H171*'Updated Population'!H$158)/('Total Distance Tables Sup #1'!H160*1000000)</f>
        <v>1.0807895642362901</v>
      </c>
      <c r="I160" s="58">
        <f ca="1">('Total Distance Tables Sup #1'!I171*'Updated Population'!I$158)/('Total Distance Tables Sup #1'!I160*1000000)</f>
        <v>1.0890776449556956</v>
      </c>
      <c r="J160" s="58">
        <f ca="1">('Total Distance Tables Sup #1'!J171*'Updated Population'!J$158)/('Total Distance Tables Sup #1'!J160*1000000)</f>
        <v>1.1010783306855925</v>
      </c>
      <c r="K160" s="58">
        <f ca="1">('Total Distance Tables Sup #1'!K171*'Updated Population'!K$158)/('Total Distance Tables Sup #1'!K160*1000000)</f>
        <v>1.1134888464564816</v>
      </c>
    </row>
    <row r="161" spans="1:11" x14ac:dyDescent="0.2">
      <c r="A161" t="str">
        <f ca="1">'Total Distance Tables'!A18</f>
        <v>Light Vehicle Driver</v>
      </c>
      <c r="B161" s="58">
        <f ca="1">('Total Distance Tables Sup #1'!B172*'Updated Population'!B$158)/('Total Distance Tables Sup #1'!B161*1000000)</f>
        <v>1</v>
      </c>
      <c r="C161" s="58">
        <f ca="1">('Total Distance Tables Sup #1'!C172*'Updated Population'!C$158)/('Total Distance Tables Sup #1'!C161*1000000)</f>
        <v>1.0002599762600677</v>
      </c>
      <c r="D161" s="58">
        <f ca="1">('Total Distance Tables Sup #1'!D172*'Updated Population'!D$158)/('Total Distance Tables Sup #1'!D161*1000000)</f>
        <v>1.000397489494796</v>
      </c>
      <c r="E161" s="58">
        <f ca="1">('Total Distance Tables Sup #1'!E172*'Updated Population'!E$158)/('Total Distance Tables Sup #1'!E161*1000000)</f>
        <v>1.0004124607850751</v>
      </c>
      <c r="F161" s="58">
        <f ca="1">('Total Distance Tables Sup #1'!F172*'Updated Population'!F$158)/('Total Distance Tables Sup #1'!F161*1000000)</f>
        <v>1.0004202344469157</v>
      </c>
      <c r="G161" s="58">
        <f ca="1">('Total Distance Tables Sup #1'!G172*'Updated Population'!G$158)/('Total Distance Tables Sup #1'!G161*1000000)</f>
        <v>1.0004190984884709</v>
      </c>
      <c r="H161" s="58">
        <f ca="1">('Total Distance Tables Sup #1'!H172*'Updated Population'!H$158)/('Total Distance Tables Sup #1'!H161*1000000)</f>
        <v>1.0004129825893042</v>
      </c>
      <c r="I161" s="58">
        <f ca="1">('Total Distance Tables Sup #1'!I172*'Updated Population'!I$158)/('Total Distance Tables Sup #1'!I161*1000000)</f>
        <v>1.0004261435350994</v>
      </c>
      <c r="J161" s="58">
        <f ca="1">('Total Distance Tables Sup #1'!J172*'Updated Population'!J$158)/('Total Distance Tables Sup #1'!J161*1000000)</f>
        <v>1.0004162107979171</v>
      </c>
      <c r="K161" s="58">
        <f ca="1">('Total Distance Tables Sup #1'!K172*'Updated Population'!K$158)/('Total Distance Tables Sup #1'!K161*1000000)</f>
        <v>1.0004013840394208</v>
      </c>
    </row>
    <row r="162" spans="1:11" x14ac:dyDescent="0.2">
      <c r="A162" t="str">
        <f ca="1">'Total Distance Tables'!A19</f>
        <v>Light Vehicle Passenger</v>
      </c>
      <c r="B162" s="58">
        <f ca="1">('Total Distance Tables Sup #1'!B173*'Updated Population'!B$158)/('Total Distance Tables Sup #1'!B162*1000000)</f>
        <v>1</v>
      </c>
      <c r="C162" s="58">
        <f ca="1">('Total Distance Tables Sup #1'!C173*'Updated Population'!C$158)/('Total Distance Tables Sup #1'!C162*1000000)</f>
        <v>1.0023551819446765</v>
      </c>
      <c r="D162" s="58">
        <f ca="1">('Total Distance Tables Sup #1'!D173*'Updated Population'!D$158)/('Total Distance Tables Sup #1'!D162*1000000)</f>
        <v>1.0041322822744605</v>
      </c>
      <c r="E162" s="58">
        <f ca="1">('Total Distance Tables Sup #1'!E173*'Updated Population'!E$158)/('Total Distance Tables Sup #1'!E162*1000000)</f>
        <v>1.0055675315600039</v>
      </c>
      <c r="F162" s="58">
        <f ca="1">('Total Distance Tables Sup #1'!F173*'Updated Population'!F$158)/('Total Distance Tables Sup #1'!F162*1000000)</f>
        <v>1.0069150062027419</v>
      </c>
      <c r="G162" s="58">
        <f ca="1">('Total Distance Tables Sup #1'!G173*'Updated Population'!G$158)/('Total Distance Tables Sup #1'!G162*1000000)</f>
        <v>1.0081759033619482</v>
      </c>
      <c r="H162" s="58">
        <f ca="1">('Total Distance Tables Sup #1'!H173*'Updated Population'!H$158)/('Total Distance Tables Sup #1'!H162*1000000)</f>
        <v>1.0093677031379715</v>
      </c>
      <c r="I162" s="58">
        <f ca="1">('Total Distance Tables Sup #1'!I173*'Updated Population'!I$158)/('Total Distance Tables Sup #1'!I162*1000000)</f>
        <v>1.0102696467215153</v>
      </c>
      <c r="J162" s="58">
        <f ca="1">('Total Distance Tables Sup #1'!J173*'Updated Population'!J$158)/('Total Distance Tables Sup #1'!J162*1000000)</f>
        <v>1.0113739989926154</v>
      </c>
      <c r="K162" s="58">
        <f ca="1">('Total Distance Tables Sup #1'!K173*'Updated Population'!K$158)/('Total Distance Tables Sup #1'!K162*1000000)</f>
        <v>1.0124668519899158</v>
      </c>
    </row>
    <row r="163" spans="1:11" x14ac:dyDescent="0.2">
      <c r="A163" t="str">
        <f ca="1">'Total Distance Tables'!A20</f>
        <v>Taxi/Vehicle Share</v>
      </c>
      <c r="B163" s="58">
        <f ca="1">('Total Distance Tables Sup #1'!B174*'Updated Population'!B$158)/('Total Distance Tables Sup #1'!B163*1000000)</f>
        <v>1</v>
      </c>
      <c r="C163" s="58">
        <f ca="1">('Total Distance Tables Sup #1'!C174*'Updated Population'!C$158)/('Total Distance Tables Sup #1'!C163*1000000)</f>
        <v>1.0042084965182392</v>
      </c>
      <c r="D163" s="58">
        <f ca="1">('Total Distance Tables Sup #1'!D174*'Updated Population'!D$158)/('Total Distance Tables Sup #1'!D163*1000000)</f>
        <v>1.0079501876829766</v>
      </c>
      <c r="E163" s="58">
        <f ca="1">('Total Distance Tables Sup #1'!E174*'Updated Population'!E$158)/('Total Distance Tables Sup #1'!E163*1000000)</f>
        <v>1.0115976879047723</v>
      </c>
      <c r="F163" s="58">
        <f ca="1">('Total Distance Tables Sup #1'!F174*'Updated Population'!F$158)/('Total Distance Tables Sup #1'!F163*1000000)</f>
        <v>1.0148907710119284</v>
      </c>
      <c r="G163" s="58">
        <f ca="1">('Total Distance Tables Sup #1'!G174*'Updated Population'!G$158)/('Total Distance Tables Sup #1'!G163*1000000)</f>
        <v>1.0179495765182642</v>
      </c>
      <c r="H163" s="58">
        <f ca="1">('Total Distance Tables Sup #1'!H174*'Updated Population'!H$158)/('Total Distance Tables Sup #1'!H163*1000000)</f>
        <v>1.0208966339682903</v>
      </c>
      <c r="I163" s="58">
        <f ca="1">('Total Distance Tables Sup #1'!I174*'Updated Population'!I$158)/('Total Distance Tables Sup #1'!I163*1000000)</f>
        <v>1.0228231697339509</v>
      </c>
      <c r="J163" s="58">
        <f ca="1">('Total Distance Tables Sup #1'!J174*'Updated Population'!J$158)/('Total Distance Tables Sup #1'!J163*1000000)</f>
        <v>1.0256323280897399</v>
      </c>
      <c r="K163" s="58">
        <f ca="1">('Total Distance Tables Sup #1'!K174*'Updated Population'!K$158)/('Total Distance Tables Sup #1'!K163*1000000)</f>
        <v>1.0285041122293992</v>
      </c>
    </row>
    <row r="164" spans="1:11" x14ac:dyDescent="0.2">
      <c r="A164" t="str">
        <f ca="1">'Total Distance Tables'!A21</f>
        <v>Motorcyclist</v>
      </c>
      <c r="B164" s="58">
        <f ca="1">('Total Distance Tables Sup #1'!B175*'Updated Population'!B$158)/('Total Distance Tables Sup #1'!B164*1000000)</f>
        <v>1</v>
      </c>
      <c r="C164" s="58">
        <f ca="1">('Total Distance Tables Sup #1'!C175*'Updated Population'!C$158)/('Total Distance Tables Sup #1'!C164*1000000)</f>
        <v>1.0060799394641429</v>
      </c>
      <c r="D164" s="58">
        <f ca="1">('Total Distance Tables Sup #1'!D175*'Updated Population'!D$158)/('Total Distance Tables Sup #1'!D164*1000000)</f>
        <v>1.0105217235944983</v>
      </c>
      <c r="E164" s="58">
        <f ca="1">('Total Distance Tables Sup #1'!E175*'Updated Population'!E$158)/('Total Distance Tables Sup #1'!E164*1000000)</f>
        <v>1.0138674163003085</v>
      </c>
      <c r="F164" s="58">
        <f ca="1">('Total Distance Tables Sup #1'!F175*'Updated Population'!F$158)/('Total Distance Tables Sup #1'!F164*1000000)</f>
        <v>1.0170310963344082</v>
      </c>
      <c r="G164" s="58">
        <f ca="1">('Total Distance Tables Sup #1'!G175*'Updated Population'!G$158)/('Total Distance Tables Sup #1'!G164*1000000)</f>
        <v>1.0200855791165395</v>
      </c>
      <c r="H164" s="58">
        <f ca="1">('Total Distance Tables Sup #1'!H175*'Updated Population'!H$158)/('Total Distance Tables Sup #1'!H164*1000000)</f>
        <v>1.0231192758690686</v>
      </c>
      <c r="I164" s="58">
        <f ca="1">('Total Distance Tables Sup #1'!I175*'Updated Population'!I$158)/('Total Distance Tables Sup #1'!I164*1000000)</f>
        <v>1.0257540458512049</v>
      </c>
      <c r="J164" s="58">
        <f ca="1">('Total Distance Tables Sup #1'!J175*'Updated Population'!J$158)/('Total Distance Tables Sup #1'!J164*1000000)</f>
        <v>1.0285122659229264</v>
      </c>
      <c r="K164" s="58">
        <f ca="1">('Total Distance Tables Sup #1'!K175*'Updated Population'!K$158)/('Total Distance Tables Sup #1'!K164*1000000)</f>
        <v>1.0311601331911928</v>
      </c>
    </row>
    <row r="165" spans="1:11" x14ac:dyDescent="0.2">
      <c r="A165" t="str">
        <f ca="1">'Total Distance Tables'!A22</f>
        <v>Local Train</v>
      </c>
      <c r="B165" s="58">
        <f ca="1">('Total Distance Tables Sup #1'!B176*'Updated Population'!B$158)/('Total Distance Tables Sup #1'!B165*1000000)</f>
        <v>1</v>
      </c>
      <c r="C165" s="58">
        <f ca="1">('Total Distance Tables Sup #1'!C176*'Updated Population'!C$158)/('Total Distance Tables Sup #1'!C165*1000000)</f>
        <v>1.042018567806023</v>
      </c>
      <c r="D165" s="58">
        <f ca="1">('Total Distance Tables Sup #1'!D176*'Updated Population'!D$158)/('Total Distance Tables Sup #1'!D165*1000000)</f>
        <v>1.0681836216473577</v>
      </c>
      <c r="E165" s="58">
        <f ca="1">('Total Distance Tables Sup #1'!E176*'Updated Population'!E$158)/('Total Distance Tables Sup #1'!E165*1000000)</f>
        <v>1.0808168177202813</v>
      </c>
      <c r="F165" s="58">
        <f ca="1">('Total Distance Tables Sup #1'!F176*'Updated Population'!F$158)/('Total Distance Tables Sup #1'!F165*1000000)</f>
        <v>1.0905821090492636</v>
      </c>
      <c r="G165" s="58">
        <f ca="1">('Total Distance Tables Sup #1'!G176*'Updated Population'!G$158)/('Total Distance Tables Sup #1'!G165*1000000)</f>
        <v>1.0983710345299613</v>
      </c>
      <c r="H165" s="58">
        <f ca="1">('Total Distance Tables Sup #1'!H176*'Updated Population'!H$158)/('Total Distance Tables Sup #1'!H165*1000000)</f>
        <v>1.1031622432419139</v>
      </c>
      <c r="I165" s="58">
        <f ca="1">('Total Distance Tables Sup #1'!I176*'Updated Population'!I$158)/('Total Distance Tables Sup #1'!I165*1000000)</f>
        <v>1.1126547968239142</v>
      </c>
      <c r="J165" s="58">
        <f ca="1">('Total Distance Tables Sup #1'!J176*'Updated Population'!J$158)/('Total Distance Tables Sup #1'!J165*1000000)</f>
        <v>1.1249151622907192</v>
      </c>
      <c r="K165" s="58">
        <f ca="1">('Total Distance Tables Sup #1'!K176*'Updated Population'!K$158)/('Total Distance Tables Sup #1'!K165*1000000)</f>
        <v>1.1374274762571059</v>
      </c>
    </row>
    <row r="166" spans="1:11" x14ac:dyDescent="0.2">
      <c r="A166" t="str">
        <f ca="1">'Total Distance Tables'!A23</f>
        <v>Local Bus</v>
      </c>
      <c r="B166" s="58">
        <f ca="1">('Total Distance Tables Sup #1'!B177*'Updated Population'!B$169)/('Total Distance Tables Sup #1'!B166*1000000)</f>
        <v>1</v>
      </c>
      <c r="C166" s="58">
        <f ca="1">('Total Distance Tables Sup #1'!C177*'Updated Population'!C$169)/('Total Distance Tables Sup #1'!C166*1000000)</f>
        <v>1.0064414699463162</v>
      </c>
      <c r="D166" s="58">
        <f ca="1">('Total Distance Tables Sup #1'!D177*'Updated Population'!D$169)/('Total Distance Tables Sup #1'!D166*1000000)</f>
        <v>1.0118819767283906</v>
      </c>
      <c r="E166" s="58">
        <f ca="1">('Total Distance Tables Sup #1'!E177*'Updated Population'!E$169)/('Total Distance Tables Sup #1'!E166*1000000)</f>
        <v>1.016538406782773</v>
      </c>
      <c r="F166" s="58">
        <f ca="1">('Total Distance Tables Sup #1'!F177*'Updated Population'!F$169)/('Total Distance Tables Sup #1'!F166*1000000)</f>
        <v>1.0211435602388717</v>
      </c>
      <c r="G166" s="58">
        <f ca="1">('Total Distance Tables Sup #1'!G177*'Updated Population'!G$169)/('Total Distance Tables Sup #1'!G166*1000000)</f>
        <v>1.025673930979538</v>
      </c>
      <c r="H166" s="58">
        <f ca="1">('Total Distance Tables Sup #1'!H177*'Updated Population'!H$169)/('Total Distance Tables Sup #1'!H166*1000000)</f>
        <v>1.0301365393529092</v>
      </c>
      <c r="I166" s="58">
        <f ca="1">('Total Distance Tables Sup #1'!I177*'Updated Population'!I$169)/('Total Distance Tables Sup #1'!I166*1000000)</f>
        <v>1.0336939053775605</v>
      </c>
      <c r="J166" s="58">
        <f ca="1">('Total Distance Tables Sup #1'!J177*'Updated Population'!J$169)/('Total Distance Tables Sup #1'!J166*1000000)</f>
        <v>1.0379808459621618</v>
      </c>
      <c r="K166" s="58">
        <f ca="1">('Total Distance Tables Sup #1'!K177*'Updated Population'!K$169)/('Total Distance Tables Sup #1'!K166*1000000)</f>
        <v>1.0422879435949011</v>
      </c>
    </row>
    <row r="167" spans="1:11" x14ac:dyDescent="0.2">
      <c r="A167" t="str">
        <f ca="1">'Total Distance Tables'!A24</f>
        <v>Local Ferry</v>
      </c>
      <c r="B167" s="58">
        <v>1</v>
      </c>
      <c r="C167" s="58">
        <v>1</v>
      </c>
      <c r="D167" s="58">
        <v>1</v>
      </c>
      <c r="E167" s="58">
        <v>1</v>
      </c>
      <c r="F167" s="58">
        <v>1</v>
      </c>
      <c r="G167" s="58">
        <v>1</v>
      </c>
      <c r="H167" s="58">
        <v>1</v>
      </c>
      <c r="I167" s="58">
        <v>1</v>
      </c>
      <c r="J167" s="58">
        <v>1</v>
      </c>
      <c r="K167" s="58">
        <v>1</v>
      </c>
    </row>
    <row r="168" spans="1:11" x14ac:dyDescent="0.2">
      <c r="A168" t="str">
        <f ca="1">'Total Distance Tables'!A25</f>
        <v>Other Household Travel</v>
      </c>
      <c r="B168" s="58">
        <f ca="1">('Total Distance Tables Sup #1'!B179*'Updated Population'!B$158)/('Total Distance Tables Sup #1'!B168*1000000)</f>
        <v>1</v>
      </c>
      <c r="C168" s="58">
        <f ca="1">('Total Distance Tables Sup #1'!C179*'Updated Population'!C$158)/('Total Distance Tables Sup #1'!C168*1000000)</f>
        <v>0.9539014882666168</v>
      </c>
      <c r="D168" s="58">
        <f ca="1">('Total Distance Tables Sup #1'!D179*'Updated Population'!D$158)/('Total Distance Tables Sup #1'!D168*1000000)</f>
        <v>0.91912906469290223</v>
      </c>
      <c r="E168" s="58">
        <f ca="1">('Total Distance Tables Sup #1'!E179*'Updated Population'!E$158)/('Total Distance Tables Sup #1'!E168*1000000)</f>
        <v>0.89053886514675729</v>
      </c>
      <c r="F168" s="58">
        <f ca="1">('Total Distance Tables Sup #1'!F179*'Updated Population'!F$158)/('Total Distance Tables Sup #1'!F168*1000000)</f>
        <v>0.86534054308748132</v>
      </c>
      <c r="G168" s="58">
        <f ca="1">('Total Distance Tables Sup #1'!G179*'Updated Population'!G$158)/('Total Distance Tables Sup #1'!G168*1000000)</f>
        <v>0.84285464891001582</v>
      </c>
      <c r="H168" s="58">
        <f ca="1">('Total Distance Tables Sup #1'!H179*'Updated Population'!H$158)/('Total Distance Tables Sup #1'!H168*1000000)</f>
        <v>0.8224189233894813</v>
      </c>
      <c r="I168" s="58">
        <f ca="1">('Total Distance Tables Sup #1'!I179*'Updated Population'!I$158)/('Total Distance Tables Sup #1'!I168*1000000)</f>
        <v>0.80832919777360168</v>
      </c>
      <c r="J168" s="58">
        <f ca="1">('Total Distance Tables Sup #1'!J179*'Updated Population'!J$158)/('Total Distance Tables Sup #1'!J168*1000000)</f>
        <v>0.79086502369426737</v>
      </c>
      <c r="K168" s="58">
        <f ca="1">('Total Distance Tables Sup #1'!K179*'Updated Population'!K$158)/('Total Distance Tables Sup #1'!K168*1000000)</f>
        <v>0.77420998089188686</v>
      </c>
    </row>
    <row r="169" spans="1:11" x14ac:dyDescent="0.2">
      <c r="A169" t="s">
        <v>67</v>
      </c>
    </row>
    <row r="170" spans="1:11" x14ac:dyDescent="0.2">
      <c r="A170" t="s">
        <v>34</v>
      </c>
      <c r="B170" s="4">
        <f>'[1]Transition '!B$39</f>
        <v>0</v>
      </c>
      <c r="C170" s="4">
        <f>'[1]Transition '!C$39</f>
        <v>149.6667176390672</v>
      </c>
      <c r="D170" s="4">
        <f>'[1]Transition '!D$39</f>
        <v>479.09040598299362</v>
      </c>
      <c r="E170" s="56">
        <f>'[1]Transition '!E$39</f>
        <v>809.17631438213607</v>
      </c>
      <c r="F170" s="4">
        <f>'[1]Transition '!F$39</f>
        <v>970.39278933689013</v>
      </c>
      <c r="G170" s="4">
        <f>'[1]Transition '!G$39</f>
        <v>1134.7104900301629</v>
      </c>
      <c r="H170" s="4">
        <f>'[1]Transition '!H$39</f>
        <v>1300.4296097457241</v>
      </c>
      <c r="I170" s="1">
        <f>'[1]Transition '!I$39</f>
        <v>1464.9089669298294</v>
      </c>
      <c r="J170" s="1">
        <f>'[1]Transition '!J$39</f>
        <v>1640.9940580316547</v>
      </c>
      <c r="K170" s="1">
        <f>'[1]Transition '!K$39</f>
        <v>1837.4276023704674</v>
      </c>
    </row>
    <row r="171" spans="1:11" x14ac:dyDescent="0.2">
      <c r="A171" t="s">
        <v>41</v>
      </c>
      <c r="B171" s="4">
        <f>'[2]Transition '!B$39</f>
        <v>0</v>
      </c>
      <c r="C171" s="4">
        <f>'[2]Transition '!C$39</f>
        <v>1.8125443048732564</v>
      </c>
      <c r="D171" s="4">
        <f>'[2]Transition '!D$39</f>
        <v>24.583470168114673</v>
      </c>
      <c r="E171" s="4">
        <f>'[2]Transition '!E$39</f>
        <v>44.380066406277251</v>
      </c>
      <c r="F171" s="4">
        <f>'[2]Transition '!F$39</f>
        <v>64.240700271677611</v>
      </c>
      <c r="G171" s="4">
        <f>'[2]Transition '!G$39</f>
        <v>83.430739683517118</v>
      </c>
      <c r="H171" s="4">
        <f>'[2]Transition '!H$39</f>
        <v>104.39882007406368</v>
      </c>
      <c r="I171" s="1">
        <f>'[2]Transition '!I$39</f>
        <v>129.18791421694652</v>
      </c>
      <c r="J171" s="1">
        <f>'[2]Transition '!J$39</f>
        <v>156.51792000892442</v>
      </c>
      <c r="K171" s="1">
        <f>'[2]Transition '!K$39</f>
        <v>186.28048406112038</v>
      </c>
    </row>
    <row r="172" spans="1:11" x14ac:dyDescent="0.2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'!B$42</f>
        <v>0</v>
      </c>
      <c r="C173" s="4">
        <f>'[1]Transition '!C$42</f>
        <v>2.7920897337303359</v>
      </c>
      <c r="D173" s="4">
        <f>'[1]Transition '!D$42</f>
        <v>149.0547866152898</v>
      </c>
      <c r="E173" s="56">
        <f>'[1]Transition '!E$42</f>
        <v>291.99274191995642</v>
      </c>
      <c r="F173" s="4">
        <f>'[1]Transition '!F$42</f>
        <v>378.25025298041726</v>
      </c>
      <c r="G173" s="4">
        <f>'[1]Transition '!G$42</f>
        <v>464.60412008258197</v>
      </c>
      <c r="H173" s="4">
        <f>'[1]Transition '!H$42</f>
        <v>554.574613999897</v>
      </c>
      <c r="I173" s="1">
        <f>'[1]Transition '!I$42</f>
        <v>635.10085314243668</v>
      </c>
      <c r="J173" s="1">
        <f>'[1]Transition '!J$42</f>
        <v>722.18756261278156</v>
      </c>
      <c r="K173" s="1">
        <f>'[1]Transition '!K$42</f>
        <v>819.67549985521759</v>
      </c>
    </row>
    <row r="174" spans="1:11" x14ac:dyDescent="0.2">
      <c r="A174" t="s">
        <v>41</v>
      </c>
      <c r="B174" s="4">
        <f>'[2]Transition '!B$42</f>
        <v>0</v>
      </c>
      <c r="C174" s="4">
        <f>'[2]Transition '!C$42</f>
        <v>-0.45467703292075612</v>
      </c>
      <c r="D174" s="4">
        <f>'[2]Transition '!D$42</f>
        <v>17.199542166879439</v>
      </c>
      <c r="E174" s="4">
        <f>'[2]Transition '!E$42</f>
        <v>29.460659222508326</v>
      </c>
      <c r="F174" s="4">
        <f>'[2]Transition '!F$42</f>
        <v>34.226017684354559</v>
      </c>
      <c r="G174" s="4">
        <f>'[2]Transition '!G$42</f>
        <v>39.776190632410533</v>
      </c>
      <c r="H174" s="4">
        <f>'[2]Transition '!H$42</f>
        <v>46.279323381775384</v>
      </c>
      <c r="I174" s="1">
        <f>'[2]Transition '!I$42</f>
        <v>50.816708145982744</v>
      </c>
      <c r="J174" s="1">
        <f>'[2]Transition '!J$42</f>
        <v>56.04924435355656</v>
      </c>
      <c r="K174" s="1">
        <f>'[2]Transition '!K$42</f>
        <v>61.816529624469467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T190"/>
  <sheetViews>
    <sheetView workbookViewId="0">
      <pane xSplit="1" ySplit="3" topLeftCell="B131" activePane="bottomRight" state="frozen"/>
      <selection pane="topRight" activeCell="B1" sqref="B1"/>
      <selection pane="bottomLeft" activeCell="A4" sqref="A4"/>
      <selection pane="bottomRight" activeCell="L23" sqref="L23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70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OFFSET(Northland_Reference,0,6)</f>
        <v>17.849116999</v>
      </c>
      <c r="C5" s="4">
        <f ca="1">$B5*('Updated Population'!C$4/'Updated Population'!$B$4)*('Total Distance Tables Sup #1'!C170/'Total Distance Tables Sup #1'!$B170)</f>
        <v>18.579544634943744</v>
      </c>
      <c r="D5" s="4">
        <f ca="1">$B5*('Updated Population'!D$4/'Updated Population'!$B$4)*('Total Distance Tables Sup #1'!D170/'Total Distance Tables Sup #1'!$B170)</f>
        <v>18.622585922121843</v>
      </c>
      <c r="E5" s="4">
        <f ca="1">$B5*('Updated Population'!E$4/'Updated Population'!$B$4)*('Total Distance Tables Sup #1'!E170/'Total Distance Tables Sup #1'!$B170)</f>
        <v>18.309716847313751</v>
      </c>
      <c r="F5" s="4">
        <f ca="1">$B5*('Updated Population'!F$4/'Updated Population'!$B$4)*('Total Distance Tables Sup #1'!F170/'Total Distance Tables Sup #1'!$B170)</f>
        <v>17.82201976117334</v>
      </c>
      <c r="G5" s="4">
        <f ca="1">$B5*('Updated Population'!G$4/'Updated Population'!$B$4)*('Total Distance Tables Sup #1'!G170/'Total Distance Tables Sup #1'!$B170)</f>
        <v>17.3306353644758</v>
      </c>
      <c r="H5" s="4">
        <f ca="1">$B5*('Updated Population'!H$4/'Updated Population'!$B$4)*('Total Distance Tables Sup #1'!H170/'Total Distance Tables Sup #1'!$B170)</f>
        <v>16.738333137021936</v>
      </c>
      <c r="I5" s="1">
        <f ca="1">$B5*('Updated Population'!I$4/'Updated Population'!$B$4)*('Total Distance Tables Sup #1'!I170/'Total Distance Tables Sup #1'!$B170)</f>
        <v>16.817721302148545</v>
      </c>
      <c r="J5" s="1">
        <f ca="1">$B5*('Updated Population'!J$4/'Updated Population'!$B$4)*('Total Distance Tables Sup #1'!J170/'Total Distance Tables Sup #1'!$B170)</f>
        <v>16.843698387608171</v>
      </c>
      <c r="K5" s="1">
        <f ca="1">$B5*('Updated Population'!K$4/'Updated Population'!$B$4)*('Total Distance Tables Sup #1'!K170/'Total Distance Tables Sup #1'!$B170)</f>
        <v>16.833461489612979</v>
      </c>
    </row>
    <row r="6" spans="1:11" x14ac:dyDescent="0.2">
      <c r="A6" t="str">
        <f ca="1">OFFSET(Northland_Reference,7,2)</f>
        <v>Cyclist</v>
      </c>
      <c r="B6" s="4">
        <f ca="1">OFFSET(Northland_Reference,7,6)</f>
        <v>1.0072239942000001</v>
      </c>
      <c r="C6" s="4">
        <f ca="1">$B6*('Updated Population'!C$4/'Updated Population'!$B$4)*('Total Distance Tables Sup #1'!C171/'Total Distance Tables Sup #1'!$B171)</f>
        <v>1.0592185318401044</v>
      </c>
      <c r="D6" s="4">
        <f ca="1">$B6*('Updated Population'!D$4/'Updated Population'!$B$4)*('Total Distance Tables Sup #1'!D171/'Total Distance Tables Sup #1'!$B171)</f>
        <v>1.1081197623433474</v>
      </c>
      <c r="E6" s="4">
        <f ca="1">$B6*('Updated Population'!E$4/'Updated Population'!$B$4)*('Total Distance Tables Sup #1'!E171/'Total Distance Tables Sup #1'!$B171)</f>
        <v>1.1024215708503429</v>
      </c>
      <c r="F6" s="4">
        <f ca="1">$B6*('Updated Population'!F$4/'Updated Population'!$B$4)*('Total Distance Tables Sup #1'!F171/'Total Distance Tables Sup #1'!$B171)</f>
        <v>1.108245172502673</v>
      </c>
      <c r="G6" s="4">
        <f ca="1">$B6*('Updated Population'!G$4/'Updated Population'!$B$4)*('Total Distance Tables Sup #1'!G171/'Total Distance Tables Sup #1'!$B171)</f>
        <v>1.1284958052768885</v>
      </c>
      <c r="H6" s="4">
        <f ca="1">$B6*('Updated Population'!H$4/'Updated Population'!$B$4)*('Total Distance Tables Sup #1'!H171/'Total Distance Tables Sup #1'!$B171)</f>
        <v>1.14272213467418</v>
      </c>
      <c r="I6" s="1">
        <f ca="1">$B6*('Updated Population'!I$4/'Updated Population'!$B$4)*('Total Distance Tables Sup #1'!I171/'Total Distance Tables Sup #1'!$B171)</f>
        <v>1.1481419463590541</v>
      </c>
      <c r="J6" s="1">
        <f ca="1">$B6*('Updated Population'!J$4/'Updated Population'!$B$4)*('Total Distance Tables Sup #1'!J171/'Total Distance Tables Sup #1'!$B171)</f>
        <v>1.1499153959795174</v>
      </c>
      <c r="K6" s="1">
        <f ca="1">$B6*('Updated Population'!K$4/'Updated Population'!$B$4)*('Total Distance Tables Sup #1'!K171/'Total Distance Tables Sup #1'!$B171)</f>
        <v>1.1492165253193538</v>
      </c>
    </row>
    <row r="7" spans="1:11" x14ac:dyDescent="0.2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$B7*('Updated Population'!C$4/'Updated Population'!$B$4)*('Total Distance Tables Sup #1'!C172/'Total Distance Tables Sup #1'!$B172)</f>
        <v>1097.4647512561801</v>
      </c>
      <c r="D7" s="4">
        <f ca="1">$B7*('Updated Population'!D$4/'Updated Population'!$B$4)*('Total Distance Tables Sup #1'!D172/'Total Distance Tables Sup #1'!$B172)</f>
        <v>1135.3278628234532</v>
      </c>
      <c r="E7" s="4">
        <f ca="1">$B7*('Updated Population'!E$4/'Updated Population'!$B$4)*('Total Distance Tables Sup #1'!E172/'Total Distance Tables Sup #1'!$B172)</f>
        <v>1168.5995526281538</v>
      </c>
      <c r="F7" s="4">
        <f ca="1">$B7*('Updated Population'!F$4/'Updated Population'!$B$4)*('Total Distance Tables Sup #1'!F172/'Total Distance Tables Sup #1'!$B172)</f>
        <v>1186.7754536719494</v>
      </c>
      <c r="G7" s="4">
        <f ca="1">$B7*('Updated Population'!G$4/'Updated Population'!$B$4)*('Total Distance Tables Sup #1'!G172/'Total Distance Tables Sup #1'!$B172)</f>
        <v>1189.5247086576685</v>
      </c>
      <c r="H7" s="4">
        <f ca="1">$B7*('Updated Population'!H$4/'Updated Population'!$B$4)*('Total Distance Tables Sup #1'!H172/'Total Distance Tables Sup #1'!$B172)</f>
        <v>1180.6765035700118</v>
      </c>
      <c r="I7" s="1">
        <f ca="1">$B7*('Updated Population'!I$4/'Updated Population'!$B$4)*('Total Distance Tables Sup #1'!I172/'Total Distance Tables Sup #1'!$B172)</f>
        <v>1186.2763288608114</v>
      </c>
      <c r="J7" s="1">
        <f ca="1">$B7*('Updated Population'!J$4/'Updated Population'!$B$4)*('Total Distance Tables Sup #1'!J172/'Total Distance Tables Sup #1'!$B172)</f>
        <v>1188.1086818306285</v>
      </c>
      <c r="K7" s="1">
        <f ca="1">$B7*('Updated Population'!K$4/'Updated Population'!$B$4)*('Total Distance Tables Sup #1'!K172/'Total Distance Tables Sup #1'!$B172)</f>
        <v>1187.3865988828568</v>
      </c>
    </row>
    <row r="8" spans="1:11" x14ac:dyDescent="0.2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$B8*('Updated Population'!C$4/'Updated Population'!$B$4)*('Total Distance Tables Sup #1'!C173/'Total Distance Tables Sup #1'!$B173)</f>
        <v>690.83454922628835</v>
      </c>
      <c r="D8" s="4">
        <f ca="1">$B8*('Updated Population'!D$4/'Updated Population'!$B$4)*('Total Distance Tables Sup #1'!D173/'Total Distance Tables Sup #1'!$B173)</f>
        <v>706.4152741717329</v>
      </c>
      <c r="E8" s="4">
        <f ca="1">$B8*('Updated Population'!E$4/'Updated Population'!$B$4)*('Total Distance Tables Sup #1'!E173/'Total Distance Tables Sup #1'!$B173)</f>
        <v>716.79502390859977</v>
      </c>
      <c r="F8" s="4">
        <f ca="1">$B8*('Updated Population'!F$4/'Updated Population'!$B$4)*('Total Distance Tables Sup #1'!F173/'Total Distance Tables Sup #1'!$B173)</f>
        <v>718.72344771058863</v>
      </c>
      <c r="G8" s="4">
        <f ca="1">$B8*('Updated Population'!G$4/'Updated Population'!$B$4)*('Total Distance Tables Sup #1'!G173/'Total Distance Tables Sup #1'!$B173)</f>
        <v>715.41093703508295</v>
      </c>
      <c r="H8" s="4">
        <f ca="1">$B8*('Updated Population'!H$4/'Updated Population'!$B$4)*('Total Distance Tables Sup #1'!H173/'Total Distance Tables Sup #1'!$B173)</f>
        <v>706.34421030690476</v>
      </c>
      <c r="I8" s="1">
        <f ca="1">$B8*('Updated Population'!I$4/'Updated Population'!$B$4)*('Total Distance Tables Sup #1'!I173/'Total Distance Tables Sup #1'!$B173)</f>
        <v>709.69432709243108</v>
      </c>
      <c r="J8" s="1">
        <f ca="1">$B8*('Updated Population'!J$4/'Updated Population'!$B$4)*('Total Distance Tables Sup #1'!J173/'Total Distance Tables Sup #1'!$B173)</f>
        <v>710.79053922806315</v>
      </c>
      <c r="K8" s="1">
        <f ca="1">$B8*('Updated Population'!K$4/'Updated Population'!$B$4)*('Total Distance Tables Sup #1'!K173/'Total Distance Tables Sup #1'!$B173)</f>
        <v>710.35855035729469</v>
      </c>
    </row>
    <row r="9" spans="1:11" x14ac:dyDescent="0.2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$B9*('Updated Population'!C$4/'Updated Population'!$B$4)*('Total Distance Tables Sup #1'!C174/'Total Distance Tables Sup #1'!$B174)</f>
        <v>0.8716627125802684</v>
      </c>
      <c r="D9" s="4">
        <f ca="1">$B9*('Updated Population'!D$4/'Updated Population'!$B$4)*('Total Distance Tables Sup #1'!D174/'Total Distance Tables Sup #1'!$B174)</f>
        <v>0.97990881246059969</v>
      </c>
      <c r="E9" s="4">
        <f ca="1">$B9*('Updated Population'!E$4/'Updated Population'!$B$4)*('Total Distance Tables Sup #1'!E174/'Total Distance Tables Sup #1'!$B174)</f>
        <v>1.0709780531267425</v>
      </c>
      <c r="F9" s="4">
        <f ca="1">$B9*('Updated Population'!F$4/'Updated Population'!$B$4)*('Total Distance Tables Sup #1'!F174/'Total Distance Tables Sup #1'!$B174)</f>
        <v>1.1390150060883477</v>
      </c>
      <c r="G9" s="4">
        <f ca="1">$B9*('Updated Population'!G$4/'Updated Population'!$B$4)*('Total Distance Tables Sup #1'!G174/'Total Distance Tables Sup #1'!$B174)</f>
        <v>1.1805617993366069</v>
      </c>
      <c r="H9" s="4">
        <f ca="1">$B9*('Updated Population'!H$4/'Updated Population'!$B$4)*('Total Distance Tables Sup #1'!H174/'Total Distance Tables Sup #1'!$B174)</f>
        <v>1.2056543360176883</v>
      </c>
      <c r="I9" s="1">
        <f ca="1">$B9*('Updated Population'!I$4/'Updated Population'!$B$4)*('Total Distance Tables Sup #1'!I174/'Total Distance Tables Sup #1'!$B174)</f>
        <v>1.211372628557922</v>
      </c>
      <c r="J9" s="1">
        <f ca="1">$B9*('Updated Population'!J$4/'Updated Population'!$B$4)*('Total Distance Tables Sup #1'!J174/'Total Distance Tables Sup #1'!$B174)</f>
        <v>1.2132437459186007</v>
      </c>
      <c r="K9" s="1">
        <f ca="1">$B9*('Updated Population'!K$4/'Updated Population'!$B$4)*('Total Distance Tables Sup #1'!K174/'Total Distance Tables Sup #1'!$B174)</f>
        <v>1.2125063869262662</v>
      </c>
    </row>
    <row r="10" spans="1:11" x14ac:dyDescent="0.2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$B10*('Updated Population'!C$4/'Updated Population'!$B$4)*('Total Distance Tables Sup #1'!C175/'Total Distance Tables Sup #1'!$B175)</f>
        <v>9.9029995996629125</v>
      </c>
      <c r="D10" s="4">
        <f ca="1">$B10*('Updated Population'!D$4/'Updated Population'!$B$4)*('Total Distance Tables Sup #1'!D175/'Total Distance Tables Sup #1'!$B175)</f>
        <v>10.243253517254486</v>
      </c>
      <c r="E10" s="4">
        <f ca="1">$B10*('Updated Population'!E$4/'Updated Population'!$B$4)*('Total Distance Tables Sup #1'!E175/'Total Distance Tables Sup #1'!$B175)</f>
        <v>10.272640071597598</v>
      </c>
      <c r="F10" s="4">
        <f ca="1">$B10*('Updated Population'!F$4/'Updated Population'!$B$4)*('Total Distance Tables Sup #1'!F175/'Total Distance Tables Sup #1'!$B175)</f>
        <v>10.055095232209087</v>
      </c>
      <c r="G10" s="4">
        <f ca="1">$B10*('Updated Population'!G$4/'Updated Population'!$B$4)*('Total Distance Tables Sup #1'!G175/'Total Distance Tables Sup #1'!$B175)</f>
        <v>9.6119357653061925</v>
      </c>
      <c r="H10" s="4">
        <f ca="1">$B10*('Updated Population'!H$4/'Updated Population'!$B$4)*('Total Distance Tables Sup #1'!H175/'Total Distance Tables Sup #1'!$B175)</f>
        <v>9.0803200210061448</v>
      </c>
      <c r="I10" s="1">
        <f ca="1">$B10*('Updated Population'!I$4/'Updated Population'!$B$4)*('Total Distance Tables Sup #1'!I175/'Total Distance Tables Sup #1'!$B175)</f>
        <v>9.1233870300881694</v>
      </c>
      <c r="J10" s="1">
        <f ca="1">$B10*('Updated Population'!J$4/'Updated Population'!$B$4)*('Total Distance Tables Sup #1'!J175/'Total Distance Tables Sup #1'!$B175)</f>
        <v>9.1374792486654606</v>
      </c>
      <c r="K10" s="1">
        <f ca="1">$B10*('Updated Population'!K$4/'Updated Population'!$B$4)*('Total Distance Tables Sup #1'!K175/'Total Distance Tables Sup #1'!$B175)</f>
        <v>9.1319258695411598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Distance Tables Sup #1'!C176/'Total Distance Tables Sup #1'!$B176)</f>
        <v>0</v>
      </c>
      <c r="D11" s="4">
        <f ca="1">$B11*('Updated Population'!D$4/'Updated Population'!$B$4)*('Total Distance Tables Sup #1'!D176/'Total Distance Tables Sup #1'!$B176)</f>
        <v>0</v>
      </c>
      <c r="E11" s="4">
        <f ca="1">$B11*('Updated Population'!E$4/'Updated Population'!$B$4)*('Total Distance Tables Sup #1'!E176/'Total Distance Tables Sup #1'!$B176)</f>
        <v>0</v>
      </c>
      <c r="F11" s="4">
        <f ca="1">$B11*('Updated Population'!F$4/'Updated Population'!$B$4)*('Total Distance Tables Sup #1'!F176/'Total Distance Tables Sup #1'!$B176)</f>
        <v>0</v>
      </c>
      <c r="G11" s="4">
        <f ca="1">$B11*('Updated Population'!G$4/'Updated Population'!$B$4)*('Total Distance Tables Sup #1'!G176/'Total Distance Tables Sup #1'!$B176)</f>
        <v>0</v>
      </c>
      <c r="H11" s="4">
        <f ca="1">$B11*('Updated Population'!H$4/'Updated Population'!$B$4)*('Total Distance Tables Sup #1'!H176/'Total Distance Tables Sup #1'!$B176)</f>
        <v>0</v>
      </c>
      <c r="I11" s="1">
        <f ca="1">$B11*('Updated Population'!I$4/'Updated Population'!$B$4)*('Total Distance Tables Sup #1'!I176/'Total Distance Tables Sup #1'!$B176)</f>
        <v>0</v>
      </c>
      <c r="J11" s="1">
        <f ca="1">$B11*('Updated Population'!J$4/'Updated Population'!$B$4)*('Total Distance Tables Sup #1'!J176/'Total Distance Tables Sup #1'!$B176)</f>
        <v>0</v>
      </c>
      <c r="K11" s="1">
        <f ca="1">$B11*('Updated Population'!K$4/'Updated Population'!$B$4)*('Total Distance Tables Sup #1'!K176/'Total Distance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$B12*('Updated Population'!C$4/'Updated Population'!$B$4)*('Total Distance Tables Sup #1'!C177/'Total Distance Tables Sup #1'!$B177)</f>
        <v>41.019621500166217</v>
      </c>
      <c r="D12" s="4">
        <f ca="1">$B12*('Updated Population'!D$4/'Updated Population'!$B$4)*('Total Distance Tables Sup #1'!D177/'Total Distance Tables Sup #1'!$B177)</f>
        <v>40.641644788156633</v>
      </c>
      <c r="E12" s="4">
        <f ca="1">$B12*('Updated Population'!E$4/'Updated Population'!$B$4)*('Total Distance Tables Sup #1'!E177/'Total Distance Tables Sup #1'!$B177)</f>
        <v>39.377799668640357</v>
      </c>
      <c r="F12" s="4">
        <f ca="1">$B12*('Updated Population'!F$4/'Updated Population'!$B$4)*('Total Distance Tables Sup #1'!F177/'Total Distance Tables Sup #1'!$B177)</f>
        <v>37.733954610382185</v>
      </c>
      <c r="G12" s="4">
        <f ca="1">$B12*('Updated Population'!G$4/'Updated Population'!$B$4)*('Total Distance Tables Sup #1'!G177/'Total Distance Tables Sup #1'!$B177)</f>
        <v>36.544531415073457</v>
      </c>
      <c r="H12" s="4">
        <f ca="1">$B12*('Updated Population'!H$4/'Updated Population'!$B$4)*('Total Distance Tables Sup #1'!H177/'Total Distance Tables Sup #1'!$B177)</f>
        <v>35.340059203725403</v>
      </c>
      <c r="I12" s="1">
        <f ca="1">$B12*('Updated Population'!I$4/'Updated Population'!$B$4)*('Total Distance Tables Sup #1'!I177/'Total Distance Tables Sup #1'!$B177)</f>
        <v>35.507673411943308</v>
      </c>
      <c r="J12" s="1">
        <f ca="1">$B12*('Updated Population'!J$4/'Updated Population'!$B$4)*('Total Distance Tables Sup #1'!J177/'Total Distance Tables Sup #1'!$B177)</f>
        <v>35.562519478786911</v>
      </c>
      <c r="K12" s="1">
        <f ca="1">$B12*('Updated Population'!K$4/'Updated Population'!$B$4)*('Total Distance Tables Sup #1'!K177/'Total Distance Tables Sup #1'!$B177)</f>
        <v>35.540906061354534</v>
      </c>
    </row>
    <row r="13" spans="1:11" x14ac:dyDescent="0.2">
      <c r="A13" t="str">
        <f ca="1">OFFSET(Northland_Reference,49,2)</f>
        <v>Local Ferry</v>
      </c>
      <c r="B13" s="4">
        <f ca="1">OFFSET(Northland_Reference,49,6)</f>
        <v>0</v>
      </c>
      <c r="C13" s="4">
        <f ca="1">$B13*('Updated Population'!C$4/'Updated Population'!$B$4)*('Total Distance Tables Sup #1'!C178/'Total Distance Tables Sup #1'!$B178)</f>
        <v>0</v>
      </c>
      <c r="D13" s="4">
        <f ca="1">$B13*('Updated Population'!D$4/'Updated Population'!$B$4)*('Total Distance Tables Sup #1'!D178/'Total Distance Tables Sup #1'!$B178)</f>
        <v>0</v>
      </c>
      <c r="E13" s="4">
        <f ca="1">$B13*('Updated Population'!E$4/'Updated Population'!$B$4)*('Total Distance Tables Sup #1'!E178/'Total Distance Tables Sup #1'!$B178)</f>
        <v>0</v>
      </c>
      <c r="F13" s="4">
        <f ca="1">$B13*('Updated Population'!F$4/'Updated Population'!$B$4)*('Total Distance Tables Sup #1'!F178/'Total Distance Tables Sup #1'!$B178)</f>
        <v>0</v>
      </c>
      <c r="G13" s="4">
        <f ca="1">$B13*('Updated Population'!G$4/'Updated Population'!$B$4)*('Total Distance Tables Sup #1'!G178/'Total Distance Tables Sup #1'!$B178)</f>
        <v>0</v>
      </c>
      <c r="H13" s="4">
        <f ca="1">$B13*('Updated Population'!H$4/'Updated Population'!$B$4)*('Total Distance Tables Sup #1'!H178/'Total Distance Tables Sup #1'!$B178)</f>
        <v>0</v>
      </c>
      <c r="I13" s="1">
        <f ca="1">$B13*('Updated Population'!I$4/'Updated Population'!$B$4)*('Total Distance Tables Sup #1'!I178/'Total Distance Tables Sup #1'!$B178)</f>
        <v>0</v>
      </c>
      <c r="J13" s="1">
        <f ca="1">$B13*('Updated Population'!J$4/'Updated Population'!$B$4)*('Total Distance Tables Sup #1'!J178/'Total Distance Tables Sup #1'!$B178)</f>
        <v>0</v>
      </c>
      <c r="K13" s="1">
        <f ca="1">$B13*('Updated Population'!K$4/'Updated Population'!$B$4)*('Total Distance Tables Sup #1'!K178/'Total Distance Tables Sup #1'!$B178)</f>
        <v>0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$B14*('Updated Population'!C$4/'Updated Population'!$B$4)*('Total Distance Tables Sup #1'!C179/'Total Distance Tables Sup #1'!$B179)</f>
        <v>0</v>
      </c>
      <c r="D14" s="4">
        <f ca="1">$B14*('Updated Population'!D$4/'Updated Population'!$B$4)*('Total Distance Tables Sup #1'!D179/'Total Distance Tables Sup #1'!$B179)</f>
        <v>0</v>
      </c>
      <c r="E14" s="4">
        <f ca="1">$B14*('Updated Population'!E$4/'Updated Population'!$B$4)*('Total Distance Tables Sup #1'!E179/'Total Distance Tables Sup #1'!$B179)</f>
        <v>0</v>
      </c>
      <c r="F14" s="4">
        <f ca="1">$B14*('Updated Population'!F$4/'Updated Population'!$B$4)*('Total Distance Tables Sup #1'!F179/'Total Distance Tables Sup #1'!$B179)</f>
        <v>0</v>
      </c>
      <c r="G14" s="4">
        <f ca="1">$B14*('Updated Population'!G$4/'Updated Population'!$B$4)*('Total Distance Tables Sup #1'!G179/'Total Distance Tables Sup #1'!$B179)</f>
        <v>0</v>
      </c>
      <c r="H14" s="4">
        <f ca="1">$B14*('Updated Population'!H$4/'Updated Population'!$B$4)*('Total Distance Tables Sup #1'!H179/'Total Distance Tables Sup #1'!$B179)</f>
        <v>0</v>
      </c>
      <c r="I14" s="1">
        <f ca="1">$B14*('Updated Population'!I$4/'Updated Population'!$B$4)*('Total Distance Tables Sup #1'!I179/'Total Distance Tables Sup #1'!$B179)</f>
        <v>0</v>
      </c>
      <c r="J14" s="1">
        <f ca="1">$B14*('Updated Population'!J$4/'Updated Population'!$B$4)*('Total Distance Tables Sup #1'!J179/'Total Distance Tables Sup #1'!$B179)</f>
        <v>0</v>
      </c>
      <c r="K14" s="1">
        <f ca="1">$B14*('Updated Population'!K$4/'Updated Population'!$B$4)*('Total Distance Tables Sup #1'!K179/'Total Distance Tables Sup #1'!$B179)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$B16*('Updated Population'!C$15/'Updated Population'!$B$15)*('Total Distance Tables Sup #1'!C170/'Total Distance Tables Sup #1'!$B170)</f>
        <v>336.5356435633451</v>
      </c>
      <c r="D16" s="4">
        <f ca="1">$B16*('Updated Population'!D$15/'Updated Population'!$B$15)*('Total Distance Tables Sup #1'!D170/'Total Distance Tables Sup #1'!$B170)</f>
        <v>364.21405351877081</v>
      </c>
      <c r="E16" s="4">
        <f ca="1">$B16*('Updated Population'!E$15/'Updated Population'!$B$15)*('Total Distance Tables Sup #1'!E170/'Total Distance Tables Sup #1'!$B170)</f>
        <v>383.45474596052884</v>
      </c>
      <c r="F16" s="4">
        <f ca="1">$B16*('Updated Population'!F$15/'Updated Population'!$B$15)*('Total Distance Tables Sup #1'!F170/'Total Distance Tables Sup #1'!$B170)</f>
        <v>399.01342916685564</v>
      </c>
      <c r="G16" s="4">
        <f ca="1">$B16*('Updated Population'!G$15/'Updated Population'!$B$15)*('Total Distance Tables Sup #1'!G170/'Total Distance Tables Sup #1'!$B170)</f>
        <v>413.98915674734235</v>
      </c>
      <c r="H16" s="4">
        <f ca="1">$B16*('Updated Population'!H$15/'Updated Population'!$B$15)*('Total Distance Tables Sup #1'!H170/'Total Distance Tables Sup #1'!$B170)</f>
        <v>426.09004969093218</v>
      </c>
      <c r="I16" s="1">
        <f ca="1">$B16*('Updated Population'!I$15/'Updated Population'!$B$15)*('Total Distance Tables Sup #1'!I170/'Total Distance Tables Sup #1'!$B170)</f>
        <v>448.80427626647042</v>
      </c>
      <c r="J16" s="1">
        <f ca="1">$B16*('Updated Population'!J$15/'Updated Population'!$B$15)*('Total Distance Tables Sup #1'!J170/'Total Distance Tables Sup #1'!$B170)</f>
        <v>477.63848512614453</v>
      </c>
      <c r="K16" s="1">
        <f ca="1">$B16*('Updated Population'!K$15/'Updated Population'!$B$15)*('Total Distance Tables Sup #1'!K170/'Total Distance Tables Sup #1'!$B170)</f>
        <v>507.61415891980062</v>
      </c>
    </row>
    <row r="17" spans="1:11" x14ac:dyDescent="0.2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$B17*('Updated Population'!C$15/'Updated Population'!$B$15)*('Total Distance Tables Sup #1'!C171/'Total Distance Tables Sup #1'!$B171)</f>
        <v>64.456715851856515</v>
      </c>
      <c r="D17" s="4">
        <f ca="1">$B17*('Updated Population'!D$15/'Updated Population'!$B$15)*('Total Distance Tables Sup #1'!D171/'Total Distance Tables Sup #1'!$B171)</f>
        <v>72.809829407038762</v>
      </c>
      <c r="E17" s="4">
        <f ca="1">$B17*('Updated Population'!E$15/'Updated Population'!$B$15)*('Total Distance Tables Sup #1'!E171/'Total Distance Tables Sup #1'!$B171)</f>
        <v>77.565177770407203</v>
      </c>
      <c r="F17" s="4">
        <f ca="1">$B17*('Updated Population'!F$15/'Updated Population'!$B$15)*('Total Distance Tables Sup #1'!F171/'Total Distance Tables Sup #1'!$B171)</f>
        <v>83.359104489516568</v>
      </c>
      <c r="G17" s="4">
        <f ca="1">$B17*('Updated Population'!G$15/'Updated Population'!$B$15)*('Total Distance Tables Sup #1'!G171/'Total Distance Tables Sup #1'!$B171)</f>
        <v>90.565133379835387</v>
      </c>
      <c r="H17" s="4">
        <f ca="1">$B17*('Updated Population'!H$15/'Updated Population'!$B$15)*('Total Distance Tables Sup #1'!H171/'Total Distance Tables Sup #1'!$B171)</f>
        <v>97.727418210081467</v>
      </c>
      <c r="I17" s="1">
        <f ca="1">$B17*('Updated Population'!I$15/'Updated Population'!$B$15)*('Total Distance Tables Sup #1'!I171/'Total Distance Tables Sup #1'!$B171)</f>
        <v>102.93712146758848</v>
      </c>
      <c r="J17" s="1">
        <f ca="1">$B17*('Updated Population'!J$15/'Updated Population'!$B$15)*('Total Distance Tables Sup #1'!J171/'Total Distance Tables Sup #1'!$B171)</f>
        <v>109.55049530729721</v>
      </c>
      <c r="K17" s="1">
        <f ca="1">$B17*('Updated Population'!K$15/'Updated Population'!$B$15)*('Total Distance Tables Sup #1'!K171/'Total Distance Tables Sup #1'!$B171)</f>
        <v>116.42567394872877</v>
      </c>
    </row>
    <row r="18" spans="1:11" x14ac:dyDescent="0.2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$B18*('Updated Population'!C$15/'Updated Population'!$B$15)*('Total Distance Tables Sup #1'!C172/'Total Distance Tables Sup #1'!$B172)</f>
        <v>11164.586628265961</v>
      </c>
      <c r="D18" s="4">
        <f ca="1">$B18*('Updated Population'!D$15/'Updated Population'!$B$15)*('Total Distance Tables Sup #1'!D172/'Total Distance Tables Sup #1'!$B172)</f>
        <v>12470.793090404344</v>
      </c>
      <c r="E18" s="4">
        <f ca="1">$B18*('Updated Population'!E$15/'Updated Population'!$B$15)*('Total Distance Tables Sup #1'!E172/'Total Distance Tables Sup #1'!$B172)</f>
        <v>13745.301473256815</v>
      </c>
      <c r="F18" s="4">
        <f ca="1">$B18*('Updated Population'!F$15/'Updated Population'!$B$15)*('Total Distance Tables Sup #1'!F172/'Total Distance Tables Sup #1'!$B172)</f>
        <v>14922.968128998575</v>
      </c>
      <c r="G18" s="4">
        <f ca="1">$B18*('Updated Population'!G$15/'Updated Population'!$B$15)*('Total Distance Tables Sup #1'!G172/'Total Distance Tables Sup #1'!$B172)</f>
        <v>15958.938959559184</v>
      </c>
      <c r="H18" s="4">
        <f ca="1">$B18*('Updated Population'!H$15/'Updated Population'!$B$15)*('Total Distance Tables Sup #1'!H172/'Total Distance Tables Sup #1'!$B172)</f>
        <v>16880.144903653258</v>
      </c>
      <c r="I18" s="1">
        <f ca="1">$B18*('Updated Population'!I$15/'Updated Population'!$B$15)*('Total Distance Tables Sup #1'!I172/'Total Distance Tables Sup #1'!$B172)</f>
        <v>17780.000312733133</v>
      </c>
      <c r="J18" s="1">
        <f ca="1">$B18*('Updated Population'!J$15/'Updated Population'!$B$15)*('Total Distance Tables Sup #1'!J172/'Total Distance Tables Sup #1'!$B172)</f>
        <v>18922.307259554709</v>
      </c>
      <c r="K18" s="1">
        <f ca="1">$B18*('Updated Population'!K$15/'Updated Population'!$B$15)*('Total Distance Tables Sup #1'!K172/'Total Distance Tables Sup #1'!$B172)</f>
        <v>20109.834913834791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$B19*('Updated Population'!C$15/'Updated Population'!$B$15)*('Total Distance Tables Sup #1'!C173/'Total Distance Tables Sup #1'!$B173)</f>
        <v>5479.5986794047594</v>
      </c>
      <c r="D19" s="4">
        <f ca="1">$B19*('Updated Population'!D$15/'Updated Population'!$B$15)*('Total Distance Tables Sup #1'!D173/'Total Distance Tables Sup #1'!$B173)</f>
        <v>6050.0016674311546</v>
      </c>
      <c r="E19" s="4">
        <f ca="1">$B19*('Updated Population'!E$15/'Updated Population'!$B$15)*('Total Distance Tables Sup #1'!E173/'Total Distance Tables Sup #1'!$B173)</f>
        <v>6573.6438586979421</v>
      </c>
      <c r="F19" s="4">
        <f ca="1">$B19*('Updated Population'!F$15/'Updated Population'!$B$15)*('Total Distance Tables Sup #1'!F173/'Total Distance Tables Sup #1'!$B173)</f>
        <v>7046.4618638908951</v>
      </c>
      <c r="G19" s="4">
        <f ca="1">$B19*('Updated Population'!G$15/'Updated Population'!$B$15)*('Total Distance Tables Sup #1'!G173/'Total Distance Tables Sup #1'!$B173)</f>
        <v>7483.5688267737478</v>
      </c>
      <c r="H19" s="4">
        <f ca="1">$B19*('Updated Population'!H$15/'Updated Population'!$B$15)*('Total Distance Tables Sup #1'!H173/'Total Distance Tables Sup #1'!$B173)</f>
        <v>7873.7981208839656</v>
      </c>
      <c r="I19" s="1">
        <f ca="1">$B19*('Updated Population'!I$15/'Updated Population'!$B$15)*('Total Distance Tables Sup #1'!I173/'Total Distance Tables Sup #1'!$B173)</f>
        <v>8293.5385833930868</v>
      </c>
      <c r="J19" s="1">
        <f ca="1">$B19*('Updated Population'!J$15/'Updated Population'!$B$15)*('Total Distance Tables Sup #1'!J173/'Total Distance Tables Sup #1'!$B173)</f>
        <v>8826.3713489109814</v>
      </c>
      <c r="K19" s="1">
        <f ca="1">$B19*('Updated Population'!K$15/'Updated Population'!$B$15)*('Total Distance Tables Sup #1'!K173/'Total Distance Tables Sup #1'!$B173)</f>
        <v>9380.2974595064334</v>
      </c>
    </row>
    <row r="20" spans="1:11" x14ac:dyDescent="0.2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$B20*('Updated Population'!C$15/'Updated Population'!$B$15)*('Total Distance Tables Sup #1'!C174/'Total Distance Tables Sup #1'!$B174)</f>
        <v>51.827116132837446</v>
      </c>
      <c r="D20" s="4">
        <f ca="1">$B20*('Updated Population'!D$15/'Updated Population'!$B$15)*('Total Distance Tables Sup #1'!D174/'Total Distance Tables Sup #1'!$B174)</f>
        <v>62.909313860315834</v>
      </c>
      <c r="E20" s="4">
        <f ca="1">$B20*('Updated Population'!E$15/'Updated Population'!$B$15)*('Total Distance Tables Sup #1'!E174/'Total Distance Tables Sup #1'!$B174)</f>
        <v>73.625055093722622</v>
      </c>
      <c r="F20" s="4">
        <f ca="1">$B20*('Updated Population'!F$15/'Updated Population'!$B$15)*('Total Distance Tables Sup #1'!F174/'Total Distance Tables Sup #1'!$B174)</f>
        <v>83.709087892925481</v>
      </c>
      <c r="G20" s="4">
        <f ca="1">$B20*('Updated Population'!G$15/'Updated Population'!$B$15)*('Total Distance Tables Sup #1'!G174/'Total Distance Tables Sup #1'!$B174)</f>
        <v>92.571175790389461</v>
      </c>
      <c r="H20" s="4">
        <f ca="1">$B20*('Updated Population'!H$15/'Updated Population'!$B$15)*('Total Distance Tables Sup #1'!H174/'Total Distance Tables Sup #1'!$B174)</f>
        <v>100.74524792922294</v>
      </c>
      <c r="I20" s="1">
        <f ca="1">$B20*('Updated Population'!I$15/'Updated Population'!$B$15)*('Total Distance Tables Sup #1'!I174/'Total Distance Tables Sup #1'!$B174)</f>
        <v>106.11582719887032</v>
      </c>
      <c r="J20" s="1">
        <f ca="1">$B20*('Updated Population'!J$15/'Updated Population'!$B$15)*('Total Distance Tables Sup #1'!J174/'Total Distance Tables Sup #1'!$B174)</f>
        <v>112.93342249948334</v>
      </c>
      <c r="K20" s="1">
        <f ca="1">$B20*('Updated Population'!K$15/'Updated Population'!$B$15)*('Total Distance Tables Sup #1'!K174/'Total Distance Tables Sup #1'!$B174)</f>
        <v>120.02090715296893</v>
      </c>
    </row>
    <row r="21" spans="1:11" x14ac:dyDescent="0.2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$B21*('Updated Population'!C$15/'Updated Population'!$B$15)*('Total Distance Tables Sup #1'!C175/'Total Distance Tables Sup #1'!$B175)</f>
        <v>51.240303915847527</v>
      </c>
      <c r="D21" s="4">
        <f ca="1">$B21*('Updated Population'!D$15/'Updated Population'!$B$15)*('Total Distance Tables Sup #1'!D175/'Total Distance Tables Sup #1'!$B175)</f>
        <v>57.227340925186873</v>
      </c>
      <c r="E21" s="4">
        <f ca="1">$B21*('Updated Population'!E$15/'Updated Population'!$B$15)*('Total Distance Tables Sup #1'!E175/'Total Distance Tables Sup #1'!$B175)</f>
        <v>61.455887325861553</v>
      </c>
      <c r="F21" s="4">
        <f ca="1">$B21*('Updated Population'!F$15/'Updated Population'!$B$15)*('Total Distance Tables Sup #1'!F175/'Total Distance Tables Sup #1'!$B175)</f>
        <v>64.308105038920033</v>
      </c>
      <c r="G21" s="4">
        <f ca="1">$B21*('Updated Population'!G$15/'Updated Population'!$B$15)*('Total Distance Tables Sup #1'!G175/'Total Distance Tables Sup #1'!$B175)</f>
        <v>65.589492995500251</v>
      </c>
      <c r="H21" s="4">
        <f ca="1">$B21*('Updated Population'!H$15/'Updated Population'!$B$15)*('Total Distance Tables Sup #1'!H175/'Total Distance Tables Sup #1'!$B175)</f>
        <v>66.029692175441795</v>
      </c>
      <c r="I21" s="1">
        <f ca="1">$B21*('Updated Population'!I$15/'Updated Population'!$B$15)*('Total Distance Tables Sup #1'!I175/'Total Distance Tables Sup #1'!$B175)</f>
        <v>69.549636820649852</v>
      </c>
      <c r="J21" s="1">
        <f ca="1">$B21*('Updated Population'!J$15/'Updated Population'!$B$15)*('Total Distance Tables Sup #1'!J175/'Total Distance Tables Sup #1'!$B175)</f>
        <v>74.017973822435494</v>
      </c>
      <c r="K21" s="1">
        <f ca="1">$B21*('Updated Population'!K$15/'Updated Population'!$B$15)*('Total Distance Tables Sup #1'!K175/'Total Distance Tables Sup #1'!$B175)</f>
        <v>78.663199672657214</v>
      </c>
    </row>
    <row r="22" spans="1:11" x14ac:dyDescent="0.2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152.76838634999999</v>
      </c>
      <c r="D22" s="4">
        <f ca="1">OFFSET(Auckland_Reference,44,6)</f>
        <v>154.57224120000001</v>
      </c>
      <c r="E22" s="4">
        <f ca="1">OFFSET(Auckland_Reference,45,6)</f>
        <v>162.57925829999999</v>
      </c>
      <c r="F22" s="4">
        <f ca="1">OFFSET(Auckland_Reference,46,6)</f>
        <v>168.90382101</v>
      </c>
      <c r="G22" s="4">
        <f ca="1">OFFSET(Auckland_Reference,47,6)</f>
        <v>173.60056195999999</v>
      </c>
      <c r="H22" s="4">
        <f ca="1">OFFSET(Auckland_Reference,48,6)</f>
        <v>177.04672131000001</v>
      </c>
      <c r="I22" s="1">
        <f ca="1">OFFSET(Auckland_Reference,48,6)*('Updated Population'!I15/'Updated Population'!H15)</f>
        <v>186.48481859767085</v>
      </c>
      <c r="J22" s="1">
        <f ca="1">OFFSET(Auckland_Reference,48,6)*('Updated Population'!J15/'Updated Population'!H15)</f>
        <v>198.46585909339703</v>
      </c>
      <c r="K22" s="1">
        <f ca="1">OFFSET(Auckland_Reference,48,6)*('Updated Population'!K15/'Updated Population'!H15)</f>
        <v>210.92119516161654</v>
      </c>
    </row>
    <row r="23" spans="1:11" x14ac:dyDescent="0.2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512.43965706999995</v>
      </c>
      <c r="D23" s="4">
        <f ca="1">OFFSET(Auckland_Reference,51,6)</f>
        <v>500.69665226000001</v>
      </c>
      <c r="E23" s="4">
        <f ca="1">OFFSET(Auckland_Reference,52,6)</f>
        <v>506.64409809</v>
      </c>
      <c r="F23" s="4">
        <f ca="1">OFFSET(Auckland_Reference,53,6)</f>
        <v>502.64275629000002</v>
      </c>
      <c r="G23" s="4">
        <f ca="1">OFFSET(Auckland_Reference,54,6)</f>
        <v>500.86888120999998</v>
      </c>
      <c r="H23" s="4">
        <f ca="1">OFFSET(Auckland_Reference,55,6)</f>
        <v>494.76567552</v>
      </c>
      <c r="I23" s="1">
        <f ca="1">OFFSET(Auckland_Reference,55,6)*('Updated Population'!I15/'Updated Population'!H15)</f>
        <v>521.14089752697305</v>
      </c>
      <c r="J23" s="1">
        <f ca="1">OFFSET(Auckland_Reference,55,6)*('Updated Population'!J15/'Updated Population'!H15)</f>
        <v>554.62249803580789</v>
      </c>
      <c r="K23" s="1">
        <f ca="1">OFFSET(Auckland_Reference,55,6)*('Updated Population'!K15/'Updated Population'!H15)</f>
        <v>589.42954059510544</v>
      </c>
    </row>
    <row r="24" spans="1:11" x14ac:dyDescent="0.2">
      <c r="A24" t="str">
        <f ca="1">OFFSET(Auckland_Reference,56,2)</f>
        <v>Local Ferry</v>
      </c>
      <c r="B24" s="4">
        <f ca="1">OFFSET(Auckland_Reference,56,6)</f>
        <v>0</v>
      </c>
      <c r="C24" s="4">
        <f ca="1">$B24*('Updated Population'!C$15/'Updated Population'!$B$15)*('Total Distance Tables Sup #1'!C178/'Total Distance Tables Sup #1'!$B178)</f>
        <v>0</v>
      </c>
      <c r="D24" s="4">
        <f ca="1">$B24*('Updated Population'!D$15/'Updated Population'!$B$15)*('Total Distance Tables Sup #1'!D178/'Total Distance Tables Sup #1'!$B178)</f>
        <v>0</v>
      </c>
      <c r="E24" s="4">
        <f ca="1">$B24*('Updated Population'!E$15/'Updated Population'!$B$15)*('Total Distance Tables Sup #1'!E178/'Total Distance Tables Sup #1'!$B178)</f>
        <v>0</v>
      </c>
      <c r="F24" s="4">
        <f ca="1">$B24*('Updated Population'!F$15/'Updated Population'!$B$15)*('Total Distance Tables Sup #1'!F178/'Total Distance Tables Sup #1'!$B178)</f>
        <v>0</v>
      </c>
      <c r="G24" s="4">
        <f ca="1">$B24*('Updated Population'!G$15/'Updated Population'!$B$15)*('Total Distance Tables Sup #1'!G178/'Total Distance Tables Sup #1'!$B178)</f>
        <v>0</v>
      </c>
      <c r="H24" s="4">
        <f ca="1">$B24*('Updated Population'!H$15/'Updated Population'!$B$15)*('Total Distance Tables Sup #1'!H178/'Total Distance Tables Sup #1'!$B178)</f>
        <v>0</v>
      </c>
      <c r="I24" s="1">
        <f ca="1">$B24*('Updated Population'!I$15/'Updated Population'!$B$15)*('Total Distance Tables Sup #1'!I178/'Total Distance Tables Sup #1'!$B178)</f>
        <v>0</v>
      </c>
      <c r="J24" s="1">
        <f ca="1">$B24*('Updated Population'!J$15/'Updated Population'!$B$15)*('Total Distance Tables Sup #1'!J178/'Total Distance Tables Sup #1'!$B178)</f>
        <v>0</v>
      </c>
      <c r="K24" s="1">
        <f ca="1">$B24*('Updated Population'!K$15/'Updated Population'!$B$15)*('Total Distance Tables Sup #1'!K178/'Total Distance Tables Sup #1'!$B178)</f>
        <v>0</v>
      </c>
    </row>
    <row r="25" spans="1:11" x14ac:dyDescent="0.2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$B25*('Updated Population'!C$15/'Updated Population'!$B$15)*('Total Distance Tables Sup #1'!C179/'Total Distance Tables Sup #1'!$B179)</f>
        <v>1.9708141833533039</v>
      </c>
      <c r="D25" s="4">
        <f ca="1">$B25*('Updated Population'!D$15/'Updated Population'!$B$15)*('Total Distance Tables Sup #1'!D179/'Total Distance Tables Sup #1'!$B179)</f>
        <v>1.6075159368668741</v>
      </c>
      <c r="E25" s="4">
        <f ca="1">$B25*('Updated Population'!E$15/'Updated Population'!$B$15)*('Total Distance Tables Sup #1'!E179/'Total Distance Tables Sup #1'!$B179)</f>
        <v>1.8649035848636351</v>
      </c>
      <c r="F25" s="4">
        <f ca="1">$B25*('Updated Population'!F$15/'Updated Population'!$B$15)*('Total Distance Tables Sup #1'!F179/'Total Distance Tables Sup #1'!$B179)</f>
        <v>1.9784723225676921</v>
      </c>
      <c r="G25" s="4">
        <f ca="1">$B25*('Updated Population'!G$15/'Updated Population'!$B$15)*('Total Distance Tables Sup #1'!G179/'Total Distance Tables Sup #1'!$B179)</f>
        <v>1.9517071636914549</v>
      </c>
      <c r="H25" s="4">
        <f ca="1">$B25*('Updated Population'!H$15/'Updated Population'!$B$15)*('Total Distance Tables Sup #1'!H179/'Total Distance Tables Sup #1'!$B179)</f>
        <v>1.8786683196162761</v>
      </c>
      <c r="I25" s="1">
        <f ca="1">$B25*('Updated Population'!I$15/'Updated Population'!$B$15)*('Total Distance Tables Sup #1'!I179/'Total Distance Tables Sup #1'!$B179)</f>
        <v>1.978817332490439</v>
      </c>
      <c r="J25" s="1">
        <f ca="1">$B25*('Updated Population'!J$15/'Updated Population'!$B$15)*('Total Distance Tables Sup #1'!J179/'Total Distance Tables Sup #1'!$B179)</f>
        <v>2.1059498828636785</v>
      </c>
      <c r="K25" s="1">
        <f ca="1">$B25*('Updated Population'!K$15/'Updated Population'!$B$15)*('Total Distance Tables Sup #1'!K179/'Total Distance Tables Sup #1'!$B179)</f>
        <v>2.2381152520295196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$B27*('Updated Population'!C$26/'Updated Population'!$B$26)*('Total Distance Tables Sup #1'!C170/'Total Distance Tables Sup #1'!$B170)</f>
        <v>60.182302551284515</v>
      </c>
      <c r="D27" s="4">
        <f ca="1">$B27*('Updated Population'!D$26/'Updated Population'!$B$26)*('Total Distance Tables Sup #1'!D170/'Total Distance Tables Sup #1'!$B170)</f>
        <v>65.13200245361412</v>
      </c>
      <c r="E27" s="4">
        <f ca="1">$B27*('Updated Population'!E$26/'Updated Population'!$B$26)*('Total Distance Tables Sup #1'!E170/'Total Distance Tables Sup #1'!$B170)</f>
        <v>68.572794524151945</v>
      </c>
      <c r="F27" s="4">
        <f ca="1">$B27*('Updated Population'!F$26/'Updated Population'!$B$26)*('Total Distance Tables Sup #1'!F170/'Total Distance Tables Sup #1'!$B170)</f>
        <v>71.355136893917887</v>
      </c>
      <c r="G27" s="4">
        <f ca="1">$B27*('Updated Population'!G$26/'Updated Population'!$B$26)*('Total Distance Tables Sup #1'!G170/'Total Distance Tables Sup #1'!$B170)</f>
        <v>74.033229944126447</v>
      </c>
      <c r="H27" s="4">
        <f ca="1">$B27*('Updated Population'!H$26/'Updated Population'!$B$26)*('Total Distance Tables Sup #1'!H170/'Total Distance Tables Sup #1'!$B170)</f>
        <v>76.1972194477665</v>
      </c>
      <c r="I27" s="1">
        <f ca="1">$B27*('Updated Population'!I$26/'Updated Population'!$B$26)*('Total Distance Tables Sup #1'!I170/'Total Distance Tables Sup #1'!$B170)</f>
        <v>80.259179843739147</v>
      </c>
      <c r="J27" s="1">
        <f ca="1">$B27*('Updated Population'!J$26/'Updated Population'!$B$26)*('Total Distance Tables Sup #1'!J170/'Total Distance Tables Sup #1'!$B170)</f>
        <v>85.415570005107597</v>
      </c>
      <c r="K27" s="1">
        <f ca="1">$B27*('Updated Population'!K$26/'Updated Population'!$B$26)*('Total Distance Tables Sup #1'!K170/'Total Distance Tables Sup #1'!$B170)</f>
        <v>90.776087097226139</v>
      </c>
    </row>
    <row r="28" spans="1:11" x14ac:dyDescent="0.2">
      <c r="A28" t="str">
        <f ca="1">OFFSET(Waikato_Reference,7,2)</f>
        <v>Cyclist</v>
      </c>
      <c r="B28" s="4">
        <f ca="1">OFFSET(Waikato_Reference,7,6)</f>
        <v>21.829422874999999</v>
      </c>
      <c r="C28" s="4">
        <f ca="1">$B28*('Updated Population'!C$26/'Updated Population'!$B$26)*('Total Distance Tables Sup #1'!C171/'Total Distance Tables Sup #1'!$B171)</f>
        <v>25.196581523395338</v>
      </c>
      <c r="D28" s="4">
        <f ca="1">$B28*('Updated Population'!D$26/'Updated Population'!$B$26)*('Total Distance Tables Sup #1'!D171/'Total Distance Tables Sup #1'!$B171)</f>
        <v>28.461872096856439</v>
      </c>
      <c r="E28" s="4">
        <f ca="1">$B28*('Updated Population'!E$26/'Updated Population'!$B$26)*('Total Distance Tables Sup #1'!E171/'Total Distance Tables Sup #1'!$B171)</f>
        <v>30.320771066905461</v>
      </c>
      <c r="F28" s="4">
        <f ca="1">$B28*('Updated Population'!F$26/'Updated Population'!$B$26)*('Total Distance Tables Sup #1'!F171/'Total Distance Tables Sup #1'!$B171)</f>
        <v>32.585657587871637</v>
      </c>
      <c r="G28" s="4">
        <f ca="1">$B28*('Updated Population'!G$26/'Updated Population'!$B$26)*('Total Distance Tables Sup #1'!G171/'Total Distance Tables Sup #1'!$B171)</f>
        <v>35.402544734467249</v>
      </c>
      <c r="H28" s="4">
        <f ca="1">$B28*('Updated Population'!H$26/'Updated Population'!$B$26)*('Total Distance Tables Sup #1'!H171/'Total Distance Tables Sup #1'!$B171)</f>
        <v>38.202332021704208</v>
      </c>
      <c r="I28" s="1">
        <f ca="1">$B28*('Updated Population'!I$26/'Updated Population'!$B$26)*('Total Distance Tables Sup #1'!I171/'Total Distance Tables Sup #1'!$B171)</f>
        <v>40.238841501060392</v>
      </c>
      <c r="J28" s="1">
        <f ca="1">$B28*('Updated Population'!J$26/'Updated Population'!$B$26)*('Total Distance Tables Sup #1'!J171/'Total Distance Tables Sup #1'!$B171)</f>
        <v>42.824055638868678</v>
      </c>
      <c r="K28" s="1">
        <f ca="1">$B28*('Updated Population'!K$26/'Updated Population'!$B$26)*('Total Distance Tables Sup #1'!K171/'Total Distance Tables Sup #1'!$B171)</f>
        <v>45.511611106709786</v>
      </c>
    </row>
    <row r="29" spans="1:11" x14ac:dyDescent="0.2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$B29*('Updated Population'!C$26/'Updated Population'!$B$26)*('Total Distance Tables Sup #1'!C172/'Total Distance Tables Sup #1'!$B172)</f>
        <v>4418.4286496345812</v>
      </c>
      <c r="D29" s="4">
        <f ca="1">$B29*('Updated Population'!D$26/'Updated Population'!$B$26)*('Total Distance Tables Sup #1'!D172/'Total Distance Tables Sup #1'!$B172)</f>
        <v>4935.3649453357011</v>
      </c>
      <c r="E29" s="4">
        <f ca="1">$B29*('Updated Population'!E$26/'Updated Population'!$B$26)*('Total Distance Tables Sup #1'!E172/'Total Distance Tables Sup #1'!$B172)</f>
        <v>5439.7566026799777</v>
      </c>
      <c r="F29" s="4">
        <f ca="1">$B29*('Updated Population'!F$26/'Updated Population'!$B$26)*('Total Distance Tables Sup #1'!F172/'Total Distance Tables Sup #1'!$B172)</f>
        <v>5905.8227692745295</v>
      </c>
      <c r="G29" s="4">
        <f ca="1">$B29*('Updated Population'!G$26/'Updated Population'!$B$26)*('Total Distance Tables Sup #1'!G172/'Total Distance Tables Sup #1'!$B172)</f>
        <v>6315.8122610794453</v>
      </c>
      <c r="H29" s="4">
        <f ca="1">$B29*('Updated Population'!H$26/'Updated Population'!$B$26)*('Total Distance Tables Sup #1'!H172/'Total Distance Tables Sup #1'!$B172)</f>
        <v>6680.3831020001471</v>
      </c>
      <c r="I29" s="1">
        <f ca="1">$B29*('Updated Population'!I$26/'Updated Population'!$B$26)*('Total Distance Tables Sup #1'!I172/'Total Distance Tables Sup #1'!$B172)</f>
        <v>7036.5043855182539</v>
      </c>
      <c r="J29" s="1">
        <f ca="1">$B29*('Updated Population'!J$26/'Updated Population'!$B$26)*('Total Distance Tables Sup #1'!J172/'Total Distance Tables Sup #1'!$B172)</f>
        <v>7488.5768095643707</v>
      </c>
      <c r="K29" s="1">
        <f ca="1">$B29*('Updated Population'!K$26/'Updated Population'!$B$26)*('Total Distance Tables Sup #1'!K172/'Total Distance Tables Sup #1'!$B172)</f>
        <v>7958.5455047438554</v>
      </c>
    </row>
    <row r="30" spans="1:11" x14ac:dyDescent="0.2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$B30*('Updated Population'!C$26/'Updated Population'!$B$26)*('Total Distance Tables Sup #1'!C173/'Total Distance Tables Sup #1'!$B173)</f>
        <v>2225.0829618010257</v>
      </c>
      <c r="D30" s="4">
        <f ca="1">$B30*('Updated Population'!D$26/'Updated Population'!$B$26)*('Total Distance Tables Sup #1'!D173/'Total Distance Tables Sup #1'!$B173)</f>
        <v>2456.7046633661848</v>
      </c>
      <c r="E30" s="4">
        <f ca="1">$B30*('Updated Population'!E$26/'Updated Population'!$B$26)*('Total Distance Tables Sup #1'!E173/'Total Distance Tables Sup #1'!$B173)</f>
        <v>2669.3383590138474</v>
      </c>
      <c r="F30" s="4">
        <f ca="1">$B30*('Updated Population'!F$26/'Updated Population'!$B$26)*('Total Distance Tables Sup #1'!F173/'Total Distance Tables Sup #1'!$B173)</f>
        <v>2861.3340413512751</v>
      </c>
      <c r="G30" s="4">
        <f ca="1">$B30*('Updated Population'!G$26/'Updated Population'!$B$26)*('Total Distance Tables Sup #1'!G173/'Total Distance Tables Sup #1'!$B173)</f>
        <v>3038.8286559205449</v>
      </c>
      <c r="H30" s="4">
        <f ca="1">$B30*('Updated Population'!H$26/'Updated Population'!$B$26)*('Total Distance Tables Sup #1'!H173/'Total Distance Tables Sup #1'!$B173)</f>
        <v>3197.2878067309484</v>
      </c>
      <c r="I30" s="1">
        <f ca="1">$B30*('Updated Population'!I$26/'Updated Population'!$B$26)*('Total Distance Tables Sup #1'!I173/'Total Distance Tables Sup #1'!$B173)</f>
        <v>3367.7304625075171</v>
      </c>
      <c r="J30" s="1">
        <f ca="1">$B30*('Updated Population'!J$26/'Updated Population'!$B$26)*('Total Distance Tables Sup #1'!J173/'Total Distance Tables Sup #1'!$B173)</f>
        <v>3584.09614499797</v>
      </c>
      <c r="K30" s="1">
        <f ca="1">$B30*('Updated Population'!K$26/'Updated Population'!$B$26)*('Total Distance Tables Sup #1'!K173/'Total Distance Tables Sup #1'!$B173)</f>
        <v>3809.0271340894074</v>
      </c>
    </row>
    <row r="31" spans="1:11" x14ac:dyDescent="0.2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$B31*('Updated Population'!C$26/'Updated Population'!$B$26)*('Total Distance Tables Sup #1'!C174/'Total Distance Tables Sup #1'!$B174)</f>
        <v>3.0758641125214083</v>
      </c>
      <c r="D31" s="4">
        <f ca="1">$B31*('Updated Population'!D$26/'Updated Population'!$B$26)*('Total Distance Tables Sup #1'!D174/'Total Distance Tables Sup #1'!$B174)</f>
        <v>3.7335764612164088</v>
      </c>
      <c r="E31" s="4">
        <f ca="1">$B31*('Updated Population'!E$26/'Updated Population'!$B$26)*('Total Distance Tables Sup #1'!E174/'Total Distance Tables Sup #1'!$B174)</f>
        <v>4.3695401489203913</v>
      </c>
      <c r="F31" s="4">
        <f ca="1">$B31*('Updated Population'!F$26/'Updated Population'!$B$26)*('Total Distance Tables Sup #1'!F174/'Total Distance Tables Sup #1'!$B174)</f>
        <v>4.9680128580145508</v>
      </c>
      <c r="G31" s="4">
        <f ca="1">$B31*('Updated Population'!G$26/'Updated Population'!$B$26)*('Total Distance Tables Sup #1'!G174/'Total Distance Tables Sup #1'!$B174)</f>
        <v>5.4939649109119877</v>
      </c>
      <c r="H31" s="4">
        <f ca="1">$B31*('Updated Population'!H$26/'Updated Population'!$B$26)*('Total Distance Tables Sup #1'!H174/'Total Distance Tables Sup #1'!$B174)</f>
        <v>5.9790842272281211</v>
      </c>
      <c r="I31" s="1">
        <f ca="1">$B31*('Updated Population'!I$26/'Updated Population'!$B$26)*('Total Distance Tables Sup #1'!I174/'Total Distance Tables Sup #1'!$B174)</f>
        <v>6.2978203111850171</v>
      </c>
      <c r="J31" s="1">
        <f ca="1">$B31*('Updated Population'!J$26/'Updated Population'!$B$26)*('Total Distance Tables Sup #1'!J174/'Total Distance Tables Sup #1'!$B174)</f>
        <v>6.7024346961548895</v>
      </c>
      <c r="K31" s="1">
        <f ca="1">$B31*('Updated Population'!K$26/'Updated Population'!$B$26)*('Total Distance Tables Sup #1'!K174/'Total Distance Tables Sup #1'!$B174)</f>
        <v>7.1230666224582349</v>
      </c>
    </row>
    <row r="32" spans="1:11" x14ac:dyDescent="0.2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$B32*('Updated Population'!C$26/'Updated Population'!$B$26)*('Total Distance Tables Sup #1'!C175/'Total Distance Tables Sup #1'!$B175)</f>
        <v>44.725219471909675</v>
      </c>
      <c r="D32" s="4">
        <f ca="1">$B32*('Updated Population'!D$26/'Updated Population'!$B$26)*('Total Distance Tables Sup #1'!D175/'Total Distance Tables Sup #1'!$B175)</f>
        <v>49.951018769839521</v>
      </c>
      <c r="E32" s="4">
        <f ca="1">$B32*('Updated Population'!E$26/'Updated Population'!$B$26)*('Total Distance Tables Sup #1'!E175/'Total Distance Tables Sup #1'!$B175)</f>
        <v>53.641915414947789</v>
      </c>
      <c r="F32" s="4">
        <f ca="1">$B32*('Updated Population'!F$26/'Updated Population'!$B$26)*('Total Distance Tables Sup #1'!F175/'Total Distance Tables Sup #1'!$B175)</f>
        <v>56.13148033649297</v>
      </c>
      <c r="G32" s="4">
        <f ca="1">$B32*('Updated Population'!G$26/'Updated Population'!$B$26)*('Total Distance Tables Sup #1'!G175/'Total Distance Tables Sup #1'!$B175)</f>
        <v>57.249942820260287</v>
      </c>
      <c r="H32" s="4">
        <f ca="1">$B32*('Updated Population'!H$26/'Updated Population'!$B$26)*('Total Distance Tables Sup #1'!H175/'Total Distance Tables Sup #1'!$B175)</f>
        <v>57.63417170708685</v>
      </c>
      <c r="I32" s="1">
        <f ca="1">$B32*('Updated Population'!I$26/'Updated Population'!$B$26)*('Total Distance Tables Sup #1'!I175/'Total Distance Tables Sup #1'!$B175)</f>
        <v>60.706563647705565</v>
      </c>
      <c r="J32" s="1">
        <f ca="1">$B32*('Updated Population'!J$26/'Updated Population'!$B$26)*('Total Distance Tables Sup #1'!J175/'Total Distance Tables Sup #1'!$B175)</f>
        <v>64.60676208149178</v>
      </c>
      <c r="K32" s="1">
        <f ca="1">$B32*('Updated Population'!K$26/'Updated Population'!$B$26)*('Total Distance Tables Sup #1'!K175/'Total Distance Tables Sup #1'!$B175)</f>
        <v>68.661358361579389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Distance Tables Sup #1'!C176/'Total Distance Tables Sup #1'!$B176)</f>
        <v>0</v>
      </c>
      <c r="D33" s="4">
        <f ca="1">$B33*('Updated Population'!D$26/'Updated Population'!$B$26)*('Total Distance Tables Sup #1'!D176/'Total Distance Tables Sup #1'!$B176)</f>
        <v>0</v>
      </c>
      <c r="E33" s="4">
        <f ca="1">$B33*('Updated Population'!E$26/'Updated Population'!$B$26)*('Total Distance Tables Sup #1'!E176/'Total Distance Tables Sup #1'!$B176)</f>
        <v>0</v>
      </c>
      <c r="F33" s="4">
        <f ca="1">$B33*('Updated Population'!F$26/'Updated Population'!$B$26)*('Total Distance Tables Sup #1'!F176/'Total Distance Tables Sup #1'!$B176)</f>
        <v>0</v>
      </c>
      <c r="G33" s="4">
        <f ca="1">$B33*('Updated Population'!G$26/'Updated Population'!$B$26)*('Total Distance Tables Sup #1'!G176/'Total Distance Tables Sup #1'!$B176)</f>
        <v>0</v>
      </c>
      <c r="H33" s="4">
        <f ca="1">$B33*('Updated Population'!H$26/'Updated Population'!$B$26)*('Total Distance Tables Sup #1'!H176/'Total Distance Tables Sup #1'!$B176)</f>
        <v>0</v>
      </c>
      <c r="I33" s="1">
        <f ca="1">$B33*('Updated Population'!I$26/'Updated Population'!$B$26)*('Total Distance Tables Sup #1'!I176/'Total Distance Tables Sup #1'!$B176)</f>
        <v>0</v>
      </c>
      <c r="J33" s="1">
        <f ca="1">$B33*('Updated Population'!J$26/'Updated Population'!$B$26)*('Total Distance Tables Sup #1'!J176/'Total Distance Tables Sup #1'!$B176)</f>
        <v>0</v>
      </c>
      <c r="K33" s="1">
        <f ca="1">$B33*('Updated Population'!K$26/'Updated Population'!$B$26)*('Total Distance Tables Sup #1'!K176/'Total Distance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OFFSET(Waikato_Reference,49,6)</f>
        <v>54.303948532</v>
      </c>
      <c r="C34" s="4">
        <f ca="1">$B34*('Updated Population'!C$26/'Updated Population'!$B$26)*('Total Distance Tables Sup #1'!C177/'Total Distance Tables Sup #1'!$B177)</f>
        <v>54.653681121960588</v>
      </c>
      <c r="D34" s="4">
        <f ca="1">$B34*('Updated Population'!D$26/'Updated Population'!$B$26)*('Total Distance Tables Sup #1'!D177/'Total Distance Tables Sup #1'!$B177)</f>
        <v>58.468204257605329</v>
      </c>
      <c r="E34" s="4">
        <f ca="1">$B34*('Updated Population'!E$26/'Updated Population'!$B$26)*('Total Distance Tables Sup #1'!E177/'Total Distance Tables Sup #1'!$B177)</f>
        <v>60.661857069934577</v>
      </c>
      <c r="F34" s="4">
        <f ca="1">$B34*('Updated Population'!F$26/'Updated Population'!$B$26)*('Total Distance Tables Sup #1'!F177/'Total Distance Tables Sup #1'!$B177)</f>
        <v>62.143352870907577</v>
      </c>
      <c r="G34" s="4">
        <f ca="1">$B34*('Updated Population'!G$26/'Updated Population'!$B$26)*('Total Distance Tables Sup #1'!G177/'Total Distance Tables Sup #1'!$B177)</f>
        <v>64.213840653345045</v>
      </c>
      <c r="H34" s="4">
        <f ca="1">$B34*('Updated Population'!H$26/'Updated Population'!$B$26)*('Total Distance Tables Sup #1'!H177/'Total Distance Tables Sup #1'!$B177)</f>
        <v>66.174127668047959</v>
      </c>
      <c r="I34" s="1">
        <f ca="1">$B34*('Updated Population'!I$26/'Updated Population'!$B$26)*('Total Distance Tables Sup #1'!I177/'Total Distance Tables Sup #1'!$B177)</f>
        <v>69.701771954463283</v>
      </c>
      <c r="J34" s="1">
        <f ca="1">$B34*('Updated Population'!J$26/'Updated Population'!$B$26)*('Total Distance Tables Sup #1'!J177/'Total Distance Tables Sup #1'!$B177)</f>
        <v>74.179883141690652</v>
      </c>
      <c r="K34" s="1">
        <f ca="1">$B34*('Updated Population'!K$26/'Updated Population'!$B$26)*('Total Distance Tables Sup #1'!K177/'Total Distance Tables Sup #1'!$B177)</f>
        <v>78.835270109764636</v>
      </c>
    </row>
    <row r="35" spans="1:11" x14ac:dyDescent="0.2">
      <c r="A35" t="str">
        <f ca="1">OFFSET(Waikato_Reference,56,2)</f>
        <v>Local Ferry</v>
      </c>
      <c r="B35" s="4">
        <f ca="1">OFFSET(Waikato_Reference,56,6)</f>
        <v>0</v>
      </c>
      <c r="C35" s="4">
        <f ca="1">$B35*('Updated Population'!C$26/'Updated Population'!$B$26)*('Total Distance Tables Sup #1'!C178/'Total Distance Tables Sup #1'!$B178)</f>
        <v>0</v>
      </c>
      <c r="D35" s="4">
        <f ca="1">$B35*('Updated Population'!D$26/'Updated Population'!$B$26)*('Total Distance Tables Sup #1'!D178/'Total Distance Tables Sup #1'!$B178)</f>
        <v>0</v>
      </c>
      <c r="E35" s="4">
        <f ca="1">$B35*('Updated Population'!E$26/'Updated Population'!$B$26)*('Total Distance Tables Sup #1'!E178/'Total Distance Tables Sup #1'!$B178)</f>
        <v>0</v>
      </c>
      <c r="F35" s="4">
        <f ca="1">$B35*('Updated Population'!F$26/'Updated Population'!$B$26)*('Total Distance Tables Sup #1'!F178/'Total Distance Tables Sup #1'!$B178)</f>
        <v>0</v>
      </c>
      <c r="G35" s="4">
        <f ca="1">$B35*('Updated Population'!G$26/'Updated Population'!$B$26)*('Total Distance Tables Sup #1'!G178/'Total Distance Tables Sup #1'!$B178)</f>
        <v>0</v>
      </c>
      <c r="H35" s="4">
        <f ca="1">$B35*('Updated Population'!H$26/'Updated Population'!$B$26)*('Total Distance Tables Sup #1'!H178/'Total Distance Tables Sup #1'!$B178)</f>
        <v>0</v>
      </c>
      <c r="I35" s="1">
        <f ca="1">$B35*('Updated Population'!I$26/'Updated Population'!$B$26)*('Total Distance Tables Sup #1'!I178/'Total Distance Tables Sup #1'!$B178)</f>
        <v>0</v>
      </c>
      <c r="J35" s="1">
        <f ca="1">$B35*('Updated Population'!J$26/'Updated Population'!$B$26)*('Total Distance Tables Sup #1'!J178/'Total Distance Tables Sup #1'!$B178)</f>
        <v>0</v>
      </c>
      <c r="K35" s="1">
        <f ca="1">$B35*('Updated Population'!K$26/'Updated Population'!$B$26)*('Total Distance Tables Sup #1'!K178/'Total Distance Tables Sup #1'!$B178)</f>
        <v>0</v>
      </c>
    </row>
    <row r="36" spans="1:11" x14ac:dyDescent="0.2">
      <c r="A36" t="str">
        <f ca="1">OFFSET(Waikato_Reference,63,2)</f>
        <v>Other Household Travel</v>
      </c>
      <c r="B36" s="4">
        <f ca="1">OFFSET(Waikato_Reference,63,6)</f>
        <v>0</v>
      </c>
      <c r="C36" s="4">
        <f ca="1">$B36*('Updated Population'!C$26/'Updated Population'!$B$26)*('Total Distance Tables Sup #1'!C179/'Total Distance Tables Sup #1'!$B179)</f>
        <v>0</v>
      </c>
      <c r="D36" s="4">
        <f ca="1">$B36*('Updated Population'!D$26/'Updated Population'!$B$26)*('Total Distance Tables Sup #1'!D179/'Total Distance Tables Sup #1'!$B179)</f>
        <v>0</v>
      </c>
      <c r="E36" s="4">
        <f ca="1">$B36*('Updated Population'!E$26/'Updated Population'!$B$26)*('Total Distance Tables Sup #1'!E179/'Total Distance Tables Sup #1'!$B179)</f>
        <v>0</v>
      </c>
      <c r="F36" s="4">
        <f ca="1">$B36*('Updated Population'!F$26/'Updated Population'!$B$26)*('Total Distance Tables Sup #1'!F179/'Total Distance Tables Sup #1'!$B179)</f>
        <v>0</v>
      </c>
      <c r="G36" s="4">
        <f ca="1">$B36*('Updated Population'!G$26/'Updated Population'!$B$26)*('Total Distance Tables Sup #1'!G179/'Total Distance Tables Sup #1'!$B179)</f>
        <v>0</v>
      </c>
      <c r="H36" s="4">
        <f ca="1">$B36*('Updated Population'!H$26/'Updated Population'!$B$26)*('Total Distance Tables Sup #1'!H179/'Total Distance Tables Sup #1'!$B179)</f>
        <v>0</v>
      </c>
      <c r="I36" s="1">
        <f ca="1">$B36*('Updated Population'!I$26/'Updated Population'!$B$26)*('Total Distance Tables Sup #1'!I179/'Total Distance Tables Sup #1'!$B179)</f>
        <v>0</v>
      </c>
      <c r="J36" s="1">
        <f ca="1">$B36*('Updated Population'!J$26/'Updated Population'!$B$26)*('Total Distance Tables Sup #1'!J179/'Total Distance Tables Sup #1'!$B179)</f>
        <v>0</v>
      </c>
      <c r="K36" s="1">
        <f ca="1">$B36*('Updated Population'!K$26/'Updated Population'!$B$26)*('Total Distance Tables Sup #1'!K179/'Total Distance Tables Sup #1'!$B179)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OFFSET(BOP_Reference,0,6)</f>
        <v>35.579183637</v>
      </c>
      <c r="C38" s="4">
        <f ca="1">$B38*('Updated Population'!C$37/'Updated Population'!$B$37)*('Total Distance Tables Sup #1'!C170/'Total Distance Tables Sup #1'!$B170)</f>
        <v>40.649402842043322</v>
      </c>
      <c r="D38" s="4">
        <f ca="1">$B38*('Updated Population'!D$37/'Updated Population'!$B$37)*('Total Distance Tables Sup #1'!D170/'Total Distance Tables Sup #1'!$B170)</f>
        <v>43.99261732117634</v>
      </c>
      <c r="E38" s="4">
        <f ca="1">$B38*('Updated Population'!E$37/'Updated Population'!$B$37)*('Total Distance Tables Sup #1'!E170/'Total Distance Tables Sup #1'!$B170)</f>
        <v>46.316658393746025</v>
      </c>
      <c r="F38" s="4">
        <f ca="1">$B38*('Updated Population'!F$37/'Updated Population'!$B$37)*('Total Distance Tables Sup #1'!F170/'Total Distance Tables Sup #1'!$B170)</f>
        <v>48.19595764017685</v>
      </c>
      <c r="G38" s="4">
        <f ca="1">$B38*('Updated Population'!G$37/'Updated Population'!$B$37)*('Total Distance Tables Sup #1'!G170/'Total Distance Tables Sup #1'!$B170)</f>
        <v>50.004842954154945</v>
      </c>
      <c r="H38" s="4">
        <f ca="1">$B38*('Updated Population'!H$37/'Updated Population'!$B$37)*('Total Distance Tables Sup #1'!H170/'Total Distance Tables Sup #1'!$B170)</f>
        <v>51.466483292765425</v>
      </c>
      <c r="I38" s="1">
        <f ca="1">$B38*('Updated Population'!I$37/'Updated Population'!$B$37)*('Total Distance Tables Sup #1'!I170/'Total Distance Tables Sup #1'!$B170)</f>
        <v>54.210084940834861</v>
      </c>
      <c r="J38" s="1">
        <f ca="1">$B38*('Updated Population'!J$37/'Updated Population'!$B$37)*('Total Distance Tables Sup #1'!J170/'Total Distance Tables Sup #1'!$B170)</f>
        <v>57.692905836589055</v>
      </c>
      <c r="K38" s="1">
        <f ca="1">$B38*('Updated Population'!K$37/'Updated Population'!$B$37)*('Total Distance Tables Sup #1'!K170/'Total Distance Tables Sup #1'!$B170)</f>
        <v>61.313601780109991</v>
      </c>
    </row>
    <row r="39" spans="1:11" x14ac:dyDescent="0.2">
      <c r="A39" t="str">
        <f ca="1">OFFSET(BOP_Reference,7,2)</f>
        <v>Cyclist</v>
      </c>
      <c r="B39" s="4">
        <f ca="1">OFFSET(BOP_Reference,7,6)</f>
        <v>8.5028812633000008</v>
      </c>
      <c r="C39" s="4">
        <f ca="1">$B39*('Updated Population'!C$37/'Updated Population'!$B$37)*('Total Distance Tables Sup #1'!C171/'Total Distance Tables Sup #1'!$B171)</f>
        <v>9.8144390789117093</v>
      </c>
      <c r="D39" s="4">
        <f ca="1">$B39*('Updated Population'!D$37/'Updated Population'!$B$37)*('Total Distance Tables Sup #1'!D171/'Total Distance Tables Sup #1'!$B171)</f>
        <v>11.086317781124652</v>
      </c>
      <c r="E39" s="4">
        <f ca="1">$B39*('Updated Population'!E$37/'Updated Population'!$B$37)*('Total Distance Tables Sup #1'!E171/'Total Distance Tables Sup #1'!$B171)</f>
        <v>11.810386269481215</v>
      </c>
      <c r="F39" s="4">
        <f ca="1">$B39*('Updated Population'!F$37/'Updated Population'!$B$37)*('Total Distance Tables Sup #1'!F171/'Total Distance Tables Sup #1'!$B171)</f>
        <v>12.692592879930787</v>
      </c>
      <c r="G39" s="4">
        <f ca="1">$B39*('Updated Population'!G$37/'Updated Population'!$B$37)*('Total Distance Tables Sup #1'!G171/'Total Distance Tables Sup #1'!$B171)</f>
        <v>13.7898118525427</v>
      </c>
      <c r="H39" s="4">
        <f ca="1">$B39*('Updated Population'!H$37/'Updated Population'!$B$37)*('Total Distance Tables Sup #1'!H171/'Total Distance Tables Sup #1'!$B171)</f>
        <v>14.880370178440387</v>
      </c>
      <c r="I39" s="1">
        <f ca="1">$B39*('Updated Population'!I$37/'Updated Population'!$B$37)*('Total Distance Tables Sup #1'!I171/'Total Distance Tables Sup #1'!$B171)</f>
        <v>15.673620572356288</v>
      </c>
      <c r="J39" s="1">
        <f ca="1">$B39*('Updated Population'!J$37/'Updated Population'!$B$37)*('Total Distance Tables Sup #1'!J171/'Total Distance Tables Sup #1'!$B171)</f>
        <v>16.680599500743938</v>
      </c>
      <c r="K39" s="1">
        <f ca="1">$B39*('Updated Population'!K$37/'Updated Population'!$B$37)*('Total Distance Tables Sup #1'!K171/'Total Distance Tables Sup #1'!$B171)</f>
        <v>17.727441882351588</v>
      </c>
    </row>
    <row r="40" spans="1:11" x14ac:dyDescent="0.2">
      <c r="A40" t="str">
        <f ca="1">OFFSET(BOP_Reference,14,2)</f>
        <v>Light Vehicle Driver</v>
      </c>
      <c r="B40" s="4">
        <f ca="1">OFFSET(BOP_Reference,14,6)</f>
        <v>1972.0747595</v>
      </c>
      <c r="C40" s="4">
        <f ca="1">$B40*('Updated Population'!C$37/'Updated Population'!$B$37)*('Total Distance Tables Sup #1'!C172/'Total Distance Tables Sup #1'!$B172)</f>
        <v>2348.6545421016503</v>
      </c>
      <c r="D40" s="4">
        <f ca="1">$B40*('Updated Population'!D$37/'Updated Population'!$B$37)*('Total Distance Tables Sup #1'!D172/'Total Distance Tables Sup #1'!$B172)</f>
        <v>2623.4365687336854</v>
      </c>
      <c r="E40" s="4">
        <f ca="1">$B40*('Updated Population'!E$37/'Updated Population'!$B$37)*('Total Distance Tables Sup #1'!E172/'Total Distance Tables Sup #1'!$B172)</f>
        <v>2891.5503827063944</v>
      </c>
      <c r="F40" s="4">
        <f ca="1">$B40*('Updated Population'!F$37/'Updated Population'!$B$37)*('Total Distance Tables Sup #1'!F172/'Total Distance Tables Sup #1'!$B172)</f>
        <v>3139.2919455768802</v>
      </c>
      <c r="G40" s="4">
        <f ca="1">$B40*('Updated Population'!G$37/'Updated Population'!$B$37)*('Total Distance Tables Sup #1'!G172/'Total Distance Tables Sup #1'!$B172)</f>
        <v>3357.2254596149992</v>
      </c>
      <c r="H40" s="4">
        <f ca="1">$B40*('Updated Population'!H$37/'Updated Population'!$B$37)*('Total Distance Tables Sup #1'!H172/'Total Distance Tables Sup #1'!$B172)</f>
        <v>3551.0162910041263</v>
      </c>
      <c r="I40" s="1">
        <f ca="1">$B40*('Updated Population'!I$37/'Updated Population'!$B$37)*('Total Distance Tables Sup #1'!I172/'Total Distance Tables Sup #1'!$B172)</f>
        <v>3740.3156859695841</v>
      </c>
      <c r="J40" s="1">
        <f ca="1">$B40*('Updated Population'!J$37/'Updated Population'!$B$37)*('Total Distance Tables Sup #1'!J172/'Total Distance Tables Sup #1'!$B172)</f>
        <v>3980.6187521247034</v>
      </c>
      <c r="K40" s="1">
        <f ca="1">$B40*('Updated Population'!K$37/'Updated Population'!$B$37)*('Total Distance Tables Sup #1'!K172/'Total Distance Tables Sup #1'!$B172)</f>
        <v>4230.434738328343</v>
      </c>
    </row>
    <row r="41" spans="1:11" x14ac:dyDescent="0.2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$B41*('Updated Population'!C$37/'Updated Population'!$B$37)*('Total Distance Tables Sup #1'!C173/'Total Distance Tables Sup #1'!$B173)</f>
        <v>1576.5488567258358</v>
      </c>
      <c r="D41" s="4">
        <f ca="1">$B41*('Updated Population'!D$37/'Updated Population'!$B$37)*('Total Distance Tables Sup #1'!D173/'Total Distance Tables Sup #1'!$B173)</f>
        <v>1740.6609078557738</v>
      </c>
      <c r="E41" s="4">
        <f ca="1">$B41*('Updated Population'!E$37/'Updated Population'!$B$37)*('Total Distance Tables Sup #1'!E173/'Total Distance Tables Sup #1'!$B173)</f>
        <v>1891.319294769748</v>
      </c>
      <c r="F41" s="4">
        <f ca="1">$B41*('Updated Population'!F$37/'Updated Population'!$B$37)*('Total Distance Tables Sup #1'!F173/'Total Distance Tables Sup #1'!$B173)</f>
        <v>2027.354929701924</v>
      </c>
      <c r="G41" s="4">
        <f ca="1">$B41*('Updated Population'!G$37/'Updated Population'!$B$37)*('Total Distance Tables Sup #1'!G173/'Total Distance Tables Sup #1'!$B173)</f>
        <v>2153.116052535599</v>
      </c>
      <c r="H41" s="4">
        <f ca="1">$B41*('Updated Population'!H$37/'Updated Population'!$B$37)*('Total Distance Tables Sup #1'!H173/'Total Distance Tables Sup #1'!$B173)</f>
        <v>2265.3898856180654</v>
      </c>
      <c r="I41" s="1">
        <f ca="1">$B41*('Updated Population'!I$37/'Updated Population'!$B$37)*('Total Distance Tables Sup #1'!I173/'Total Distance Tables Sup #1'!$B173)</f>
        <v>2386.1544497781197</v>
      </c>
      <c r="J41" s="1">
        <f ca="1">$B41*('Updated Population'!J$37/'Updated Population'!$B$37)*('Total Distance Tables Sup #1'!J173/'Total Distance Tables Sup #1'!$B173)</f>
        <v>2539.4570794872279</v>
      </c>
      <c r="K41" s="1">
        <f ca="1">$B41*('Updated Population'!K$37/'Updated Population'!$B$37)*('Total Distance Tables Sup #1'!K173/'Total Distance Tables Sup #1'!$B173)</f>
        <v>2698.8285275555218</v>
      </c>
    </row>
    <row r="42" spans="1:11" x14ac:dyDescent="0.2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$B42*('Updated Population'!C$37/'Updated Population'!$B$37)*('Total Distance Tables Sup #1'!C174/'Total Distance Tables Sup #1'!$B174)</f>
        <v>1.2387225918977103</v>
      </c>
      <c r="D42" s="4">
        <f ca="1">$B42*('Updated Population'!D$37/'Updated Population'!$B$37)*('Total Distance Tables Sup #1'!D174/'Total Distance Tables Sup #1'!$B174)</f>
        <v>1.5035987748155377</v>
      </c>
      <c r="E42" s="4">
        <f ca="1">$B42*('Updated Population'!E$37/'Updated Population'!$B$37)*('Total Distance Tables Sup #1'!E174/'Total Distance Tables Sup #1'!$B174)</f>
        <v>1.759716262053856</v>
      </c>
      <c r="F42" s="4">
        <f ca="1">$B42*('Updated Population'!F$37/'Updated Population'!$B$37)*('Total Distance Tables Sup #1'!F174/'Total Distance Tables Sup #1'!$B174)</f>
        <v>2.0007352532281617</v>
      </c>
      <c r="G42" s="4">
        <f ca="1">$B42*('Updated Population'!G$37/'Updated Population'!$B$37)*('Total Distance Tables Sup #1'!G174/'Total Distance Tables Sup #1'!$B174)</f>
        <v>2.212548475901698</v>
      </c>
      <c r="H42" s="4">
        <f ca="1">$B42*('Updated Population'!H$37/'Updated Population'!$B$37)*('Total Distance Tables Sup #1'!H174/'Total Distance Tables Sup #1'!$B174)</f>
        <v>2.4079173982284261</v>
      </c>
      <c r="I42" s="1">
        <f ca="1">$B42*('Updated Population'!I$37/'Updated Population'!$B$37)*('Total Distance Tables Sup #1'!I174/'Total Distance Tables Sup #1'!$B174)</f>
        <v>2.5362798920210268</v>
      </c>
      <c r="J42" s="1">
        <f ca="1">$B42*('Updated Population'!J$37/'Updated Population'!$B$37)*('Total Distance Tables Sup #1'!J174/'Total Distance Tables Sup #1'!$B174)</f>
        <v>2.6992275910525421</v>
      </c>
      <c r="K42" s="1">
        <f ca="1">$B42*('Updated Population'!K$37/'Updated Population'!$B$37)*('Total Distance Tables Sup #1'!K174/'Total Distance Tables Sup #1'!$B174)</f>
        <v>2.868625929511091</v>
      </c>
    </row>
    <row r="43" spans="1:11" x14ac:dyDescent="0.2">
      <c r="A43" t="str">
        <f ca="1">OFFSET(BOP_Reference,35,2)</f>
        <v>Motorcyclist</v>
      </c>
      <c r="B43" s="4">
        <f ca="1">OFFSET(BOP_Reference,35,6)</f>
        <v>35.608960758999999</v>
      </c>
      <c r="C43" s="4">
        <f ca="1">$B43*('Updated Population'!C$37/'Updated Population'!$B$37)*('Total Distance Tables Sup #1'!C175/'Total Distance Tables Sup #1'!$B175)</f>
        <v>41.877580906867209</v>
      </c>
      <c r="D43" s="4">
        <f ca="1">$B43*('Updated Population'!D$37/'Updated Population'!$B$37)*('Total Distance Tables Sup #1'!D175/'Total Distance Tables Sup #1'!$B175)</f>
        <v>46.77065545152216</v>
      </c>
      <c r="E43" s="4">
        <f ca="1">$B43*('Updated Population'!E$37/'Updated Population'!$B$37)*('Total Distance Tables Sup #1'!E175/'Total Distance Tables Sup #1'!$B175)</f>
        <v>50.226554040717083</v>
      </c>
      <c r="F43" s="4">
        <f ca="1">$B43*('Updated Population'!F$37/'Updated Population'!$B$37)*('Total Distance Tables Sup #1'!F175/'Total Distance Tables Sup #1'!$B175)</f>
        <v>52.557609263160145</v>
      </c>
      <c r="G43" s="4">
        <f ca="1">$B43*('Updated Population'!G$37/'Updated Population'!$B$37)*('Total Distance Tables Sup #1'!G175/'Total Distance Tables Sup #1'!$B175)</f>
        <v>53.604859644674306</v>
      </c>
      <c r="H43" s="4">
        <f ca="1">$B43*('Updated Population'!H$37/'Updated Population'!$B$37)*('Total Distance Tables Sup #1'!H175/'Total Distance Tables Sup #1'!$B175)</f>
        <v>53.964624817094318</v>
      </c>
      <c r="I43" s="1">
        <f ca="1">$B43*('Updated Population'!I$37/'Updated Population'!$B$37)*('Total Distance Tables Sup #1'!I175/'Total Distance Tables Sup #1'!$B175)</f>
        <v>56.841398672875542</v>
      </c>
      <c r="J43" s="1">
        <f ca="1">$B43*('Updated Population'!J$37/'Updated Population'!$B$37)*('Total Distance Tables Sup #1'!J175/'Total Distance Tables Sup #1'!$B175)</f>
        <v>60.493272881481744</v>
      </c>
      <c r="K43" s="1">
        <f ca="1">$B43*('Updated Population'!K$37/'Updated Population'!$B$37)*('Total Distance Tables Sup #1'!K175/'Total Distance Tables Sup #1'!$B175)</f>
        <v>64.289714481297608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Distance Tables Sup #1'!C176/'Total Distance Tables Sup #1'!$B176)</f>
        <v>0</v>
      </c>
      <c r="D44" s="4">
        <f ca="1">$B44*('Updated Population'!D$37/'Updated Population'!$B$37)*('Total Distance Tables Sup #1'!D176/'Total Distance Tables Sup #1'!$B176)</f>
        <v>0</v>
      </c>
      <c r="E44" s="4">
        <f ca="1">$B44*('Updated Population'!E$37/'Updated Population'!$B$37)*('Total Distance Tables Sup #1'!E176/'Total Distance Tables Sup #1'!$B176)</f>
        <v>0</v>
      </c>
      <c r="F44" s="4">
        <f ca="1">$B44*('Updated Population'!F$37/'Updated Population'!$B$37)*('Total Distance Tables Sup #1'!F176/'Total Distance Tables Sup #1'!$B176)</f>
        <v>0</v>
      </c>
      <c r="G44" s="4">
        <f ca="1">$B44*('Updated Population'!G$37/'Updated Population'!$B$37)*('Total Distance Tables Sup #1'!G176/'Total Distance Tables Sup #1'!$B176)</f>
        <v>0</v>
      </c>
      <c r="H44" s="4">
        <f ca="1">$B44*('Updated Population'!H$37/'Updated Population'!$B$37)*('Total Distance Tables Sup #1'!H176/'Total Distance Tables Sup #1'!$B176)</f>
        <v>0</v>
      </c>
      <c r="I44" s="1">
        <f ca="1">$B44*('Updated Population'!I$37/'Updated Population'!$B$37)*('Total Distance Tables Sup #1'!I176/'Total Distance Tables Sup #1'!$B176)</f>
        <v>0</v>
      </c>
      <c r="J44" s="1">
        <f ca="1">$B44*('Updated Population'!J$37/'Updated Population'!$B$37)*('Total Distance Tables Sup #1'!J176/'Total Distance Tables Sup #1'!$B176)</f>
        <v>0</v>
      </c>
      <c r="K44" s="1">
        <f ca="1">$B44*('Updated Population'!K$37/'Updated Population'!$B$37)*('Total Distance Tables Sup #1'!K176/'Total Distance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OFFSET(BOP_Reference,42,6)</f>
        <v>52.669440211999998</v>
      </c>
      <c r="C45" s="4">
        <f ca="1">$B45*('Updated Population'!C$37/'Updated Population'!$B$37)*('Total Distance Tables Sup #1'!C177/'Total Distance Tables Sup #1'!$B177)</f>
        <v>53.008646112032523</v>
      </c>
      <c r="D45" s="4">
        <f ca="1">$B45*('Updated Population'!D$37/'Updated Population'!$B$37)*('Total Distance Tables Sup #1'!D177/'Total Distance Tables Sup #1'!$B177)</f>
        <v>56.708354948338247</v>
      </c>
      <c r="E45" s="4">
        <f ca="1">$B45*('Updated Population'!E$37/'Updated Population'!$B$37)*('Total Distance Tables Sup #1'!E177/'Total Distance Tables Sup #1'!$B177)</f>
        <v>58.83598044829202</v>
      </c>
      <c r="F45" s="4">
        <f ca="1">$B45*('Updated Population'!F$37/'Updated Population'!$B$37)*('Total Distance Tables Sup #1'!F177/'Total Distance Tables Sup #1'!$B177)</f>
        <v>60.272884331399084</v>
      </c>
      <c r="G45" s="4">
        <f ca="1">$B45*('Updated Population'!G$37/'Updated Population'!$B$37)*('Total Distance Tables Sup #1'!G177/'Total Distance Tables Sup #1'!$B177)</f>
        <v>62.281051976934215</v>
      </c>
      <c r="H45" s="4">
        <f ca="1">$B45*('Updated Population'!H$37/'Updated Population'!$B$37)*('Total Distance Tables Sup #1'!H177/'Total Distance Tables Sup #1'!$B177)</f>
        <v>64.182335815593092</v>
      </c>
      <c r="I45" s="1">
        <f ca="1">$B45*('Updated Population'!I$37/'Updated Population'!$B$37)*('Total Distance Tables Sup #1'!I177/'Total Distance Tables Sup #1'!$B177)</f>
        <v>67.603800641913566</v>
      </c>
      <c r="J45" s="1">
        <f ca="1">$B45*('Updated Population'!J$37/'Updated Population'!$B$37)*('Total Distance Tables Sup #1'!J177/'Total Distance Tables Sup #1'!$B177)</f>
        <v>71.947124024731181</v>
      </c>
      <c r="K45" s="1">
        <f ca="1">$B45*('Updated Population'!K$37/'Updated Population'!$B$37)*('Total Distance Tables Sup #1'!K177/'Total Distance Tables Sup #1'!$B177)</f>
        <v>76.462387319705172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Distance Tables Sup #1'!C178/'Total Distance Tables Sup #1'!$B178)</f>
        <v>0</v>
      </c>
      <c r="D46" s="4">
        <f ca="1">$B46*('Updated Population'!D$37/'Updated Population'!$B$37)*('Total Distance Tables Sup #1'!D178/'Total Distance Tables Sup #1'!$B178)</f>
        <v>0</v>
      </c>
      <c r="E46" s="4">
        <f ca="1">$B46*('Updated Population'!E$37/'Updated Population'!$B$37)*('Total Distance Tables Sup #1'!E178/'Total Distance Tables Sup #1'!$B178)</f>
        <v>0</v>
      </c>
      <c r="F46" s="4">
        <f ca="1">$B46*('Updated Population'!F$37/'Updated Population'!$B$37)*('Total Distance Tables Sup #1'!F178/'Total Distance Tables Sup #1'!$B178)</f>
        <v>0</v>
      </c>
      <c r="G46" s="4">
        <f ca="1">$B46*('Updated Population'!G$37/'Updated Population'!$B$37)*('Total Distance Tables Sup #1'!G178/'Total Distance Tables Sup #1'!$B178)</f>
        <v>0</v>
      </c>
      <c r="H46" s="4">
        <f ca="1">$B46*('Updated Population'!H$37/'Updated Population'!$B$37)*('Total Distance Tables Sup #1'!H178/'Total Distance Tables Sup #1'!$B178)</f>
        <v>0</v>
      </c>
      <c r="I46" s="1">
        <f ca="1">$B46*('Updated Population'!I$37/'Updated Population'!$B$37)*('Total Distance Tables Sup #1'!I178/'Total Distance Tables Sup #1'!$B178)</f>
        <v>0</v>
      </c>
      <c r="J46" s="1">
        <f ca="1">$B46*('Updated Population'!J$37/'Updated Population'!$B$37)*('Total Distance Tables Sup #1'!J178/'Total Distance Tables Sup #1'!$B178)</f>
        <v>0</v>
      </c>
      <c r="K46" s="1">
        <f ca="1">$B46*('Updated Population'!K$37/'Updated Population'!$B$37)*('Total Distance Tables Sup #1'!K178/'Total Distance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OFFSET(BOP_Reference,49,6)</f>
        <v>0</v>
      </c>
      <c r="C47" s="4">
        <f ca="1">$B47*('Updated Population'!C$37/'Updated Population'!$B$37)*('Total Distance Tables Sup #1'!C179/'Total Distance Tables Sup #1'!$B179)</f>
        <v>0</v>
      </c>
      <c r="D47" s="4">
        <f ca="1">$B47*('Updated Population'!D$37/'Updated Population'!$B$37)*('Total Distance Tables Sup #1'!D179/'Total Distance Tables Sup #1'!$B179)</f>
        <v>0</v>
      </c>
      <c r="E47" s="4">
        <f ca="1">$B47*('Updated Population'!E$37/'Updated Population'!$B$37)*('Total Distance Tables Sup #1'!E179/'Total Distance Tables Sup #1'!$B179)</f>
        <v>0</v>
      </c>
      <c r="F47" s="4">
        <f ca="1">$B47*('Updated Population'!F$37/'Updated Population'!$B$37)*('Total Distance Tables Sup #1'!F179/'Total Distance Tables Sup #1'!$B179)</f>
        <v>0</v>
      </c>
      <c r="G47" s="4">
        <f ca="1">$B47*('Updated Population'!G$37/'Updated Population'!$B$37)*('Total Distance Tables Sup #1'!G179/'Total Distance Tables Sup #1'!$B179)</f>
        <v>0</v>
      </c>
      <c r="H47" s="4">
        <f ca="1">$B47*('Updated Population'!H$37/'Updated Population'!$B$37)*('Total Distance Tables Sup #1'!H179/'Total Distance Tables Sup #1'!$B179)</f>
        <v>0</v>
      </c>
      <c r="I47" s="1">
        <f ca="1">$B47*('Updated Population'!I$37/'Updated Population'!$B$37)*('Total Distance Tables Sup #1'!I179/'Total Distance Tables Sup #1'!$B179)</f>
        <v>0</v>
      </c>
      <c r="J47" s="1">
        <f ca="1">$B47*('Updated Population'!J$37/'Updated Population'!$B$37)*('Total Distance Tables Sup #1'!J179/'Total Distance Tables Sup #1'!$B179)</f>
        <v>0</v>
      </c>
      <c r="K47" s="1">
        <f ca="1">$B47*('Updated Population'!K$37/'Updated Population'!$B$37)*('Total Distance Tables Sup #1'!K179/'Total Distance Tables Sup #1'!$B179)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$B49*('Updated Population'!C$48/'Updated Population'!$B$48)*('Total Distance Tables Sup #1'!C170/'Total Distance Tables Sup #1'!$B170)</f>
        <v>7.5983731615840586</v>
      </c>
      <c r="D49" s="4">
        <f ca="1">$B49*('Updated Population'!D$48/'Updated Population'!$B$48)*('Total Distance Tables Sup #1'!D170/'Total Distance Tables Sup #1'!$B170)</f>
        <v>7.4525970562866277</v>
      </c>
      <c r="E49" s="4">
        <f ca="1">$B49*('Updated Population'!E$48/'Updated Population'!$B$48)*('Total Distance Tables Sup #1'!E170/'Total Distance Tables Sup #1'!$B170)</f>
        <v>7.2079723835144911</v>
      </c>
      <c r="F49" s="4">
        <f ca="1">$B49*('Updated Population'!F$48/'Updated Population'!$B$48)*('Total Distance Tables Sup #1'!F170/'Total Distance Tables Sup #1'!$B170)</f>
        <v>6.9150821214367904</v>
      </c>
      <c r="G49" s="4">
        <f ca="1">$B49*('Updated Population'!G$48/'Updated Population'!$B$48)*('Total Distance Tables Sup #1'!G170/'Total Distance Tables Sup #1'!$B170)</f>
        <v>6.6216176912134648</v>
      </c>
      <c r="H49" s="4">
        <f ca="1">$B49*('Updated Population'!H$48/'Updated Population'!$B$48)*('Total Distance Tables Sup #1'!H170/'Total Distance Tables Sup #1'!$B170)</f>
        <v>6.3053843260876121</v>
      </c>
      <c r="I49" s="1">
        <f ca="1">$B49*('Updated Population'!I$48/'Updated Population'!$B$48)*('Total Distance Tables Sup #1'!I170/'Total Distance Tables Sup #1'!$B170)</f>
        <v>6.2462051605916447</v>
      </c>
      <c r="J49" s="1">
        <f ca="1">$B49*('Updated Population'!J$48/'Updated Population'!$B$48)*('Total Distance Tables Sup #1'!J170/'Total Distance Tables Sup #1'!$B170)</f>
        <v>6.1678852831639848</v>
      </c>
      <c r="K49" s="1">
        <f ca="1">$B49*('Updated Population'!K$48/'Updated Population'!$B$48)*('Total Distance Tables Sup #1'!K170/'Total Distance Tables Sup #1'!$B170)</f>
        <v>6.0774584627113004</v>
      </c>
    </row>
    <row r="50" spans="1:11" x14ac:dyDescent="0.2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$B50*('Updated Population'!C$48/'Updated Population'!$B$48)*('Total Distance Tables Sup #1'!C171/'Total Distance Tables Sup #1'!$B171)</f>
        <v>3.8599826344892278</v>
      </c>
      <c r="D50" s="4">
        <f ca="1">$B50*('Updated Population'!D$48/'Updated Population'!$B$48)*('Total Distance Tables Sup #1'!D171/'Total Distance Tables Sup #1'!$B171)</f>
        <v>3.9515600118663556</v>
      </c>
      <c r="E50" s="4">
        <f ca="1">$B50*('Updated Population'!E$48/'Updated Population'!$B$48)*('Total Distance Tables Sup #1'!E171/'Total Distance Tables Sup #1'!$B171)</f>
        <v>3.867171354161107</v>
      </c>
      <c r="F50" s="4">
        <f ca="1">$B50*('Updated Population'!F$48/'Updated Population'!$B$48)*('Total Distance Tables Sup #1'!F171/'Total Distance Tables Sup #1'!$B171)</f>
        <v>3.8316911609360287</v>
      </c>
      <c r="G50" s="4">
        <f ca="1">$B50*('Updated Population'!G$48/'Updated Population'!$B$48)*('Total Distance Tables Sup #1'!G171/'Total Distance Tables Sup #1'!$B171)</f>
        <v>3.8420569195766086</v>
      </c>
      <c r="H50" s="4">
        <f ca="1">$B50*('Updated Population'!H$48/'Updated Population'!$B$48)*('Total Distance Tables Sup #1'!H171/'Total Distance Tables Sup #1'!$B171)</f>
        <v>3.8357847063059189</v>
      </c>
      <c r="I50" s="1">
        <f ca="1">$B50*('Updated Population'!I$48/'Updated Population'!$B$48)*('Total Distance Tables Sup #1'!I171/'Total Distance Tables Sup #1'!$B171)</f>
        <v>3.7997839605619674</v>
      </c>
      <c r="J50" s="1">
        <f ca="1">$B50*('Updated Population'!J$48/'Updated Population'!$B$48)*('Total Distance Tables Sup #1'!J171/'Total Distance Tables Sup #1'!$B171)</f>
        <v>3.7521392536733114</v>
      </c>
      <c r="K50" s="1">
        <f ca="1">$B50*('Updated Population'!K$48/'Updated Population'!$B$48)*('Total Distance Tables Sup #1'!K171/'Total Distance Tables Sup #1'!$B171)</f>
        <v>3.697129472033641</v>
      </c>
    </row>
    <row r="51" spans="1:11" x14ac:dyDescent="0.2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$B51*('Updated Population'!C$48/'Updated Population'!$B$48)*('Total Distance Tables Sup #1'!C172/'Total Distance Tables Sup #1'!$B172)</f>
        <v>252.79815029228749</v>
      </c>
      <c r="D51" s="4">
        <f ca="1">$B51*('Updated Population'!D$48/'Updated Population'!$B$48)*('Total Distance Tables Sup #1'!D172/'Total Distance Tables Sup #1'!$B172)</f>
        <v>255.90967732393204</v>
      </c>
      <c r="E51" s="4">
        <f ca="1">$B51*('Updated Population'!E$48/'Updated Population'!$B$48)*('Total Distance Tables Sup #1'!E172/'Total Distance Tables Sup #1'!$B172)</f>
        <v>259.11643542846502</v>
      </c>
      <c r="F51" s="4">
        <f ca="1">$B51*('Updated Population'!F$48/'Updated Population'!$B$48)*('Total Distance Tables Sup #1'!F172/'Total Distance Tables Sup #1'!$B172)</f>
        <v>259.3622322186875</v>
      </c>
      <c r="G51" s="4">
        <f ca="1">$B51*('Updated Population'!G$48/'Updated Population'!$B$48)*('Total Distance Tables Sup #1'!G172/'Total Distance Tables Sup #1'!$B172)</f>
        <v>255.98872913588144</v>
      </c>
      <c r="H51" s="4">
        <f ca="1">$B51*('Updated Population'!H$48/'Updated Population'!$B$48)*('Total Distance Tables Sup #1'!H172/'Total Distance Tables Sup #1'!$B172)</f>
        <v>250.51171213197691</v>
      </c>
      <c r="I51" s="1">
        <f ca="1">$B51*('Updated Population'!I$48/'Updated Population'!$B$48)*('Total Distance Tables Sup #1'!I172/'Total Distance Tables Sup #1'!$B172)</f>
        <v>248.16053521646364</v>
      </c>
      <c r="J51" s="1">
        <f ca="1">$B51*('Updated Population'!J$48/'Updated Population'!$B$48)*('Total Distance Tables Sup #1'!J172/'Total Distance Tables Sup #1'!$B172)</f>
        <v>245.0489014803257</v>
      </c>
      <c r="K51" s="1">
        <f ca="1">$B51*('Updated Population'!K$48/'Updated Population'!$B$48)*('Total Distance Tables Sup #1'!K172/'Total Distance Tables Sup #1'!$B172)</f>
        <v>241.45626121563487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$B52*('Updated Population'!C$48/'Updated Population'!$B$48)*('Total Distance Tables Sup #1'!C173/'Total Distance Tables Sup #1'!$B173)</f>
        <v>174.87232089324357</v>
      </c>
      <c r="D52" s="4">
        <f ca="1">$B52*('Updated Population'!D$48/'Updated Population'!$B$48)*('Total Distance Tables Sup #1'!D173/'Total Distance Tables Sup #1'!$B173)</f>
        <v>174.98032042441463</v>
      </c>
      <c r="E52" s="4">
        <f ca="1">$B52*('Updated Population'!E$48/'Updated Population'!$B$48)*('Total Distance Tables Sup #1'!E173/'Total Distance Tables Sup #1'!$B173)</f>
        <v>174.65778178192139</v>
      </c>
      <c r="F52" s="4">
        <f ca="1">$B52*('Updated Population'!F$48/'Updated Population'!$B$48)*('Total Distance Tables Sup #1'!F173/'Total Distance Tables Sup #1'!$B173)</f>
        <v>172.6091076116254</v>
      </c>
      <c r="G52" s="4">
        <f ca="1">$B52*('Updated Population'!G$48/'Updated Population'!$B$48)*('Total Distance Tables Sup #1'!G173/'Total Distance Tables Sup #1'!$B173)</f>
        <v>169.18687372431603</v>
      </c>
      <c r="H52" s="4">
        <f ca="1">$B52*('Updated Population'!H$48/'Updated Population'!$B$48)*('Total Distance Tables Sup #1'!H173/'Total Distance Tables Sup #1'!$B173)</f>
        <v>164.69378776372793</v>
      </c>
      <c r="I52" s="1">
        <f ca="1">$B52*('Updated Population'!I$48/'Updated Population'!$B$48)*('Total Distance Tables Sup #1'!I173/'Total Distance Tables Sup #1'!$B173)</f>
        <v>163.14805471746413</v>
      </c>
      <c r="J52" s="1">
        <f ca="1">$B52*('Updated Population'!J$48/'Updated Population'!$B$48)*('Total Distance Tables Sup #1'!J173/'Total Distance Tables Sup #1'!$B173)</f>
        <v>161.10237492957472</v>
      </c>
      <c r="K52" s="1">
        <f ca="1">$B52*('Updated Population'!K$48/'Updated Population'!$B$48)*('Total Distance Tables Sup #1'!K173/'Total Distance Tables Sup #1'!$B173)</f>
        <v>158.74046726374593</v>
      </c>
    </row>
    <row r="53" spans="1:11" x14ac:dyDescent="0.2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$B53*('Updated Population'!C$48/'Updated Population'!$B$48)*('Total Distance Tables Sup #1'!C174/'Total Distance Tables Sup #1'!$B174)</f>
        <v>0.13004897469059279</v>
      </c>
      <c r="D53" s="4">
        <f ca="1">$B53*('Updated Population'!D$48/'Updated Population'!$B$48)*('Total Distance Tables Sup #1'!D174/'Total Distance Tables Sup #1'!$B174)</f>
        <v>0.1430626379604564</v>
      </c>
      <c r="E53" s="4">
        <f ca="1">$B53*('Updated Population'!E$48/'Updated Population'!$B$48)*('Total Distance Tables Sup #1'!E174/'Total Distance Tables Sup #1'!$B174)</f>
        <v>0.15381014041829244</v>
      </c>
      <c r="F53" s="4">
        <f ca="1">$B53*('Updated Population'!F$48/'Updated Population'!$B$48)*('Total Distance Tables Sup #1'!F174/'Total Distance Tables Sup #1'!$B174)</f>
        <v>0.16122885824253561</v>
      </c>
      <c r="G53" s="4">
        <f ca="1">$B53*('Updated Population'!G$48/'Updated Population'!$B$48)*('Total Distance Tables Sup #1'!G174/'Total Distance Tables Sup #1'!$B174)</f>
        <v>0.16455506539540948</v>
      </c>
      <c r="H53" s="4">
        <f ca="1">$B53*('Updated Population'!H$48/'Updated Population'!$B$48)*('Total Distance Tables Sup #1'!H174/'Total Distance Tables Sup #1'!$B174)</f>
        <v>0.16568953518101306</v>
      </c>
      <c r="I53" s="1">
        <f ca="1">$B53*('Updated Population'!I$48/'Updated Population'!$B$48)*('Total Distance Tables Sup #1'!I174/'Total Distance Tables Sup #1'!$B174)</f>
        <v>0.16413445655038006</v>
      </c>
      <c r="J53" s="1">
        <f ca="1">$B53*('Updated Population'!J$48/'Updated Population'!$B$48)*('Total Distance Tables Sup #1'!J174/'Total Distance Tables Sup #1'!$B174)</f>
        <v>0.16207640847347959</v>
      </c>
      <c r="K53" s="1">
        <f ca="1">$B53*('Updated Population'!K$48/'Updated Population'!$B$48)*('Total Distance Tables Sup #1'!K174/'Total Distance Tables Sup #1'!$B174)</f>
        <v>0.15970022058803809</v>
      </c>
    </row>
    <row r="54" spans="1:11" x14ac:dyDescent="0.2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$B54*('Updated Population'!C$48/'Updated Population'!$B$48)*('Total Distance Tables Sup #1'!C175/'Total Distance Tables Sup #1'!$B175)</f>
        <v>0.98431757156305622</v>
      </c>
      <c r="D54" s="4">
        <f ca="1">$B54*('Updated Population'!D$48/'Updated Population'!$B$48)*('Total Distance Tables Sup #1'!D175/'Total Distance Tables Sup #1'!$B175)</f>
        <v>0.99629625839934521</v>
      </c>
      <c r="E54" s="4">
        <f ca="1">$B54*('Updated Population'!E$48/'Updated Population'!$B$48)*('Total Distance Tables Sup #1'!E175/'Total Distance Tables Sup #1'!$B175)</f>
        <v>0.98287091021415407</v>
      </c>
      <c r="F54" s="4">
        <f ca="1">$B54*('Updated Population'!F$48/'Updated Population'!$B$48)*('Total Distance Tables Sup #1'!F175/'Total Distance Tables Sup #1'!$B175)</f>
        <v>0.94822092129418567</v>
      </c>
      <c r="G54" s="4">
        <f ca="1">$B54*('Updated Population'!G$48/'Updated Population'!$B$48)*('Total Distance Tables Sup #1'!G175/'Total Distance Tables Sup #1'!$B175)</f>
        <v>0.8925722929861557</v>
      </c>
      <c r="H54" s="4">
        <f ca="1">$B54*('Updated Population'!H$48/'Updated Population'!$B$48)*('Total Distance Tables Sup #1'!H175/'Total Distance Tables Sup #1'!$B175)</f>
        <v>0.8313491064908678</v>
      </c>
      <c r="I54" s="1">
        <f ca="1">$B54*('Updated Population'!I$48/'Updated Population'!$B$48)*('Total Distance Tables Sup #1'!I175/'Total Distance Tables Sup #1'!$B175)</f>
        <v>0.82354648196972691</v>
      </c>
      <c r="J54" s="1">
        <f ca="1">$B54*('Updated Population'!J$48/'Updated Population'!$B$48)*('Total Distance Tables Sup #1'!J175/'Total Distance Tables Sup #1'!$B175)</f>
        <v>0.81322020259440475</v>
      </c>
      <c r="K54" s="1">
        <f ca="1">$B54*('Updated Population'!K$48/'Updated Population'!$B$48)*('Total Distance Tables Sup #1'!K175/'Total Distance Tables Sup #1'!$B175)</f>
        <v>0.80129765315120605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Distance Tables Sup #1'!C176/'Total Distance Tables Sup #1'!$B176)</f>
        <v>0</v>
      </c>
      <c r="D55" s="4">
        <f ca="1">$B55*('Updated Population'!D$48/'Updated Population'!$B$48)*('Total Distance Tables Sup #1'!D176/'Total Distance Tables Sup #1'!$B176)</f>
        <v>0</v>
      </c>
      <c r="E55" s="4">
        <f ca="1">$B55*('Updated Population'!E$48/'Updated Population'!$B$48)*('Total Distance Tables Sup #1'!E176/'Total Distance Tables Sup #1'!$B176)</f>
        <v>0</v>
      </c>
      <c r="F55" s="4">
        <f ca="1">$B55*('Updated Population'!F$48/'Updated Population'!$B$48)*('Total Distance Tables Sup #1'!F176/'Total Distance Tables Sup #1'!$B176)</f>
        <v>0</v>
      </c>
      <c r="G55" s="4">
        <f ca="1">$B55*('Updated Population'!G$48/'Updated Population'!$B$48)*('Total Distance Tables Sup #1'!G176/'Total Distance Tables Sup #1'!$B176)</f>
        <v>0</v>
      </c>
      <c r="H55" s="4">
        <f ca="1">$B55*('Updated Population'!H$48/'Updated Population'!$B$48)*('Total Distance Tables Sup #1'!H176/'Total Distance Tables Sup #1'!$B176)</f>
        <v>0</v>
      </c>
      <c r="I55" s="1">
        <f ca="1">$B55*('Updated Population'!I$48/'Updated Population'!$B$48)*('Total Distance Tables Sup #1'!I176/'Total Distance Tables Sup #1'!$B176)</f>
        <v>0</v>
      </c>
      <c r="J55" s="1">
        <f ca="1">$B55*('Updated Population'!J$48/'Updated Population'!$B$48)*('Total Distance Tables Sup #1'!J176/'Total Distance Tables Sup #1'!$B176)</f>
        <v>0</v>
      </c>
      <c r="K55" s="1">
        <f ca="1">$B55*('Updated Population'!K$48/'Updated Population'!$B$48)*('Total Distance Tables Sup #1'!K176/'Total Distance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$B56*('Updated Population'!C$48/'Updated Population'!$B$48)*('Total Distance Tables Sup #1'!C177/'Total Distance Tables Sup #1'!$B177)</f>
        <v>4.3167183086109997</v>
      </c>
      <c r="D56" s="4">
        <f ca="1">$B56*('Updated Population'!D$48/'Updated Population'!$B$48)*('Total Distance Tables Sup #1'!D177/'Total Distance Tables Sup #1'!$B177)</f>
        <v>4.1851924933238198</v>
      </c>
      <c r="E56" s="4">
        <f ca="1">$B56*('Updated Population'!E$48/'Updated Population'!$B$48)*('Total Distance Tables Sup #1'!E177/'Total Distance Tables Sup #1'!$B177)</f>
        <v>3.9889577749399434</v>
      </c>
      <c r="F56" s="4">
        <f ca="1">$B56*('Updated Population'!F$48/'Updated Population'!$B$48)*('Total Distance Tables Sup #1'!F177/'Total Distance Tables Sup #1'!$B177)</f>
        <v>3.7674652212910393</v>
      </c>
      <c r="G56" s="4">
        <f ca="1">$B56*('Updated Population'!G$48/'Updated Population'!$B$48)*('Total Distance Tables Sup #1'!G177/'Total Distance Tables Sup #1'!$B177)</f>
        <v>3.5929280746166863</v>
      </c>
      <c r="H56" s="4">
        <f ca="1">$B56*('Updated Population'!H$48/'Updated Population'!$B$48)*('Total Distance Tables Sup #1'!H177/'Total Distance Tables Sup #1'!$B177)</f>
        <v>3.4256511638086709</v>
      </c>
      <c r="I56" s="1">
        <f ca="1">$B56*('Updated Population'!I$48/'Updated Population'!$B$48)*('Total Distance Tables Sup #1'!I177/'Total Distance Tables Sup #1'!$B177)</f>
        <v>3.393499725185694</v>
      </c>
      <c r="J56" s="1">
        <f ca="1">$B56*('Updated Population'!J$48/'Updated Population'!$B$48)*('Total Distance Tables Sup #1'!J177/'Total Distance Tables Sup #1'!$B177)</f>
        <v>3.3509493324761843</v>
      </c>
      <c r="K56" s="1">
        <f ca="1">$B56*('Updated Population'!K$48/'Updated Population'!$B$48)*('Total Distance Tables Sup #1'!K177/'Total Distance Tables Sup #1'!$B177)</f>
        <v>3.3018213607771991</v>
      </c>
    </row>
    <row r="57" spans="1:11" x14ac:dyDescent="0.2">
      <c r="A57" t="str">
        <f ca="1">OFFSET(Gisborne_Reference,56,2)</f>
        <v>Local Ferry</v>
      </c>
      <c r="B57" s="4">
        <f ca="1">OFFSET(Gisborne_Reference,56,6)</f>
        <v>0</v>
      </c>
      <c r="C57" s="4">
        <f ca="1">$B57*('Updated Population'!C$48/'Updated Population'!$B$48)*('Total Distance Tables Sup #1'!C178/'Total Distance Tables Sup #1'!$B178)</f>
        <v>0</v>
      </c>
      <c r="D57" s="4">
        <f ca="1">$B57*('Updated Population'!D$48/'Updated Population'!$B$48)*('Total Distance Tables Sup #1'!D178/'Total Distance Tables Sup #1'!$B178)</f>
        <v>0</v>
      </c>
      <c r="E57" s="4">
        <f ca="1">$B57*('Updated Population'!E$48/'Updated Population'!$B$48)*('Total Distance Tables Sup #1'!E178/'Total Distance Tables Sup #1'!$B178)</f>
        <v>0</v>
      </c>
      <c r="F57" s="4">
        <f ca="1">$B57*('Updated Population'!F$48/'Updated Population'!$B$48)*('Total Distance Tables Sup #1'!F178/'Total Distance Tables Sup #1'!$B178)</f>
        <v>0</v>
      </c>
      <c r="G57" s="4">
        <f ca="1">$B57*('Updated Population'!G$48/'Updated Population'!$B$48)*('Total Distance Tables Sup #1'!G178/'Total Distance Tables Sup #1'!$B178)</f>
        <v>0</v>
      </c>
      <c r="H57" s="4">
        <f ca="1">$B57*('Updated Population'!H$48/'Updated Population'!$B$48)*('Total Distance Tables Sup #1'!H178/'Total Distance Tables Sup #1'!$B178)</f>
        <v>0</v>
      </c>
      <c r="I57" s="1">
        <f ca="1">$B57*('Updated Population'!I$48/'Updated Population'!$B$48)*('Total Distance Tables Sup #1'!I178/'Total Distance Tables Sup #1'!$B178)</f>
        <v>0</v>
      </c>
      <c r="J57" s="1">
        <f ca="1">$B57*('Updated Population'!J$48/'Updated Population'!$B$48)*('Total Distance Tables Sup #1'!J178/'Total Distance Tables Sup #1'!$B178)</f>
        <v>0</v>
      </c>
      <c r="K57" s="1">
        <f ca="1">$B57*('Updated Population'!K$48/'Updated Population'!$B$48)*('Total Distance Tables Sup #1'!K178/'Total Distance Tables Sup #1'!$B178)</f>
        <v>0</v>
      </c>
    </row>
    <row r="58" spans="1:11" x14ac:dyDescent="0.2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$B58*('Updated Population'!C$48/'Updated Population'!$B$48)*('Total Distance Tables Sup #1'!C179/'Total Distance Tables Sup #1'!$B179)</f>
        <v>0</v>
      </c>
      <c r="D58" s="4">
        <f ca="1">$B58*('Updated Population'!D$48/'Updated Population'!$B$48)*('Total Distance Tables Sup #1'!D179/'Total Distance Tables Sup #1'!$B179)</f>
        <v>0</v>
      </c>
      <c r="E58" s="4">
        <f ca="1">$B58*('Updated Population'!E$48/'Updated Population'!$B$48)*('Total Distance Tables Sup #1'!E179/'Total Distance Tables Sup #1'!$B179)</f>
        <v>0</v>
      </c>
      <c r="F58" s="4">
        <f ca="1">$B58*('Updated Population'!F$48/'Updated Population'!$B$48)*('Total Distance Tables Sup #1'!F179/'Total Distance Tables Sup #1'!$B179)</f>
        <v>0</v>
      </c>
      <c r="G58" s="4">
        <f ca="1">$B58*('Updated Population'!G$48/'Updated Population'!$B$48)*('Total Distance Tables Sup #1'!G179/'Total Distance Tables Sup #1'!$B179)</f>
        <v>0</v>
      </c>
      <c r="H58" s="4">
        <f ca="1">$B58*('Updated Population'!H$48/'Updated Population'!$B$48)*('Total Distance Tables Sup #1'!H179/'Total Distance Tables Sup #1'!$B179)</f>
        <v>0</v>
      </c>
      <c r="I58" s="1">
        <f ca="1">$B58*('Updated Population'!I$48/'Updated Population'!$B$48)*('Total Distance Tables Sup #1'!I179/'Total Distance Tables Sup #1'!$B179)</f>
        <v>0</v>
      </c>
      <c r="J58" s="1">
        <f ca="1">$B58*('Updated Population'!J$48/'Updated Population'!$B$48)*('Total Distance Tables Sup #1'!J179/'Total Distance Tables Sup #1'!$B179)</f>
        <v>0</v>
      </c>
      <c r="K58" s="1">
        <f ca="1">$B58*('Updated Population'!K$48/'Updated Population'!$B$48)*('Total Distance Tables Sup #1'!K179/'Total Distance Tables Sup #1'!$B179)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$B60*('Updated Population'!C$59/'Updated Population'!$B$59)*('Total Distance Tables Sup #1'!C170/'Total Distance Tables Sup #1'!$B170)</f>
        <v>22.944016112191399</v>
      </c>
      <c r="D60" s="4">
        <f ca="1">$B60*('Updated Population'!D$59/'Updated Population'!$B$59)*('Total Distance Tables Sup #1'!D170/'Total Distance Tables Sup #1'!$B170)</f>
        <v>22.538142664813314</v>
      </c>
      <c r="E60" s="4">
        <f ca="1">$B60*('Updated Population'!E$59/'Updated Population'!$B$59)*('Total Distance Tables Sup #1'!E170/'Total Distance Tables Sup #1'!$B170)</f>
        <v>21.858404917515188</v>
      </c>
      <c r="F60" s="4">
        <f ca="1">$B60*('Updated Population'!F$59/'Updated Population'!$B$59)*('Total Distance Tables Sup #1'!F170/'Total Distance Tables Sup #1'!$B170)</f>
        <v>21.004632892083073</v>
      </c>
      <c r="G60" s="4">
        <f ca="1">$B60*('Updated Population'!G$59/'Updated Population'!$B$59)*('Total Distance Tables Sup #1'!G170/'Total Distance Tables Sup #1'!$B170)</f>
        <v>20.176841445192821</v>
      </c>
      <c r="H60" s="4">
        <f ca="1">$B60*('Updated Population'!H$59/'Updated Population'!$B$59)*('Total Distance Tables Sup #1'!H170/'Total Distance Tables Sup #1'!$B170)</f>
        <v>19.26109005750504</v>
      </c>
      <c r="I60" s="1">
        <f ca="1">$B60*('Updated Population'!I$59/'Updated Population'!$B$59)*('Total Distance Tables Sup #1'!I170/'Total Distance Tables Sup #1'!$B170)</f>
        <v>19.127832677056745</v>
      </c>
      <c r="J60" s="1">
        <f ca="1">$B60*('Updated Population'!J$59/'Updated Population'!$B$59)*('Total Distance Tables Sup #1'!J170/'Total Distance Tables Sup #1'!$B170)</f>
        <v>18.935031293831141</v>
      </c>
      <c r="K60" s="1">
        <f ca="1">$B60*('Updated Population'!K$59/'Updated Population'!$B$59)*('Total Distance Tables Sup #1'!K170/'Total Distance Tables Sup #1'!$B170)</f>
        <v>18.703890837335578</v>
      </c>
    </row>
    <row r="61" spans="1:11" x14ac:dyDescent="0.2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$B61*('Updated Population'!C$59/'Updated Population'!$B$59)*('Total Distance Tables Sup #1'!C171/'Total Distance Tables Sup #1'!$B171)</f>
        <v>9.7536778102777379</v>
      </c>
      <c r="D61" s="4">
        <f ca="1">$B61*('Updated Population'!D$59/'Updated Population'!$B$59)*('Total Distance Tables Sup #1'!D171/'Total Distance Tables Sup #1'!$B171)</f>
        <v>10.000306224059328</v>
      </c>
      <c r="E61" s="4">
        <f ca="1">$B61*('Updated Population'!E$59/'Updated Population'!$B$59)*('Total Distance Tables Sup #1'!E171/'Total Distance Tables Sup #1'!$B171)</f>
        <v>9.8137050893003561</v>
      </c>
      <c r="F61" s="4">
        <f ca="1">$B61*('Updated Population'!F$59/'Updated Population'!$B$59)*('Total Distance Tables Sup #1'!F171/'Total Distance Tables Sup #1'!$B171)</f>
        <v>9.7396305831688057</v>
      </c>
      <c r="G61" s="4">
        <f ca="1">$B61*('Updated Population'!G$59/'Updated Population'!$B$59)*('Total Distance Tables Sup #1'!G171/'Total Distance Tables Sup #1'!$B171)</f>
        <v>9.7968646342390606</v>
      </c>
      <c r="H61" s="4">
        <f ca="1">$B61*('Updated Population'!H$59/'Updated Population'!$B$59)*('Total Distance Tables Sup #1'!H171/'Total Distance Tables Sup #1'!$B171)</f>
        <v>9.8052293443518455</v>
      </c>
      <c r="I61" s="1">
        <f ca="1">$B61*('Updated Population'!I$59/'Updated Population'!$B$59)*('Total Distance Tables Sup #1'!I171/'Total Distance Tables Sup #1'!$B171)</f>
        <v>9.7373921049628969</v>
      </c>
      <c r="J61" s="1">
        <f ca="1">$B61*('Updated Population'!J$59/'Updated Population'!$B$59)*('Total Distance Tables Sup #1'!J171/'Total Distance Tables Sup #1'!$B171)</f>
        <v>9.6392428426526529</v>
      </c>
      <c r="K61" s="1">
        <f ca="1">$B61*('Updated Population'!K$59/'Updated Population'!$B$59)*('Total Distance Tables Sup #1'!K171/'Total Distance Tables Sup #1'!$B171)</f>
        <v>9.5215763357243972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$B62*('Updated Population'!C$59/'Updated Population'!$B$59)*('Total Distance Tables Sup #1'!C172/'Total Distance Tables Sup #1'!$B172)</f>
        <v>1055.8540474877714</v>
      </c>
      <c r="D62" s="4">
        <f ca="1">$B62*('Updated Population'!D$59/'Updated Population'!$B$59)*('Total Distance Tables Sup #1'!D172/'Total Distance Tables Sup #1'!$B172)</f>
        <v>1070.4795340471273</v>
      </c>
      <c r="E62" s="4">
        <f ca="1">$B62*('Updated Population'!E$59/'Updated Population'!$B$59)*('Total Distance Tables Sup #1'!E172/'Total Distance Tables Sup #1'!$B172)</f>
        <v>1086.8797312312463</v>
      </c>
      <c r="F62" s="4">
        <f ca="1">$B62*('Updated Population'!F$59/'Updated Population'!$B$59)*('Total Distance Tables Sup #1'!F172/'Total Distance Tables Sup #1'!$B172)</f>
        <v>1089.6967742774796</v>
      </c>
      <c r="G62" s="4">
        <f ca="1">$B62*('Updated Population'!G$59/'Updated Population'!$B$59)*('Total Distance Tables Sup #1'!G172/'Total Distance Tables Sup #1'!$B172)</f>
        <v>1078.9246102022371</v>
      </c>
      <c r="H62" s="4">
        <f ca="1">$B62*('Updated Population'!H$59/'Updated Population'!$B$59)*('Total Distance Tables Sup #1'!H172/'Total Distance Tables Sup #1'!$B172)</f>
        <v>1058.4698956960799</v>
      </c>
      <c r="I62" s="1">
        <f ca="1">$B62*('Updated Population'!I$59/'Updated Population'!$B$59)*('Total Distance Tables Sup #1'!I172/'Total Distance Tables Sup #1'!$B172)</f>
        <v>1051.1468976122367</v>
      </c>
      <c r="J62" s="1">
        <f ca="1">$B62*('Updated Population'!J$59/'Updated Population'!$B$59)*('Total Distance Tables Sup #1'!J172/'Total Distance Tables Sup #1'!$B172)</f>
        <v>1040.5517309117233</v>
      </c>
      <c r="K62" s="1">
        <f ca="1">$B62*('Updated Population'!K$59/'Updated Population'!$B$59)*('Total Distance Tables Sup #1'!K172/'Total Distance Tables Sup #1'!$B172)</f>
        <v>1027.8496868349046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$B63*('Updated Population'!C$59/'Updated Population'!$B$59)*('Total Distance Tables Sup #1'!C173/'Total Distance Tables Sup #1'!$B173)</f>
        <v>612.22285444270858</v>
      </c>
      <c r="D63" s="4">
        <f ca="1">$B63*('Updated Population'!D$59/'Updated Population'!$B$59)*('Total Distance Tables Sup #1'!D173/'Total Distance Tables Sup #1'!$B173)</f>
        <v>613.53498716742035</v>
      </c>
      <c r="E63" s="4">
        <f ca="1">$B63*('Updated Population'!E$59/'Updated Population'!$B$59)*('Total Distance Tables Sup #1'!E173/'Total Distance Tables Sup #1'!$B173)</f>
        <v>614.09128794271203</v>
      </c>
      <c r="F63" s="4">
        <f ca="1">$B63*('Updated Population'!F$59/'Updated Population'!$B$59)*('Total Distance Tables Sup #1'!F173/'Total Distance Tables Sup #1'!$B173)</f>
        <v>607.88454789031471</v>
      </c>
      <c r="G63" s="4">
        <f ca="1">$B63*('Updated Population'!G$59/'Updated Population'!$B$59)*('Total Distance Tables Sup #1'!G173/'Total Distance Tables Sup #1'!$B173)</f>
        <v>597.71669633468048</v>
      </c>
      <c r="H63" s="4">
        <f ca="1">$B63*('Updated Population'!H$59/'Updated Population'!$B$59)*('Total Distance Tables Sup #1'!H173/'Total Distance Tables Sup #1'!$B173)</f>
        <v>583.2921881443657</v>
      </c>
      <c r="I63" s="1">
        <f ca="1">$B63*('Updated Population'!I$59/'Updated Population'!$B$59)*('Total Distance Tables Sup #1'!I173/'Total Distance Tables Sup #1'!$B173)</f>
        <v>579.25669540766125</v>
      </c>
      <c r="J63" s="1">
        <f ca="1">$B63*('Updated Population'!J$59/'Updated Population'!$B$59)*('Total Distance Tables Sup #1'!J173/'Total Distance Tables Sup #1'!$B173)</f>
        <v>573.41800505508161</v>
      </c>
      <c r="K63" s="1">
        <f ca="1">$B63*('Updated Population'!K$59/'Updated Population'!$B$59)*('Total Distance Tables Sup #1'!K173/'Total Distance Tables Sup #1'!$B173)</f>
        <v>566.41827543253874</v>
      </c>
    </row>
    <row r="64" spans="1:11" x14ac:dyDescent="0.2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$B64*('Updated Population'!C$59/'Updated Population'!$B$59)*('Total Distance Tables Sup #1'!C174/'Total Distance Tables Sup #1'!$B174)</f>
        <v>1.9602397386199637</v>
      </c>
      <c r="D64" s="4">
        <f ca="1">$B64*('Updated Population'!D$59/'Updated Population'!$B$59)*('Total Distance Tables Sup #1'!D174/'Total Distance Tables Sup #1'!$B174)</f>
        <v>2.1596836858636537</v>
      </c>
      <c r="E64" s="4">
        <f ca="1">$B64*('Updated Population'!E$59/'Updated Population'!$B$59)*('Total Distance Tables Sup #1'!E174/'Total Distance Tables Sup #1'!$B174)</f>
        <v>2.328325835966631</v>
      </c>
      <c r="F64" s="4">
        <f ca="1">$B64*('Updated Population'!F$59/'Updated Population'!$B$59)*('Total Distance Tables Sup #1'!F174/'Total Distance Tables Sup #1'!$B174)</f>
        <v>2.4446346768445992</v>
      </c>
      <c r="G64" s="4">
        <f ca="1">$B64*('Updated Population'!G$59/'Updated Population'!$B$59)*('Total Distance Tables Sup #1'!G174/'Total Distance Tables Sup #1'!$B174)</f>
        <v>2.5029591978893384</v>
      </c>
      <c r="H64" s="4">
        <f ca="1">$B64*('Updated Population'!H$59/'Updated Population'!$B$59)*('Total Distance Tables Sup #1'!H174/'Total Distance Tables Sup #1'!$B174)</f>
        <v>2.5264913427175544</v>
      </c>
      <c r="I64" s="1">
        <f ca="1">$B64*('Updated Population'!I$59/'Updated Population'!$B$59)*('Total Distance Tables Sup #1'!I174/'Total Distance Tables Sup #1'!$B174)</f>
        <v>2.5090118741594054</v>
      </c>
      <c r="J64" s="1">
        <f ca="1">$B64*('Updated Population'!J$59/'Updated Population'!$B$59)*('Total Distance Tables Sup #1'!J174/'Total Distance Tables Sup #1'!$B174)</f>
        <v>2.4837219749829229</v>
      </c>
      <c r="K64" s="1">
        <f ca="1">$B64*('Updated Population'!K$59/'Updated Population'!$B$59)*('Total Distance Tables Sup #1'!K174/'Total Distance Tables Sup #1'!$B174)</f>
        <v>2.4534031113804819</v>
      </c>
    </row>
    <row r="65" spans="1:11" x14ac:dyDescent="0.2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$B65*('Updated Population'!C$59/'Updated Population'!$B$59)*('Total Distance Tables Sup #1'!C175/'Total Distance Tables Sup #1'!$B175)</f>
        <v>3.1559036266820932</v>
      </c>
      <c r="D65" s="4">
        <f ca="1">$B65*('Updated Population'!D$59/'Updated Population'!$B$59)*('Total Distance Tables Sup #1'!D175/'Total Distance Tables Sup #1'!$B175)</f>
        <v>3.199179852690619</v>
      </c>
      <c r="E65" s="4">
        <f ca="1">$B65*('Updated Population'!E$59/'Updated Population'!$B$59)*('Total Distance Tables Sup #1'!E175/'Total Distance Tables Sup #1'!$B175)</f>
        <v>3.1647652999798241</v>
      </c>
      <c r="F65" s="4">
        <f ca="1">$B65*('Updated Population'!F$59/'Updated Population'!$B$59)*('Total Distance Tables Sup #1'!F175/'Total Distance Tables Sup #1'!$B175)</f>
        <v>3.0582075811901173</v>
      </c>
      <c r="G65" s="4">
        <f ca="1">$B65*('Updated Population'!G$59/'Updated Population'!$B$59)*('Total Distance Tables Sup #1'!G175/'Total Distance Tables Sup #1'!$B175)</f>
        <v>2.887833525652272</v>
      </c>
      <c r="H65" s="4">
        <f ca="1">$B65*('Updated Population'!H$59/'Updated Population'!$B$59)*('Total Distance Tables Sup #1'!H175/'Total Distance Tables Sup #1'!$B175)</f>
        <v>2.6964502204580518</v>
      </c>
      <c r="I65" s="1">
        <f ca="1">$B65*('Updated Population'!I$59/'Updated Population'!$B$59)*('Total Distance Tables Sup #1'!I175/'Total Distance Tables Sup #1'!$B175)</f>
        <v>2.677794895561346</v>
      </c>
      <c r="J65" s="1">
        <f ca="1">$B65*('Updated Population'!J$59/'Updated Population'!$B$59)*('Total Distance Tables Sup #1'!J175/'Total Distance Tables Sup #1'!$B175)</f>
        <v>2.6508037267982507</v>
      </c>
      <c r="K65" s="1">
        <f ca="1">$B65*('Updated Population'!K$59/'Updated Population'!$B$59)*('Total Distance Tables Sup #1'!K175/'Total Distance Tables Sup #1'!$B175)</f>
        <v>2.6184452915791918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Distance Tables Sup #1'!C176/'Total Distance Tables Sup #1'!$B176)</f>
        <v>0</v>
      </c>
      <c r="D66" s="4">
        <f ca="1">$B66*('Updated Population'!D$59/'Updated Population'!$B$59)*('Total Distance Tables Sup #1'!D176/'Total Distance Tables Sup #1'!$B176)</f>
        <v>0</v>
      </c>
      <c r="E66" s="4">
        <f ca="1">$B66*('Updated Population'!E$59/'Updated Population'!$B$59)*('Total Distance Tables Sup #1'!E176/'Total Distance Tables Sup #1'!$B176)</f>
        <v>0</v>
      </c>
      <c r="F66" s="4">
        <f ca="1">$B66*('Updated Population'!F$59/'Updated Population'!$B$59)*('Total Distance Tables Sup #1'!F176/'Total Distance Tables Sup #1'!$B176)</f>
        <v>0</v>
      </c>
      <c r="G66" s="4">
        <f ca="1">$B66*('Updated Population'!G$59/'Updated Population'!$B$59)*('Total Distance Tables Sup #1'!G176/'Total Distance Tables Sup #1'!$B176)</f>
        <v>0</v>
      </c>
      <c r="H66" s="4">
        <f ca="1">$B66*('Updated Population'!H$59/'Updated Population'!$B$59)*('Total Distance Tables Sup #1'!H176/'Total Distance Tables Sup #1'!$B176)</f>
        <v>0</v>
      </c>
      <c r="I66" s="1">
        <f ca="1">$B66*('Updated Population'!I$59/'Updated Population'!$B$59)*('Total Distance Tables Sup #1'!I176/'Total Distance Tables Sup #1'!$B176)</f>
        <v>0</v>
      </c>
      <c r="J66" s="1">
        <f ca="1">$B66*('Updated Population'!J$59/'Updated Population'!$B$59)*('Total Distance Tables Sup #1'!J176/'Total Distance Tables Sup #1'!$B176)</f>
        <v>0</v>
      </c>
      <c r="K66" s="1">
        <f ca="1">$B66*('Updated Population'!K$59/'Updated Population'!$B$59)*('Total Distance Tables Sup #1'!K176/'Total Distance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$B67*('Updated Population'!C$59/'Updated Population'!$B$59)*('Total Distance Tables Sup #1'!C177/'Total Distance Tables Sup #1'!$B177)</f>
        <v>35.264789303796157</v>
      </c>
      <c r="D67" s="4">
        <f ca="1">$B67*('Updated Population'!D$59/'Updated Population'!$B$59)*('Total Distance Tables Sup #1'!D177/'Total Distance Tables Sup #1'!$B177)</f>
        <v>34.242438472368349</v>
      </c>
      <c r="E67" s="4">
        <f ca="1">$B67*('Updated Population'!E$59/'Updated Population'!$B$59)*('Total Distance Tables Sup #1'!E177/'Total Distance Tables Sup #1'!$B177)</f>
        <v>32.726800971440341</v>
      </c>
      <c r="F67" s="4">
        <f ca="1">$B67*('Updated Population'!F$59/'Updated Population'!$B$59)*('Total Distance Tables Sup #1'!F177/'Total Distance Tables Sup #1'!$B177)</f>
        <v>30.960343384132088</v>
      </c>
      <c r="G67" s="4">
        <f ca="1">$B67*('Updated Population'!G$59/'Updated Population'!$B$59)*('Total Distance Tables Sup #1'!G177/'Total Distance Tables Sup #1'!$B177)</f>
        <v>29.619407410557294</v>
      </c>
      <c r="H67" s="4">
        <f ca="1">$B67*('Updated Population'!H$59/'Updated Population'!$B$59)*('Total Distance Tables Sup #1'!H177/'Total Distance Tables Sup #1'!$B177)</f>
        <v>28.31073853206258</v>
      </c>
      <c r="I67" s="1">
        <f ca="1">$B67*('Updated Population'!I$59/'Updated Population'!$B$59)*('Total Distance Tables Sup #1'!I177/'Total Distance Tables Sup #1'!$B177)</f>
        <v>28.114871379991961</v>
      </c>
      <c r="J67" s="1">
        <f ca="1">$B67*('Updated Population'!J$59/'Updated Population'!$B$59)*('Total Distance Tables Sup #1'!J177/'Total Distance Tables Sup #1'!$B177)</f>
        <v>27.831484015475006</v>
      </c>
      <c r="K67" s="1">
        <f ca="1">$B67*('Updated Population'!K$59/'Updated Population'!$B$59)*('Total Distance Tables Sup #1'!K177/'Total Distance Tables Sup #1'!$B177)</f>
        <v>27.491744311829432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Distance Tables Sup #1'!C178/'Total Distance Tables Sup #1'!$B178)</f>
        <v>0</v>
      </c>
      <c r="D68" s="4">
        <f ca="1">$B68*('Updated Population'!D$59/'Updated Population'!$B$59)*('Total Distance Tables Sup #1'!D178/'Total Distance Tables Sup #1'!$B178)</f>
        <v>0</v>
      </c>
      <c r="E68" s="4">
        <f ca="1">$B68*('Updated Population'!E$59/'Updated Population'!$B$59)*('Total Distance Tables Sup #1'!E178/'Total Distance Tables Sup #1'!$B178)</f>
        <v>0</v>
      </c>
      <c r="F68" s="4">
        <f ca="1">$B68*('Updated Population'!F$59/'Updated Population'!$B$59)*('Total Distance Tables Sup #1'!F178/'Total Distance Tables Sup #1'!$B178)</f>
        <v>0</v>
      </c>
      <c r="G68" s="4">
        <f ca="1">$B68*('Updated Population'!G$59/'Updated Population'!$B$59)*('Total Distance Tables Sup #1'!G178/'Total Distance Tables Sup #1'!$B178)</f>
        <v>0</v>
      </c>
      <c r="H68" s="4">
        <f ca="1">$B68*('Updated Population'!H$59/'Updated Population'!$B$59)*('Total Distance Tables Sup #1'!H178/'Total Distance Tables Sup #1'!$B178)</f>
        <v>0</v>
      </c>
      <c r="I68" s="1">
        <f ca="1">$B68*('Updated Population'!I$59/'Updated Population'!$B$59)*('Total Distance Tables Sup #1'!I178/'Total Distance Tables Sup #1'!$B178)</f>
        <v>0</v>
      </c>
      <c r="J68" s="1">
        <f ca="1">$B68*('Updated Population'!J$59/'Updated Population'!$B$59)*('Total Distance Tables Sup #1'!J178/'Total Distance Tables Sup #1'!$B178)</f>
        <v>0</v>
      </c>
      <c r="K68" s="1">
        <f ca="1">$B68*('Updated Population'!K$59/'Updated Population'!$B$59)*('Total Distance Tables Sup #1'!K178/'Total Distance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$B69*('Updated Population'!C$59/'Updated Population'!$B$59)*('Total Distance Tables Sup #1'!C179/'Total Distance Tables Sup #1'!$B179)</f>
        <v>0</v>
      </c>
      <c r="D69" s="4">
        <f ca="1">$B69*('Updated Population'!D$59/'Updated Population'!$B$59)*('Total Distance Tables Sup #1'!D179/'Total Distance Tables Sup #1'!$B179)</f>
        <v>0</v>
      </c>
      <c r="E69" s="4">
        <f ca="1">$B69*('Updated Population'!E$59/'Updated Population'!$B$59)*('Total Distance Tables Sup #1'!E179/'Total Distance Tables Sup #1'!$B179)</f>
        <v>0</v>
      </c>
      <c r="F69" s="4">
        <f ca="1">$B69*('Updated Population'!F$59/'Updated Population'!$B$59)*('Total Distance Tables Sup #1'!F179/'Total Distance Tables Sup #1'!$B179)</f>
        <v>0</v>
      </c>
      <c r="G69" s="4">
        <f ca="1">$B69*('Updated Population'!G$59/'Updated Population'!$B$59)*('Total Distance Tables Sup #1'!G179/'Total Distance Tables Sup #1'!$B179)</f>
        <v>0</v>
      </c>
      <c r="H69" s="4">
        <f ca="1">$B69*('Updated Population'!H$59/'Updated Population'!$B$59)*('Total Distance Tables Sup #1'!H179/'Total Distance Tables Sup #1'!$B179)</f>
        <v>0</v>
      </c>
      <c r="I69" s="1">
        <f ca="1">$B69*('Updated Population'!I$59/'Updated Population'!$B$59)*('Total Distance Tables Sup #1'!I179/'Total Distance Tables Sup #1'!$B179)</f>
        <v>0</v>
      </c>
      <c r="J69" s="1">
        <f ca="1">$B69*('Updated Population'!J$59/'Updated Population'!$B$59)*('Total Distance Tables Sup #1'!J179/'Total Distance Tables Sup #1'!$B179)</f>
        <v>0</v>
      </c>
      <c r="K69" s="1">
        <f ca="1">$B69*('Updated Population'!K$59/'Updated Population'!$B$59)*('Total Distance Tables Sup #1'!K179/'Total Distance Tables Sup #1'!$B179)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OFFSET(Taranaki_Reference,0,6)</f>
        <v>16.820589198</v>
      </c>
      <c r="C71" s="4">
        <f ca="1">$B71*('Updated Population'!C$70/'Updated Population'!$B$70)*('Total Distance Tables Sup #1'!C170/'Total Distance Tables Sup #1'!$B170)</f>
        <v>17.168296579543227</v>
      </c>
      <c r="D71" s="4">
        <f ca="1">$B71*('Updated Population'!D$70/'Updated Population'!$B$70)*('Total Distance Tables Sup #1'!D170/'Total Distance Tables Sup #1'!$B170)</f>
        <v>17.004088095645212</v>
      </c>
      <c r="E71" s="4">
        <f ca="1">$B71*('Updated Population'!E$70/'Updated Population'!$B$70)*('Total Distance Tables Sup #1'!E170/'Total Distance Tables Sup #1'!$B170)</f>
        <v>16.646517873738439</v>
      </c>
      <c r="F71" s="4">
        <f ca="1">$B71*('Updated Population'!F$70/'Updated Population'!$B$70)*('Total Distance Tables Sup #1'!F170/'Total Distance Tables Sup #1'!$B170)</f>
        <v>16.165784188221206</v>
      </c>
      <c r="G71" s="4">
        <f ca="1">$B71*('Updated Population'!G$70/'Updated Population'!$B$70)*('Total Distance Tables Sup #1'!G170/'Total Distance Tables Sup #1'!$B170)</f>
        <v>15.716893838964763</v>
      </c>
      <c r="H71" s="4">
        <f ca="1">$B71*('Updated Population'!H$70/'Updated Population'!$B$70)*('Total Distance Tables Sup #1'!H170/'Total Distance Tables Sup #1'!$B170)</f>
        <v>15.207412528852753</v>
      </c>
      <c r="I71" s="1">
        <f ca="1">$B71*('Updated Population'!I$70/'Updated Population'!$B$70)*('Total Distance Tables Sup #1'!I170/'Total Distance Tables Sup #1'!$B170)</f>
        <v>15.307390314850979</v>
      </c>
      <c r="J71" s="1">
        <f ca="1">$B71*('Updated Population'!J$70/'Updated Population'!$B$70)*('Total Distance Tables Sup #1'!J170/'Total Distance Tables Sup #1'!$B170)</f>
        <v>15.358978983131308</v>
      </c>
      <c r="K71" s="1">
        <f ca="1">$B71*('Updated Population'!K$70/'Updated Population'!$B$70)*('Total Distance Tables Sup #1'!K170/'Total Distance Tables Sup #1'!$B170)</f>
        <v>15.377622835736535</v>
      </c>
    </row>
    <row r="72" spans="1:11" x14ac:dyDescent="0.2">
      <c r="A72" t="str">
        <f ca="1">OFFSET(Taranaki_Reference,7,2)</f>
        <v>Cyclist</v>
      </c>
      <c r="B72" s="4">
        <f ca="1">OFFSET(Taranaki_Reference,7,6)</f>
        <v>5.5737915155</v>
      </c>
      <c r="C72" s="4">
        <f ca="1">$B72*('Updated Population'!C$70/'Updated Population'!$B$70)*('Total Distance Tables Sup #1'!C171/'Total Distance Tables Sup #1'!$B171)</f>
        <v>5.7474857198248497</v>
      </c>
      <c r="D72" s="4">
        <f ca="1">$B72*('Updated Population'!D$70/'Updated Population'!$B$70)*('Total Distance Tables Sup #1'!D171/'Total Distance Tables Sup #1'!$B171)</f>
        <v>5.9415567399116176</v>
      </c>
      <c r="E72" s="4">
        <f ca="1">$B72*('Updated Population'!E$70/'Updated Population'!$B$70)*('Total Distance Tables Sup #1'!E171/'Total Distance Tables Sup #1'!$B171)</f>
        <v>5.8855853865336281</v>
      </c>
      <c r="F72" s="4">
        <f ca="1">$B72*('Updated Population'!F$70/'Updated Population'!$B$70)*('Total Distance Tables Sup #1'!F171/'Total Distance Tables Sup #1'!$B171)</f>
        <v>5.9030422698240201</v>
      </c>
      <c r="G72" s="4">
        <f ca="1">$B72*('Updated Population'!G$70/'Updated Population'!$B$70)*('Total Distance Tables Sup #1'!G171/'Total Distance Tables Sup #1'!$B171)</f>
        <v>6.009694190356865</v>
      </c>
      <c r="H72" s="4">
        <f ca="1">$B72*('Updated Population'!H$70/'Updated Population'!$B$70)*('Total Distance Tables Sup #1'!H171/'Total Distance Tables Sup #1'!$B171)</f>
        <v>6.0965473162178645</v>
      </c>
      <c r="I72" s="1">
        <f ca="1">$B72*('Updated Population'!I$70/'Updated Population'!$B$70)*('Total Distance Tables Sup #1'!I171/'Total Distance Tables Sup #1'!$B171)</f>
        <v>6.1366277244893226</v>
      </c>
      <c r="J72" s="1">
        <f ca="1">$B72*('Updated Population'!J$70/'Updated Population'!$B$70)*('Total Distance Tables Sup #1'!J171/'Total Distance Tables Sup #1'!$B171)</f>
        <v>6.1573092675562302</v>
      </c>
      <c r="K72" s="1">
        <f ca="1">$B72*('Updated Population'!K$70/'Updated Population'!$B$70)*('Total Distance Tables Sup #1'!K171/'Total Distance Tables Sup #1'!$B171)</f>
        <v>6.1647834601152001</v>
      </c>
    </row>
    <row r="73" spans="1:11" x14ac:dyDescent="0.2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$B73*('Updated Population'!C$70/'Updated Population'!$B$70)*('Total Distance Tables Sup #1'!C172/'Total Distance Tables Sup #1'!$B172)</f>
        <v>993.06308311134478</v>
      </c>
      <c r="D73" s="4">
        <f ca="1">$B73*('Updated Population'!D$70/'Updated Population'!$B$70)*('Total Distance Tables Sup #1'!D172/'Total Distance Tables Sup #1'!$B172)</f>
        <v>1015.1466168188275</v>
      </c>
      <c r="E73" s="4">
        <f ca="1">$B73*('Updated Population'!E$70/'Updated Population'!$B$70)*('Total Distance Tables Sup #1'!E172/'Total Distance Tables Sup #1'!$B172)</f>
        <v>1040.4030212617024</v>
      </c>
      <c r="F73" s="4">
        <f ca="1">$B73*('Updated Population'!F$70/'Updated Population'!$B$70)*('Total Distance Tables Sup #1'!F172/'Total Distance Tables Sup #1'!$B172)</f>
        <v>1054.1502756766167</v>
      </c>
      <c r="G73" s="4">
        <f ca="1">$B73*('Updated Population'!G$70/'Updated Population'!$B$70)*('Total Distance Tables Sup #1'!G172/'Total Distance Tables Sup #1'!$B172)</f>
        <v>1056.3791434552863</v>
      </c>
      <c r="H73" s="4">
        <f ca="1">$B73*('Updated Population'!H$70/'Updated Population'!$B$70)*('Total Distance Tables Sup #1'!H172/'Total Distance Tables Sup #1'!$B172)</f>
        <v>1050.4325143518668</v>
      </c>
      <c r="I73" s="1">
        <f ca="1">$B73*('Updated Population'!I$70/'Updated Population'!$B$70)*('Total Distance Tables Sup #1'!I172/'Total Distance Tables Sup #1'!$B172)</f>
        <v>1057.3383516812742</v>
      </c>
      <c r="J73" s="1">
        <f ca="1">$B73*('Updated Population'!J$70/'Updated Population'!$B$70)*('Total Distance Tables Sup #1'!J172/'Total Distance Tables Sup #1'!$B172)</f>
        <v>1060.9017727715454</v>
      </c>
      <c r="K73" s="1">
        <f ca="1">$B73*('Updated Population'!K$70/'Updated Population'!$B$70)*('Total Distance Tables Sup #1'!K172/'Total Distance Tables Sup #1'!$B172)</f>
        <v>1062.1895729763571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$B74*('Updated Population'!C$70/'Updated Population'!$B$70)*('Total Distance Tables Sup #1'!C173/'Total Distance Tables Sup #1'!$B173)</f>
        <v>667.24834194473476</v>
      </c>
      <c r="D74" s="4">
        <f ca="1">$B74*('Updated Population'!D$70/'Updated Population'!$B$70)*('Total Distance Tables Sup #1'!D173/'Total Distance Tables Sup #1'!$B173)</f>
        <v>674.20932295907562</v>
      </c>
      <c r="E74" s="4">
        <f ca="1">$B74*('Updated Population'!E$70/'Updated Population'!$B$70)*('Total Distance Tables Sup #1'!E173/'Total Distance Tables Sup #1'!$B173)</f>
        <v>681.17400812785377</v>
      </c>
      <c r="F74" s="4">
        <f ca="1">$B74*('Updated Population'!F$70/'Updated Population'!$B$70)*('Total Distance Tables Sup #1'!F173/'Total Distance Tables Sup #1'!$B173)</f>
        <v>681.43271905023119</v>
      </c>
      <c r="G74" s="4">
        <f ca="1">$B74*('Updated Population'!G$70/'Updated Population'!$B$70)*('Total Distance Tables Sup #1'!G173/'Total Distance Tables Sup #1'!$B173)</f>
        <v>678.15524208293778</v>
      </c>
      <c r="H74" s="4">
        <f ca="1">$B74*('Updated Population'!H$70/'Updated Population'!$B$70)*('Total Distance Tables Sup #1'!H173/'Total Distance Tables Sup #1'!$B173)</f>
        <v>670.78110819302742</v>
      </c>
      <c r="I74" s="1">
        <f ca="1">$B74*('Updated Population'!I$70/'Updated Population'!$B$70)*('Total Distance Tables Sup #1'!I173/'Total Distance Tables Sup #1'!$B173)</f>
        <v>675.1910109269304</v>
      </c>
      <c r="J74" s="1">
        <f ca="1">$B74*('Updated Population'!J$70/'Updated Population'!$B$70)*('Total Distance Tables Sup #1'!J173/'Total Distance Tables Sup #1'!$B173)</f>
        <v>677.46652650287911</v>
      </c>
      <c r="K74" s="1">
        <f ca="1">$B74*('Updated Population'!K$70/'Updated Population'!$B$70)*('Total Distance Tables Sup #1'!K173/'Total Distance Tables Sup #1'!$B173)</f>
        <v>678.28888494734122</v>
      </c>
    </row>
    <row r="75" spans="1:11" x14ac:dyDescent="0.2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$B75*('Updated Population'!C$70/'Updated Population'!$B$70)*('Total Distance Tables Sup #1'!C174/'Total Distance Tables Sup #1'!$B174)</f>
        <v>1.2751535792657227</v>
      </c>
      <c r="D75" s="4">
        <f ca="1">$B75*('Updated Population'!D$70/'Updated Population'!$B$70)*('Total Distance Tables Sup #1'!D174/'Total Distance Tables Sup #1'!$B174)</f>
        <v>1.4165141182067382</v>
      </c>
      <c r="E75" s="4">
        <f ca="1">$B75*('Updated Population'!E$70/'Updated Population'!$B$70)*('Total Distance Tables Sup #1'!E174/'Total Distance Tables Sup #1'!$B174)</f>
        <v>1.5415024842225453</v>
      </c>
      <c r="F75" s="4">
        <f ca="1">$B75*('Updated Population'!F$70/'Updated Population'!$B$70)*('Total Distance Tables Sup #1'!F174/'Total Distance Tables Sup #1'!$B174)</f>
        <v>1.6356530435305829</v>
      </c>
      <c r="G75" s="4">
        <f ca="1">$B75*('Updated Population'!G$70/'Updated Population'!$B$70)*('Total Distance Tables Sup #1'!G174/'Total Distance Tables Sup #1'!$B174)</f>
        <v>1.6949732382119316</v>
      </c>
      <c r="H75" s="4">
        <f ca="1">$B75*('Updated Population'!H$70/'Updated Population'!$B$70)*('Total Distance Tables Sup #1'!H174/'Total Distance Tables Sup #1'!$B174)</f>
        <v>1.7341546181281595</v>
      </c>
      <c r="I75" s="1">
        <f ca="1">$B75*('Updated Population'!I$70/'Updated Population'!$B$70)*('Total Distance Tables Sup #1'!I174/'Total Distance Tables Sup #1'!$B174)</f>
        <v>1.7455554359181755</v>
      </c>
      <c r="J75" s="1">
        <f ca="1">$B75*('Updated Population'!J$70/'Updated Population'!$B$70)*('Total Distance Tables Sup #1'!J174/'Total Distance Tables Sup #1'!$B174)</f>
        <v>1.7514382728026014</v>
      </c>
      <c r="K75" s="1">
        <f ca="1">$B75*('Updated Population'!K$70/'Updated Population'!$B$70)*('Total Distance Tables Sup #1'!K174/'Total Distance Tables Sup #1'!$B174)</f>
        <v>1.7535642967421581</v>
      </c>
    </row>
    <row r="76" spans="1:11" x14ac:dyDescent="0.2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$B76*('Updated Population'!C$70/'Updated Population'!$B$70)*('Total Distance Tables Sup #1'!C175/'Total Distance Tables Sup #1'!$B175)</f>
        <v>7.3649936875857849</v>
      </c>
      <c r="D76" s="4">
        <f ca="1">$B76*('Updated Population'!D$70/'Updated Population'!$B$70)*('Total Distance Tables Sup #1'!D175/'Total Distance Tables Sup #1'!$B175)</f>
        <v>7.5277425404533336</v>
      </c>
      <c r="E76" s="4">
        <f ca="1">$B76*('Updated Population'!E$70/'Updated Population'!$B$70)*('Total Distance Tables Sup #1'!E175/'Total Distance Tables Sup #1'!$B175)</f>
        <v>7.5168748753794183</v>
      </c>
      <c r="F76" s="4">
        <f ca="1">$B76*('Updated Population'!F$70/'Updated Population'!$B$70)*('Total Distance Tables Sup #1'!F175/'Total Distance Tables Sup #1'!$B175)</f>
        <v>7.3407345561148478</v>
      </c>
      <c r="G76" s="4">
        <f ca="1">$B76*('Updated Population'!G$70/'Updated Population'!$B$70)*('Total Distance Tables Sup #1'!G175/'Total Distance Tables Sup #1'!$B175)</f>
        <v>7.0157898345960632</v>
      </c>
      <c r="H76" s="4">
        <f ca="1">$B76*('Updated Population'!H$70/'Updated Population'!$B$70)*('Total Distance Tables Sup #1'!H175/'Total Distance Tables Sup #1'!$B175)</f>
        <v>6.6398420867096339</v>
      </c>
      <c r="I76" s="1">
        <f ca="1">$B76*('Updated Population'!I$70/'Updated Population'!$B$70)*('Total Distance Tables Sup #1'!I175/'Total Distance Tables Sup #1'!$B175)</f>
        <v>6.6834942668518895</v>
      </c>
      <c r="J76" s="1">
        <f ca="1">$B76*('Updated Population'!J$70/'Updated Population'!$B$70)*('Total Distance Tables Sup #1'!J175/'Total Distance Tables Sup #1'!$B175)</f>
        <v>6.7060188488736596</v>
      </c>
      <c r="K76" s="1">
        <f ca="1">$B76*('Updated Population'!K$70/'Updated Population'!$B$70)*('Total Distance Tables Sup #1'!K175/'Total Distance Tables Sup #1'!$B175)</f>
        <v>6.7141591052750522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Distance Tables Sup #1'!C176/'Total Distance Tables Sup #1'!$B176)</f>
        <v>0</v>
      </c>
      <c r="D77" s="4">
        <f ca="1">$B77*('Updated Population'!D$70/'Updated Population'!$B$70)*('Total Distance Tables Sup #1'!D176/'Total Distance Tables Sup #1'!$B176)</f>
        <v>0</v>
      </c>
      <c r="E77" s="4">
        <f ca="1">$B77*('Updated Population'!E$70/'Updated Population'!$B$70)*('Total Distance Tables Sup #1'!E176/'Total Distance Tables Sup #1'!$B176)</f>
        <v>0</v>
      </c>
      <c r="F77" s="4">
        <f ca="1">$B77*('Updated Population'!F$70/'Updated Population'!$B$70)*('Total Distance Tables Sup #1'!F176/'Total Distance Tables Sup #1'!$B176)</f>
        <v>0</v>
      </c>
      <c r="G77" s="4">
        <f ca="1">$B77*('Updated Population'!G$70/'Updated Population'!$B$70)*('Total Distance Tables Sup #1'!G176/'Total Distance Tables Sup #1'!$B176)</f>
        <v>0</v>
      </c>
      <c r="H77" s="4">
        <f ca="1">$B77*('Updated Population'!H$70/'Updated Population'!$B$70)*('Total Distance Tables Sup #1'!H176/'Total Distance Tables Sup #1'!$B176)</f>
        <v>0</v>
      </c>
      <c r="I77" s="1">
        <f ca="1">$B77*('Updated Population'!I$70/'Updated Population'!$B$70)*('Total Distance Tables Sup #1'!I176/'Total Distance Tables Sup #1'!$B176)</f>
        <v>0</v>
      </c>
      <c r="J77" s="1">
        <f ca="1">$B77*('Updated Population'!J$70/'Updated Population'!$B$70)*('Total Distance Tables Sup #1'!J176/'Total Distance Tables Sup #1'!$B176)</f>
        <v>0</v>
      </c>
      <c r="K77" s="1">
        <f ca="1">$B77*('Updated Population'!K$70/'Updated Population'!$B$70)*('Total Distance Tables Sup #1'!K176/'Total Distance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OFFSET(Taranaki_Reference,49,6)</f>
        <v>14.084735078</v>
      </c>
      <c r="C78" s="4">
        <f ca="1">$B78*('Updated Population'!C$70/'Updated Population'!$B$70)*('Total Distance Tables Sup #1'!C177/'Total Distance Tables Sup #1'!$B177)</f>
        <v>12.663813437896286</v>
      </c>
      <c r="D78" s="4">
        <f ca="1">$B78*('Updated Population'!D$70/'Updated Population'!$B$70)*('Total Distance Tables Sup #1'!D177/'Total Distance Tables Sup #1'!$B177)</f>
        <v>12.398391596806658</v>
      </c>
      <c r="E78" s="4">
        <f ca="1">$B78*('Updated Population'!E$70/'Updated Population'!$B$70)*('Total Distance Tables Sup #1'!E177/'Total Distance Tables Sup #1'!$B177)</f>
        <v>11.961177420527173</v>
      </c>
      <c r="F78" s="4">
        <f ca="1">$B78*('Updated Population'!F$70/'Updated Population'!$B$70)*('Total Distance Tables Sup #1'!F177/'Total Distance Tables Sup #1'!$B177)</f>
        <v>11.435440337953505</v>
      </c>
      <c r="G78" s="4">
        <f ca="1">$B78*('Updated Population'!G$70/'Updated Population'!$B$70)*('Total Distance Tables Sup #1'!G177/'Total Distance Tables Sup #1'!$B177)</f>
        <v>11.072746221183397</v>
      </c>
      <c r="H78" s="4">
        <f ca="1">$B78*('Updated Population'!H$70/'Updated Population'!$B$70)*('Total Distance Tables Sup #1'!H177/'Total Distance Tables Sup #1'!$B177)</f>
        <v>10.727316801812215</v>
      </c>
      <c r="I78" s="1">
        <f ca="1">$B78*('Updated Population'!I$70/'Updated Population'!$B$70)*('Total Distance Tables Sup #1'!I177/'Total Distance Tables Sup #1'!$B177)</f>
        <v>10.797841184675635</v>
      </c>
      <c r="J78" s="1">
        <f ca="1">$B78*('Updated Population'!J$70/'Updated Population'!$B$70)*('Total Distance Tables Sup #1'!J177/'Total Distance Tables Sup #1'!$B177)</f>
        <v>10.834231858432707</v>
      </c>
      <c r="K78" s="1">
        <f ca="1">$B78*('Updated Population'!K$70/'Updated Population'!$B$70)*('Total Distance Tables Sup #1'!K177/'Total Distance Tables Sup #1'!$B177)</f>
        <v>10.847383241873059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Distance Tables Sup #1'!C178/'Total Distance Tables Sup #1'!$B178)</f>
        <v>0</v>
      </c>
      <c r="D79" s="4">
        <f ca="1">$B79*('Updated Population'!D$70/'Updated Population'!$B$70)*('Total Distance Tables Sup #1'!D178/'Total Distance Tables Sup #1'!$B178)</f>
        <v>0</v>
      </c>
      <c r="E79" s="4">
        <f ca="1">$B79*('Updated Population'!E$70/'Updated Population'!$B$70)*('Total Distance Tables Sup #1'!E178/'Total Distance Tables Sup #1'!$B178)</f>
        <v>0</v>
      </c>
      <c r="F79" s="4">
        <f ca="1">$B79*('Updated Population'!F$70/'Updated Population'!$B$70)*('Total Distance Tables Sup #1'!F178/'Total Distance Tables Sup #1'!$B178)</f>
        <v>0</v>
      </c>
      <c r="G79" s="4">
        <f ca="1">$B79*('Updated Population'!G$70/'Updated Population'!$B$70)*('Total Distance Tables Sup #1'!G178/'Total Distance Tables Sup #1'!$B178)</f>
        <v>0</v>
      </c>
      <c r="H79" s="4">
        <f ca="1">$B79*('Updated Population'!H$70/'Updated Population'!$B$70)*('Total Distance Tables Sup #1'!H178/'Total Distance Tables Sup #1'!$B178)</f>
        <v>0</v>
      </c>
      <c r="I79" s="1">
        <f ca="1">$B79*('Updated Population'!I$70/'Updated Population'!$B$70)*('Total Distance Tables Sup #1'!I178/'Total Distance Tables Sup #1'!$B178)</f>
        <v>0</v>
      </c>
      <c r="J79" s="1">
        <f ca="1">$B79*('Updated Population'!J$70/'Updated Population'!$B$70)*('Total Distance Tables Sup #1'!J178/'Total Distance Tables Sup #1'!$B178)</f>
        <v>0</v>
      </c>
      <c r="K79" s="1">
        <f ca="1">$B79*('Updated Population'!K$70/'Updated Population'!$B$70)*('Total Distance Tables Sup #1'!K178/'Total Distance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$B80*('Updated Population'!C$70/'Updated Population'!$B$70)*('Total Distance Tables Sup #1'!C179/'Total Distance Tables Sup #1'!$B179)</f>
        <v>0</v>
      </c>
      <c r="D80" s="4">
        <f ca="1">$B80*('Updated Population'!D$70/'Updated Population'!$B$70)*('Total Distance Tables Sup #1'!D179/'Total Distance Tables Sup #1'!$B179)</f>
        <v>0</v>
      </c>
      <c r="E80" s="4">
        <f ca="1">$B80*('Updated Population'!E$70/'Updated Population'!$B$70)*('Total Distance Tables Sup #1'!E179/'Total Distance Tables Sup #1'!$B179)</f>
        <v>0</v>
      </c>
      <c r="F80" s="4">
        <f ca="1">$B80*('Updated Population'!F$70/'Updated Population'!$B$70)*('Total Distance Tables Sup #1'!F179/'Total Distance Tables Sup #1'!$B179)</f>
        <v>0</v>
      </c>
      <c r="G80" s="4">
        <f ca="1">$B80*('Updated Population'!G$70/'Updated Population'!$B$70)*('Total Distance Tables Sup #1'!G179/'Total Distance Tables Sup #1'!$B179)</f>
        <v>0</v>
      </c>
      <c r="H80" s="4">
        <f ca="1">$B80*('Updated Population'!H$70/'Updated Population'!$B$70)*('Total Distance Tables Sup #1'!H179/'Total Distance Tables Sup #1'!$B179)</f>
        <v>0</v>
      </c>
      <c r="I80" s="1">
        <f ca="1">$B80*('Updated Population'!I$70/'Updated Population'!$B$70)*('Total Distance Tables Sup #1'!I179/'Total Distance Tables Sup #1'!$B179)</f>
        <v>0</v>
      </c>
      <c r="J80" s="1">
        <f ca="1">$B80*('Updated Population'!J$70/'Updated Population'!$B$70)*('Total Distance Tables Sup #1'!J179/'Total Distance Tables Sup #1'!$B179)</f>
        <v>0</v>
      </c>
      <c r="K80" s="1">
        <f ca="1">$B80*('Updated Population'!K$70/'Updated Population'!$B$70)*('Total Distance Tables Sup #1'!K179/'Total Distance Tables Sup #1'!$B179)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OFFSET(Manawatu_Reference,0,6)</f>
        <v>32.265609755</v>
      </c>
      <c r="C82" s="4">
        <f ca="1">$B82*('Updated Population'!C$81/'Updated Population'!$B$81)*('Total Distance Tables Sup #1'!C170/'Total Distance Tables Sup #1'!$B170)</f>
        <v>32.675308781872815</v>
      </c>
      <c r="D82" s="4">
        <f ca="1">$B82*('Updated Population'!D$81/'Updated Population'!$B$81)*('Total Distance Tables Sup #1'!D170/'Total Distance Tables Sup #1'!$B170)</f>
        <v>32.000950968704807</v>
      </c>
      <c r="E82" s="4">
        <f ca="1">$B82*('Updated Population'!E$81/'Updated Population'!$B$81)*('Total Distance Tables Sup #1'!E170/'Total Distance Tables Sup #1'!$B170)</f>
        <v>30.941691586625168</v>
      </c>
      <c r="F82" s="4">
        <f ca="1">$B82*('Updated Population'!F$81/'Updated Population'!$B$81)*('Total Distance Tables Sup #1'!F170/'Total Distance Tables Sup #1'!$B170)</f>
        <v>29.674266559545821</v>
      </c>
      <c r="G82" s="4">
        <f ca="1">$B82*('Updated Population'!G$81/'Updated Population'!$B$81)*('Total Distance Tables Sup #1'!G170/'Total Distance Tables Sup #1'!$B170)</f>
        <v>28.460105219677107</v>
      </c>
      <c r="H82" s="4">
        <f ca="1">$B82*('Updated Population'!H$81/'Updated Population'!$B$81)*('Total Distance Tables Sup #1'!H170/'Total Distance Tables Sup #1'!$B170)</f>
        <v>27.132349179096128</v>
      </c>
      <c r="I82" s="1">
        <f ca="1">$B82*('Updated Population'!I$81/'Updated Population'!$B$81)*('Total Distance Tables Sup #1'!I170/'Total Distance Tables Sup #1'!$B170)</f>
        <v>26.908873396183129</v>
      </c>
      <c r="J82" s="1">
        <f ca="1">$B82*('Updated Population'!J$81/'Updated Population'!$B$81)*('Total Distance Tables Sup #1'!J170/'Total Distance Tables Sup #1'!$B170)</f>
        <v>26.602288195361115</v>
      </c>
      <c r="K82" s="1">
        <f ca="1">$B82*('Updated Population'!K$81/'Updated Population'!$B$81)*('Total Distance Tables Sup #1'!K170/'Total Distance Tables Sup #1'!$B170)</f>
        <v>26.242677390244967</v>
      </c>
    </row>
    <row r="83" spans="1:11" x14ac:dyDescent="0.2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$B83*('Updated Population'!C$81/'Updated Population'!$B$81)*('Total Distance Tables Sup #1'!C171/'Total Distance Tables Sup #1'!$B171)</f>
        <v>21.201159230023137</v>
      </c>
      <c r="D83" s="4">
        <f ca="1">$B83*('Updated Population'!D$81/'Updated Population'!$B$81)*('Total Distance Tables Sup #1'!D171/'Total Distance Tables Sup #1'!$B171)</f>
        <v>21.672000423617487</v>
      </c>
      <c r="E83" s="4">
        <f ca="1">$B83*('Updated Population'!E$81/'Updated Population'!$B$81)*('Total Distance Tables Sup #1'!E171/'Total Distance Tables Sup #1'!$B171)</f>
        <v>21.203108212912433</v>
      </c>
      <c r="F83" s="4">
        <f ca="1">$B83*('Updated Population'!F$81/'Updated Population'!$B$81)*('Total Distance Tables Sup #1'!F171/'Total Distance Tables Sup #1'!$B171)</f>
        <v>21.001403713630989</v>
      </c>
      <c r="G83" s="4">
        <f ca="1">$B83*('Updated Population'!G$81/'Updated Population'!$B$81)*('Total Distance Tables Sup #1'!G171/'Total Distance Tables Sup #1'!$B171)</f>
        <v>21.09168945292593</v>
      </c>
      <c r="H83" s="4">
        <f ca="1">$B83*('Updated Population'!H$81/'Updated Population'!$B$81)*('Total Distance Tables Sup #1'!H171/'Total Distance Tables Sup #1'!$B171)</f>
        <v>21.081680773489683</v>
      </c>
      <c r="I83" s="1">
        <f ca="1">$B83*('Updated Population'!I$81/'Updated Population'!$B$81)*('Total Distance Tables Sup #1'!I171/'Total Distance Tables Sup #1'!$B171)</f>
        <v>20.908041363025095</v>
      </c>
      <c r="J83" s="1">
        <f ca="1">$B83*('Updated Population'!J$81/'Updated Population'!$B$81)*('Total Distance Tables Sup #1'!J171/'Total Distance Tables Sup #1'!$B171)</f>
        <v>20.669826408214419</v>
      </c>
      <c r="K83" s="1">
        <f ca="1">$B83*('Updated Population'!K$81/'Updated Population'!$B$81)*('Total Distance Tables Sup #1'!K171/'Total Distance Tables Sup #1'!$B171)</f>
        <v>20.390410860886984</v>
      </c>
    </row>
    <row r="84" spans="1:11" x14ac:dyDescent="0.2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$B84*('Updated Population'!C$81/'Updated Population'!$B$81)*('Total Distance Tables Sup #1'!C172/'Total Distance Tables Sup #1'!$B172)</f>
        <v>1881.6581598575115</v>
      </c>
      <c r="D84" s="4">
        <f ca="1">$B84*('Updated Population'!D$81/'Updated Population'!$B$81)*('Total Distance Tables Sup #1'!D172/'Total Distance Tables Sup #1'!$B172)</f>
        <v>1901.9964723099681</v>
      </c>
      <c r="E84" s="4">
        <f ca="1">$B84*('Updated Population'!E$81/'Updated Population'!$B$81)*('Total Distance Tables Sup #1'!E172/'Total Distance Tables Sup #1'!$B172)</f>
        <v>1925.2789107860008</v>
      </c>
      <c r="F84" s="4">
        <f ca="1">$B84*('Updated Population'!F$81/'Updated Population'!$B$81)*('Total Distance Tables Sup #1'!F172/'Total Distance Tables Sup #1'!$B172)</f>
        <v>1926.4473356855999</v>
      </c>
      <c r="G84" s="4">
        <f ca="1">$B84*('Updated Population'!G$81/'Updated Population'!$B$81)*('Total Distance Tables Sup #1'!G172/'Total Distance Tables Sup #1'!$B172)</f>
        <v>1904.4123854821335</v>
      </c>
      <c r="H84" s="4">
        <f ca="1">$B84*('Updated Population'!H$81/'Updated Population'!$B$81)*('Total Distance Tables Sup #1'!H172/'Total Distance Tables Sup #1'!$B172)</f>
        <v>1865.8280768148161</v>
      </c>
      <c r="I84" s="1">
        <f ca="1">$B84*('Updated Population'!I$81/'Updated Population'!$B$81)*('Total Distance Tables Sup #1'!I172/'Total Distance Tables Sup #1'!$B172)</f>
        <v>1850.4601708699636</v>
      </c>
      <c r="J84" s="1">
        <f ca="1">$B84*('Updated Population'!J$81/'Updated Population'!$B$81)*('Total Distance Tables Sup #1'!J172/'Total Distance Tables Sup #1'!$B172)</f>
        <v>1829.3770249966108</v>
      </c>
      <c r="K84" s="1">
        <f ca="1">$B84*('Updated Population'!K$81/'Updated Population'!$B$81)*('Total Distance Tables Sup #1'!K172/'Total Distance Tables Sup #1'!$B172)</f>
        <v>1804.6474325649822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$B85*('Updated Population'!C$81/'Updated Population'!$B$81)*('Total Distance Tables Sup #1'!C173/'Total Distance Tables Sup #1'!$B173)</f>
        <v>893.4518404791404</v>
      </c>
      <c r="D85" s="4">
        <f ca="1">$B85*('Updated Population'!D$81/'Updated Population'!$B$81)*('Total Distance Tables Sup #1'!D173/'Total Distance Tables Sup #1'!$B173)</f>
        <v>892.67925630452316</v>
      </c>
      <c r="E85" s="4">
        <f ca="1">$B85*('Updated Population'!E$81/'Updated Population'!$B$81)*('Total Distance Tables Sup #1'!E173/'Total Distance Tables Sup #1'!$B173)</f>
        <v>890.77879639820321</v>
      </c>
      <c r="F85" s="4">
        <f ca="1">$B85*('Updated Population'!F$81/'Updated Population'!$B$81)*('Total Distance Tables Sup #1'!F173/'Total Distance Tables Sup #1'!$B173)</f>
        <v>880.02974288060398</v>
      </c>
      <c r="G85" s="4">
        <f ca="1">$B85*('Updated Population'!G$81/'Updated Population'!$B$81)*('Total Distance Tables Sup #1'!G173/'Total Distance Tables Sup #1'!$B173)</f>
        <v>863.95287873335747</v>
      </c>
      <c r="H85" s="4">
        <f ca="1">$B85*('Updated Population'!H$81/'Updated Population'!$B$81)*('Total Distance Tables Sup #1'!H173/'Total Distance Tables Sup #1'!$B173)</f>
        <v>841.98439850097122</v>
      </c>
      <c r="I85" s="1">
        <f ca="1">$B85*('Updated Population'!I$81/'Updated Population'!$B$81)*('Total Distance Tables Sup #1'!I173/'Total Distance Tables Sup #1'!$B173)</f>
        <v>835.04938814069965</v>
      </c>
      <c r="J85" s="1">
        <f ca="1">$B85*('Updated Population'!J$81/'Updated Population'!$B$81)*('Total Distance Tables Sup #1'!J173/'Total Distance Tables Sup #1'!$B173)</f>
        <v>825.53528546571636</v>
      </c>
      <c r="K85" s="1">
        <f ca="1">$B85*('Updated Population'!K$81/'Updated Population'!$B$81)*('Total Distance Tables Sup #1'!K173/'Total Distance Tables Sup #1'!$B173)</f>
        <v>814.37566616988886</v>
      </c>
    </row>
    <row r="86" spans="1:11" x14ac:dyDescent="0.2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$B86*('Updated Population'!C$81/'Updated Population'!$B$81)*('Total Distance Tables Sup #1'!C174/'Total Distance Tables Sup #1'!$B174)</f>
        <v>6.2890113235171485</v>
      </c>
      <c r="D86" s="4">
        <f ca="1">$B86*('Updated Population'!D$81/'Updated Population'!$B$81)*('Total Distance Tables Sup #1'!D174/'Total Distance Tables Sup #1'!$B174)</f>
        <v>6.9080875760925409</v>
      </c>
      <c r="E86" s="4">
        <f ca="1">$B86*('Updated Population'!E$81/'Updated Population'!$B$81)*('Total Distance Tables Sup #1'!E174/'Total Distance Tables Sup #1'!$B174)</f>
        <v>7.4249283927020411</v>
      </c>
      <c r="F86" s="4">
        <f ca="1">$B86*('Updated Population'!F$81/'Updated Population'!$B$81)*('Total Distance Tables Sup #1'!F174/'Total Distance Tables Sup #1'!$B174)</f>
        <v>7.7803976153671623</v>
      </c>
      <c r="G86" s="4">
        <f ca="1">$B86*('Updated Population'!G$81/'Updated Population'!$B$81)*('Total Distance Tables Sup #1'!G174/'Total Distance Tables Sup #1'!$B174)</f>
        <v>7.9535316997843264</v>
      </c>
      <c r="H86" s="4">
        <f ca="1">$B86*('Updated Population'!H$81/'Updated Population'!$B$81)*('Total Distance Tables Sup #1'!H174/'Total Distance Tables Sup #1'!$B174)</f>
        <v>8.0176533704385289</v>
      </c>
      <c r="I86" s="1">
        <f ca="1">$B86*('Updated Population'!I$81/'Updated Population'!$B$81)*('Total Distance Tables Sup #1'!I174/'Total Distance Tables Sup #1'!$B174)</f>
        <v>7.951615912632839</v>
      </c>
      <c r="J86" s="1">
        <f ca="1">$B86*('Updated Population'!J$81/'Updated Population'!$B$81)*('Total Distance Tables Sup #1'!J174/'Total Distance Tables Sup #1'!$B174)</f>
        <v>7.8610194864822054</v>
      </c>
      <c r="K86" s="1">
        <f ca="1">$B86*('Updated Population'!K$81/'Updated Population'!$B$81)*('Total Distance Tables Sup #1'!K174/'Total Distance Tables Sup #1'!$B174)</f>
        <v>7.7547539079046253</v>
      </c>
    </row>
    <row r="87" spans="1:11" x14ac:dyDescent="0.2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$B87*('Updated Population'!C$81/'Updated Population'!$B$81)*('Total Distance Tables Sup #1'!C175/'Total Distance Tables Sup #1'!$B175)</f>
        <v>4.0387925621796494</v>
      </c>
      <c r="D87" s="4">
        <f ca="1">$B87*('Updated Population'!D$81/'Updated Population'!$B$81)*('Total Distance Tables Sup #1'!D175/'Total Distance Tables Sup #1'!$B175)</f>
        <v>4.0818869336719494</v>
      </c>
      <c r="E87" s="4">
        <f ca="1">$B87*('Updated Population'!E$81/'Updated Population'!$B$81)*('Total Distance Tables Sup #1'!E175/'Total Distance Tables Sup #1'!$B175)</f>
        <v>4.0257300386238333</v>
      </c>
      <c r="F87" s="4">
        <f ca="1">$B87*('Updated Population'!F$81/'Updated Population'!$B$81)*('Total Distance Tables Sup #1'!F175/'Total Distance Tables Sup #1'!$B175)</f>
        <v>3.8824816564428177</v>
      </c>
      <c r="G87" s="4">
        <f ca="1">$B87*('Updated Population'!G$81/'Updated Population'!$B$81)*('Total Distance Tables Sup #1'!G175/'Total Distance Tables Sup #1'!$B175)</f>
        <v>3.6604377706398292</v>
      </c>
      <c r="H87" s="4">
        <f ca="1">$B87*('Updated Population'!H$81/'Updated Population'!$B$81)*('Total Distance Tables Sup #1'!H175/'Total Distance Tables Sup #1'!$B175)</f>
        <v>3.4133160020619813</v>
      </c>
      <c r="I87" s="1">
        <f ca="1">$B87*('Updated Population'!I$81/'Updated Population'!$B$81)*('Total Distance Tables Sup #1'!I175/'Total Distance Tables Sup #1'!$B175)</f>
        <v>3.3852022010469938</v>
      </c>
      <c r="J87" s="1">
        <f ca="1">$B87*('Updated Population'!J$81/'Updated Population'!$B$81)*('Total Distance Tables Sup #1'!J175/'Total Distance Tables Sup #1'!$B175)</f>
        <v>3.3466330316376816</v>
      </c>
      <c r="K87" s="1">
        <f ca="1">$B87*('Updated Population'!K$81/'Updated Population'!$B$81)*('Total Distance Tables Sup #1'!K175/'Total Distance Tables Sup #1'!$B175)</f>
        <v>3.3013931112933337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Distance Tables Sup #1'!C176/'Total Distance Tables Sup #1'!$B176)</f>
        <v>0</v>
      </c>
      <c r="D88" s="4">
        <f ca="1">$B88*('Updated Population'!D$81/'Updated Population'!$B$81)*('Total Distance Tables Sup #1'!D176/'Total Distance Tables Sup #1'!$B176)</f>
        <v>0</v>
      </c>
      <c r="E88" s="4">
        <f ca="1">$B88*('Updated Population'!E$81/'Updated Population'!$B$81)*('Total Distance Tables Sup #1'!E176/'Total Distance Tables Sup #1'!$B176)</f>
        <v>0</v>
      </c>
      <c r="F88" s="4">
        <f ca="1">$B88*('Updated Population'!F$81/'Updated Population'!$B$81)*('Total Distance Tables Sup #1'!F176/'Total Distance Tables Sup #1'!$B176)</f>
        <v>0</v>
      </c>
      <c r="G88" s="4">
        <f ca="1">$B88*('Updated Population'!G$81/'Updated Population'!$B$81)*('Total Distance Tables Sup #1'!G176/'Total Distance Tables Sup #1'!$B176)</f>
        <v>0</v>
      </c>
      <c r="H88" s="4">
        <f ca="1">$B88*('Updated Population'!H$81/'Updated Population'!$B$81)*('Total Distance Tables Sup #1'!H176/'Total Distance Tables Sup #1'!$B176)</f>
        <v>0</v>
      </c>
      <c r="I88" s="1">
        <f ca="1">$B88*('Updated Population'!I$81/'Updated Population'!$B$81)*('Total Distance Tables Sup #1'!I176/'Total Distance Tables Sup #1'!$B176)</f>
        <v>0</v>
      </c>
      <c r="J88" s="1">
        <f ca="1">$B88*('Updated Population'!J$81/'Updated Population'!$B$81)*('Total Distance Tables Sup #1'!J176/'Total Distance Tables Sup #1'!$B176)</f>
        <v>0</v>
      </c>
      <c r="K88" s="1">
        <f ca="1">$B88*('Updated Population'!K$81/'Updated Population'!$B$81)*('Total Distance Tables Sup #1'!K176/'Total Distance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$B89*('Updated Population'!C$81/'Updated Population'!$B$81)*('Total Distance Tables Sup #1'!C177/'Total Distance Tables Sup #1'!$B177)</f>
        <v>35.47711849713577</v>
      </c>
      <c r="D89" s="4">
        <f ca="1">$B89*('Updated Population'!D$81/'Updated Population'!$B$81)*('Total Distance Tables Sup #1'!D177/'Total Distance Tables Sup #1'!$B177)</f>
        <v>34.3452141483669</v>
      </c>
      <c r="E89" s="4">
        <f ca="1">$B89*('Updated Population'!E$81/'Updated Population'!$B$81)*('Total Distance Tables Sup #1'!E177/'Total Distance Tables Sup #1'!$B177)</f>
        <v>32.725472460050874</v>
      </c>
      <c r="F89" s="4">
        <f ca="1">$B89*('Updated Population'!F$81/'Updated Population'!$B$81)*('Total Distance Tables Sup #1'!F177/'Total Distance Tables Sup #1'!$B177)</f>
        <v>30.897792381934639</v>
      </c>
      <c r="G89" s="4">
        <f ca="1">$B89*('Updated Population'!G$81/'Updated Population'!$B$81)*('Total Distance Tables Sup #1'!G177/'Total Distance Tables Sup #1'!$B177)</f>
        <v>29.513211448407976</v>
      </c>
      <c r="H89" s="4">
        <f ca="1">$B89*('Updated Population'!H$81/'Updated Population'!$B$81)*('Total Distance Tables Sup #1'!H177/'Total Distance Tables Sup #1'!$B177)</f>
        <v>28.171794923629996</v>
      </c>
      <c r="I89" s="1">
        <f ca="1">$B89*('Updated Population'!I$81/'Updated Population'!$B$81)*('Total Distance Tables Sup #1'!I177/'Total Distance Tables Sup #1'!$B177)</f>
        <v>27.939757738605365</v>
      </c>
      <c r="J89" s="1">
        <f ca="1">$B89*('Updated Population'!J$81/'Updated Population'!$B$81)*('Total Distance Tables Sup #1'!J177/'Total Distance Tables Sup #1'!$B177)</f>
        <v>27.621427197185383</v>
      </c>
      <c r="K89" s="1">
        <f ca="1">$B89*('Updated Population'!K$81/'Updated Population'!$B$81)*('Total Distance Tables Sup #1'!K177/'Total Distance Tables Sup #1'!$B177)</f>
        <v>27.248039629924573</v>
      </c>
    </row>
    <row r="90" spans="1:11" x14ac:dyDescent="0.2">
      <c r="A90" t="str">
        <f ca="1">OFFSET(Manawatu_Reference,49,2)</f>
        <v>Local Ferry</v>
      </c>
      <c r="B90" s="4">
        <f ca="1">OFFSET(Manawatu_Reference,49,6)</f>
        <v>0</v>
      </c>
      <c r="C90" s="4">
        <f ca="1">$B90*('Updated Population'!C$81/'Updated Population'!$B$81)*('Total Distance Tables Sup #1'!C178/'Total Distance Tables Sup #1'!$B178)</f>
        <v>0</v>
      </c>
      <c r="D90" s="4">
        <f ca="1">$B90*('Updated Population'!D$81/'Updated Population'!$B$81)*('Total Distance Tables Sup #1'!D178/'Total Distance Tables Sup #1'!$B178)</f>
        <v>0</v>
      </c>
      <c r="E90" s="4">
        <f ca="1">$B90*('Updated Population'!E$81/'Updated Population'!$B$81)*('Total Distance Tables Sup #1'!E178/'Total Distance Tables Sup #1'!$B178)</f>
        <v>0</v>
      </c>
      <c r="F90" s="4">
        <f ca="1">$B90*('Updated Population'!F$81/'Updated Population'!$B$81)*('Total Distance Tables Sup #1'!F178/'Total Distance Tables Sup #1'!$B178)</f>
        <v>0</v>
      </c>
      <c r="G90" s="4">
        <f ca="1">$B90*('Updated Population'!G$81/'Updated Population'!$B$81)*('Total Distance Tables Sup #1'!G178/'Total Distance Tables Sup #1'!$B178)</f>
        <v>0</v>
      </c>
      <c r="H90" s="4">
        <f ca="1">$B90*('Updated Population'!H$81/'Updated Population'!$B$81)*('Total Distance Tables Sup #1'!H178/'Total Distance Tables Sup #1'!$B178)</f>
        <v>0</v>
      </c>
      <c r="I90" s="1">
        <f ca="1">$B90*('Updated Population'!I$81/'Updated Population'!$B$81)*('Total Distance Tables Sup #1'!I178/'Total Distance Tables Sup #1'!$B178)</f>
        <v>0</v>
      </c>
      <c r="J90" s="1">
        <f ca="1">$B90*('Updated Population'!J$81/'Updated Population'!$B$81)*('Total Distance Tables Sup #1'!J178/'Total Distance Tables Sup #1'!$B178)</f>
        <v>0</v>
      </c>
      <c r="K90" s="1">
        <f ca="1">$B90*('Updated Population'!K$81/'Updated Population'!$B$81)*('Total Distance Tables Sup #1'!K178/'Total Distance Tables Sup #1'!$B178)</f>
        <v>0</v>
      </c>
    </row>
    <row r="91" spans="1:11" x14ac:dyDescent="0.2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$B91*('Updated Population'!C$81/'Updated Population'!$B$81)*('Total Distance Tables Sup #1'!C179/'Total Distance Tables Sup #1'!$B179)</f>
        <v>0</v>
      </c>
      <c r="D91" s="4">
        <f ca="1">$B91*('Updated Population'!D$81/'Updated Population'!$B$81)*('Total Distance Tables Sup #1'!D179/'Total Distance Tables Sup #1'!$B179)</f>
        <v>0</v>
      </c>
      <c r="E91" s="4">
        <f ca="1">$B91*('Updated Population'!E$81/'Updated Population'!$B$81)*('Total Distance Tables Sup #1'!E179/'Total Distance Tables Sup #1'!$B179)</f>
        <v>0</v>
      </c>
      <c r="F91" s="4">
        <f ca="1">$B91*('Updated Population'!F$81/'Updated Population'!$B$81)*('Total Distance Tables Sup #1'!F179/'Total Distance Tables Sup #1'!$B179)</f>
        <v>0</v>
      </c>
      <c r="G91" s="4">
        <f ca="1">$B91*('Updated Population'!G$81/'Updated Population'!$B$81)*('Total Distance Tables Sup #1'!G179/'Total Distance Tables Sup #1'!$B179)</f>
        <v>0</v>
      </c>
      <c r="H91" s="4">
        <f ca="1">$B91*('Updated Population'!H$81/'Updated Population'!$B$81)*('Total Distance Tables Sup #1'!H179/'Total Distance Tables Sup #1'!$B179)</f>
        <v>0</v>
      </c>
      <c r="I91" s="1">
        <f ca="1">$B91*('Updated Population'!I$81/'Updated Population'!$B$81)*('Total Distance Tables Sup #1'!I179/'Total Distance Tables Sup #1'!$B179)</f>
        <v>0</v>
      </c>
      <c r="J91" s="1">
        <f ca="1">$B91*('Updated Population'!J$81/'Updated Population'!$B$81)*('Total Distance Tables Sup #1'!J179/'Total Distance Tables Sup #1'!$B179)</f>
        <v>0</v>
      </c>
      <c r="K91" s="1">
        <f ca="1">$B91*('Updated Population'!K$81/'Updated Population'!$B$81)*('Total Distance Tables Sup #1'!K179/'Total Distance Tables Sup #1'!$B179)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$B93*('Updated Population'!C$92/'Updated Population'!$B$92)*('Total Distance Tables Sup #1'!C170/'Total Distance Tables Sup #1'!$B170)</f>
        <v>129.98782182332812</v>
      </c>
      <c r="D93" s="4">
        <f ca="1">$B93*('Updated Population'!D$92/'Updated Population'!$B$92)*('Total Distance Tables Sup #1'!D170/'Total Distance Tables Sup #1'!$B170)</f>
        <v>129.37436650663443</v>
      </c>
      <c r="E93" s="4">
        <f ca="1">$B93*('Updated Population'!E$92/'Updated Population'!$B$92)*('Total Distance Tables Sup #1'!E170/'Total Distance Tables Sup #1'!$B170)</f>
        <v>126.80685686843952</v>
      </c>
      <c r="F93" s="4">
        <f ca="1">$B93*('Updated Population'!F$92/'Updated Population'!$B$92)*('Total Distance Tables Sup #1'!F170/'Total Distance Tables Sup #1'!$B170)</f>
        <v>123.40826704082589</v>
      </c>
      <c r="G93" s="4">
        <f ca="1">$B93*('Updated Population'!G$92/'Updated Population'!$B$92)*('Total Distance Tables Sup #1'!G170/'Total Distance Tables Sup #1'!$B170)</f>
        <v>120.14832443306787</v>
      </c>
      <c r="H93" s="4">
        <f ca="1">$B93*('Updated Population'!H$92/'Updated Population'!$B$92)*('Total Distance Tables Sup #1'!H170/'Total Distance Tables Sup #1'!$B170)</f>
        <v>116.2580873374333</v>
      </c>
      <c r="I93" s="1">
        <f ca="1">$B93*('Updated Population'!I$92/'Updated Population'!$B$92)*('Total Distance Tables Sup #1'!I170/'Total Distance Tables Sup #1'!$B170)</f>
        <v>117.02694030924145</v>
      </c>
      <c r="J93" s="1">
        <f ca="1">$B93*('Updated Population'!J$92/'Updated Population'!$B$92)*('Total Distance Tables Sup #1'!J170/'Total Distance Tables Sup #1'!$B170)</f>
        <v>117.42589746650012</v>
      </c>
      <c r="K93" s="1">
        <f ca="1">$B93*('Updated Population'!K$92/'Updated Population'!$B$92)*('Total Distance Tables Sup #1'!K170/'Total Distance Tables Sup #1'!$B170)</f>
        <v>117.57299856562423</v>
      </c>
    </row>
    <row r="94" spans="1:11" x14ac:dyDescent="0.2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$B94*('Updated Population'!C$92/'Updated Population'!$B$92)*('Total Distance Tables Sup #1'!C171/'Total Distance Tables Sup #1'!$B171)</f>
        <v>54.235281486942036</v>
      </c>
      <c r="D94" s="4">
        <f ca="1">$B94*('Updated Population'!D$92/'Updated Population'!$B$92)*('Total Distance Tables Sup #1'!D171/'Total Distance Tables Sup #1'!$B171)</f>
        <v>56.340886614692259</v>
      </c>
      <c r="E94" s="4">
        <f ca="1">$B94*('Updated Population'!E$92/'Updated Population'!$B$92)*('Total Distance Tables Sup #1'!E171/'Total Distance Tables Sup #1'!$B171)</f>
        <v>55.8775736265288</v>
      </c>
      <c r="F94" s="4">
        <f ca="1">$B94*('Updated Population'!F$92/'Updated Population'!$B$92)*('Total Distance Tables Sup #1'!F171/'Total Distance Tables Sup #1'!$B171)</f>
        <v>56.16320825841359</v>
      </c>
      <c r="G94" s="4">
        <f ca="1">$B94*('Updated Population'!G$92/'Updated Population'!$B$92)*('Total Distance Tables Sup #1'!G171/'Total Distance Tables Sup #1'!$B171)</f>
        <v>57.257437825689401</v>
      </c>
      <c r="H94" s="4">
        <f ca="1">$B94*('Updated Population'!H$92/'Updated Population'!$B$92)*('Total Distance Tables Sup #1'!H171/'Total Distance Tables Sup #1'!$B171)</f>
        <v>58.087185434710818</v>
      </c>
      <c r="I94" s="1">
        <f ca="1">$B94*('Updated Population'!I$92/'Updated Population'!$B$92)*('Total Distance Tables Sup #1'!I171/'Total Distance Tables Sup #1'!$B171)</f>
        <v>58.471335098345172</v>
      </c>
      <c r="J94" s="1">
        <f ca="1">$B94*('Updated Population'!J$92/'Updated Population'!$B$92)*('Total Distance Tables Sup #1'!J171/'Total Distance Tables Sup #1'!$B171)</f>
        <v>58.670670034132712</v>
      </c>
      <c r="K94" s="1">
        <f ca="1">$B94*('Updated Population'!K$92/'Updated Population'!$B$92)*('Total Distance Tables Sup #1'!K171/'Total Distance Tables Sup #1'!$B171)</f>
        <v>58.744167620564454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$B95*('Updated Population'!C$92/'Updated Population'!$B$92)*('Total Distance Tables Sup #1'!C172/'Total Distance Tables Sup #1'!$B172)</f>
        <v>3739.9197413562933</v>
      </c>
      <c r="D95" s="4">
        <f ca="1">$B95*('Updated Population'!D$92/'Updated Population'!$B$92)*('Total Distance Tables Sup #1'!D172/'Total Distance Tables Sup #1'!$B172)</f>
        <v>3841.790223950909</v>
      </c>
      <c r="E95" s="4">
        <f ca="1">$B95*('Updated Population'!E$92/'Updated Population'!$B$92)*('Total Distance Tables Sup #1'!E172/'Total Distance Tables Sup #1'!$B172)</f>
        <v>3942.1298620790135</v>
      </c>
      <c r="F95" s="4">
        <f ca="1">$B95*('Updated Population'!F$92/'Updated Population'!$B$92)*('Total Distance Tables Sup #1'!F172/'Total Distance Tables Sup #1'!$B172)</f>
        <v>4002.7640380268726</v>
      </c>
      <c r="G95" s="4">
        <f ca="1">$B95*('Updated Population'!G$92/'Updated Population'!$B$92)*('Total Distance Tables Sup #1'!G172/'Total Distance Tables Sup #1'!$B172)</f>
        <v>4016.8054961856742</v>
      </c>
      <c r="H95" s="4">
        <f ca="1">$B95*('Updated Population'!H$92/'Updated Population'!$B$92)*('Total Distance Tables Sup #1'!H172/'Total Distance Tables Sup #1'!$B172)</f>
        <v>3994.3488187761454</v>
      </c>
      <c r="I95" s="1">
        <f ca="1">$B95*('Updated Population'!I$92/'Updated Population'!$B$92)*('Total Distance Tables Sup #1'!I172/'Total Distance Tables Sup #1'!$B172)</f>
        <v>4020.7647613577647</v>
      </c>
      <c r="J95" s="1">
        <f ca="1">$B95*('Updated Population'!J$92/'Updated Population'!$B$92)*('Total Distance Tables Sup #1'!J172/'Total Distance Tables Sup #1'!$B172)</f>
        <v>4034.4719716373647</v>
      </c>
      <c r="K95" s="1">
        <f ca="1">$B95*('Updated Population'!K$92/'Updated Population'!$B$92)*('Total Distance Tables Sup #1'!K172/'Total Distance Tables Sup #1'!$B172)</f>
        <v>4039.5260123065673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$B96*('Updated Population'!C$92/'Updated Population'!$B$92)*('Total Distance Tables Sup #1'!C173/'Total Distance Tables Sup #1'!$B173)</f>
        <v>2059.2047495611487</v>
      </c>
      <c r="D96" s="4">
        <f ca="1">$B96*('Updated Population'!D$92/'Updated Population'!$B$92)*('Total Distance Tables Sup #1'!D173/'Total Distance Tables Sup #1'!$B173)</f>
        <v>2090.8660560848352</v>
      </c>
      <c r="E96" s="4">
        <f ca="1">$B96*('Updated Population'!E$92/'Updated Population'!$B$92)*('Total Distance Tables Sup #1'!E173/'Total Distance Tables Sup #1'!$B173)</f>
        <v>2115.0175388921316</v>
      </c>
      <c r="F96" s="4">
        <f ca="1">$B96*('Updated Population'!F$92/'Updated Population'!$B$92)*('Total Distance Tables Sup #1'!F173/'Total Distance Tables Sup #1'!$B173)</f>
        <v>2120.3474295769197</v>
      </c>
      <c r="G96" s="4">
        <f ca="1">$B96*('Updated Population'!G$92/'Updated Population'!$B$92)*('Total Distance Tables Sup #1'!G173/'Total Distance Tables Sup #1'!$B173)</f>
        <v>2113.083654747908</v>
      </c>
      <c r="H96" s="4">
        <f ca="1">$B96*('Updated Population'!H$92/'Updated Population'!$B$92)*('Total Distance Tables Sup #1'!H173/'Total Distance Tables Sup #1'!$B173)</f>
        <v>2090.1874599777098</v>
      </c>
      <c r="I96" s="1">
        <f ca="1">$B96*('Updated Population'!I$92/'Updated Population'!$B$92)*('Total Distance Tables Sup #1'!I173/'Total Distance Tables Sup #1'!$B173)</f>
        <v>2104.0105571664294</v>
      </c>
      <c r="J96" s="1">
        <f ca="1">$B96*('Updated Population'!J$92/'Updated Population'!$B$92)*('Total Distance Tables Sup #1'!J173/'Total Distance Tables Sup #1'!$B173)</f>
        <v>2111.1833506147691</v>
      </c>
      <c r="K96" s="1">
        <f ca="1">$B96*('Updated Population'!K$92/'Updated Population'!$B$92)*('Total Distance Tables Sup #1'!K173/'Total Distance Tables Sup #1'!$B173)</f>
        <v>2113.8280601552392</v>
      </c>
    </row>
    <row r="97" spans="1:11" x14ac:dyDescent="0.2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$B97*('Updated Population'!C$92/'Updated Population'!$B$92)*('Total Distance Tables Sup #1'!C174/'Total Distance Tables Sup #1'!$B174)</f>
        <v>21.989185630719088</v>
      </c>
      <c r="D97" s="4">
        <f ca="1">$B97*('Updated Population'!D$92/'Updated Population'!$B$92)*('Total Distance Tables Sup #1'!D174/'Total Distance Tables Sup #1'!$B174)</f>
        <v>24.546353778609916</v>
      </c>
      <c r="E97" s="4">
        <f ca="1">$B97*('Updated Population'!E$92/'Updated Population'!$B$92)*('Total Distance Tables Sup #1'!E174/'Total Distance Tables Sup #1'!$B174)</f>
        <v>26.744516897120089</v>
      </c>
      <c r="F97" s="4">
        <f ca="1">$B97*('Updated Population'!F$92/'Updated Population'!$B$92)*('Total Distance Tables Sup #1'!F174/'Total Distance Tables Sup #1'!$B174)</f>
        <v>28.438707543073097</v>
      </c>
      <c r="G97" s="4">
        <f ca="1">$B97*('Updated Population'!G$92/'Updated Population'!$B$92)*('Total Distance Tables Sup #1'!G174/'Total Distance Tables Sup #1'!$B174)</f>
        <v>29.5110754431069</v>
      </c>
      <c r="H97" s="4">
        <f ca="1">$B97*('Updated Population'!H$92/'Updated Population'!$B$92)*('Total Distance Tables Sup #1'!H174/'Total Distance Tables Sup #1'!$B174)</f>
        <v>30.194431371660826</v>
      </c>
      <c r="I97" s="1">
        <f ca="1">$B97*('Updated Population'!I$92/'Updated Population'!$B$92)*('Total Distance Tables Sup #1'!I174/'Total Distance Tables Sup #1'!$B174)</f>
        <v>30.394117078039073</v>
      </c>
      <c r="J97" s="1">
        <f ca="1">$B97*('Updated Population'!J$92/'Updated Population'!$B$92)*('Total Distance Tables Sup #1'!J174/'Total Distance Tables Sup #1'!$B174)</f>
        <v>30.497733822310082</v>
      </c>
      <c r="K97" s="1">
        <f ca="1">$B97*('Updated Population'!K$92/'Updated Population'!$B$92)*('Total Distance Tables Sup #1'!K174/'Total Distance Tables Sup #1'!$B174)</f>
        <v>30.535938769113542</v>
      </c>
    </row>
    <row r="98" spans="1:11" x14ac:dyDescent="0.2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$B98*('Updated Population'!C$92/'Updated Population'!$B$92)*('Total Distance Tables Sup #1'!C175/'Total Distance Tables Sup #1'!$B175)</f>
        <v>25.930725363422248</v>
      </c>
      <c r="D98" s="4">
        <f ca="1">$B98*('Updated Population'!D$92/'Updated Population'!$B$92)*('Total Distance Tables Sup #1'!D175/'Total Distance Tables Sup #1'!$B175)</f>
        <v>26.633391573592789</v>
      </c>
      <c r="E98" s="4">
        <f ca="1">$B98*('Updated Population'!E$92/'Updated Population'!$B$92)*('Total Distance Tables Sup #1'!E175/'Total Distance Tables Sup #1'!$B175)</f>
        <v>26.627076424894831</v>
      </c>
      <c r="F98" s="4">
        <f ca="1">$B98*('Updated Population'!F$92/'Updated Population'!$B$92)*('Total Distance Tables Sup #1'!F175/'Total Distance Tables Sup #1'!$B175)</f>
        <v>26.058764696630753</v>
      </c>
      <c r="G98" s="4">
        <f ca="1">$B98*('Updated Population'!G$92/'Updated Population'!$B$92)*('Total Distance Tables Sup #1'!G175/'Total Distance Tables Sup #1'!$B175)</f>
        <v>24.93988214526955</v>
      </c>
      <c r="H98" s="4">
        <f ca="1">$B98*('Updated Population'!H$92/'Updated Population'!$B$92)*('Total Distance Tables Sup #1'!H175/'Total Distance Tables Sup #1'!$B175)</f>
        <v>23.604370595206046</v>
      </c>
      <c r="I98" s="1">
        <f ca="1">$B98*('Updated Population'!I$92/'Updated Population'!$B$92)*('Total Distance Tables Sup #1'!I175/'Total Distance Tables Sup #1'!$B175)</f>
        <v>23.76047406203077</v>
      </c>
      <c r="J98" s="1">
        <f ca="1">$B98*('Updated Population'!J$92/'Updated Population'!$B$92)*('Total Distance Tables Sup #1'!J175/'Total Distance Tables Sup #1'!$B175)</f>
        <v>23.841476019031926</v>
      </c>
      <c r="K98" s="1">
        <f ca="1">$B98*('Updated Population'!K$92/'Updated Population'!$B$92)*('Total Distance Tables Sup #1'!K175/'Total Distance Tables Sup #1'!$B175)</f>
        <v>23.871342576604043</v>
      </c>
    </row>
    <row r="99" spans="1:11" x14ac:dyDescent="0.2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248.44248303000001</v>
      </c>
      <c r="D99" s="4">
        <f ca="1">OFFSET(Wellington_Reference,44,6)</f>
        <v>265.06830047</v>
      </c>
      <c r="E99" s="4">
        <f ca="1">OFFSET(Wellington_Reference,45,6)</f>
        <v>263.58451653999998</v>
      </c>
      <c r="F99" s="4">
        <f ca="1">OFFSET(Wellington_Reference,46,6)</f>
        <v>256.17808224999999</v>
      </c>
      <c r="G99" s="4">
        <f ca="1">OFFSET(Wellington_Reference,47,6)</f>
        <v>248.81406132000001</v>
      </c>
      <c r="H99" s="4">
        <f ca="1">OFFSET(Wellington_Reference,48,6)</f>
        <v>240.12026714999999</v>
      </c>
      <c r="I99" s="1">
        <f ca="1">OFFSET(Wellington_Reference,48,6)*('Updated Population'!I92/'Updated Population'!H92)</f>
        <v>241.70826145833402</v>
      </c>
      <c r="J99" s="1">
        <f ca="1">OFFSET(Wellington_Reference,48,6)*('Updated Population'!J92/'Updated Population'!H92)</f>
        <v>242.53227036280111</v>
      </c>
      <c r="K99" s="1">
        <f ca="1">OFFSET(Wellington_Reference,48,6)*('Updated Population'!K92/'Updated Population'!H92)</f>
        <v>242.83609400233183</v>
      </c>
    </row>
    <row r="100" spans="1:11" x14ac:dyDescent="0.2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181.7900128</v>
      </c>
      <c r="D100" s="4">
        <f ca="1">OFFSET(Wellington_Reference,51,6)</f>
        <v>187.11115660999999</v>
      </c>
      <c r="E100" s="4">
        <f ca="1">OFFSET(Wellington_Reference,52,6)</f>
        <v>182.32258335</v>
      </c>
      <c r="F100" s="4">
        <f ca="1">OFFSET(Wellington_Reference,53,6)</f>
        <v>177.10118631</v>
      </c>
      <c r="G100" s="4">
        <f ca="1">OFFSET(Wellington_Reference,54,6)</f>
        <v>171.97027491</v>
      </c>
      <c r="H100" s="4">
        <f ca="1">OFFSET(Wellington_Reference,55,6)</f>
        <v>166.55157001000001</v>
      </c>
      <c r="I100" s="1">
        <f ca="1">OFFSET(Wellington_Reference,55,6)*('Updated Population'!I92/'Updated Population'!H92)</f>
        <v>167.65303032552913</v>
      </c>
      <c r="J100" s="1">
        <f ca="1">OFFSET(Wellington_Reference,55,6)*('Updated Population'!J92/'Updated Population'!H92)</f>
        <v>168.2245771523344</v>
      </c>
      <c r="K100" s="1">
        <f ca="1">OFFSET(Wellington_Reference,55,6)*('Updated Population'!K92/'Updated Population'!H92)</f>
        <v>168.43531448313365</v>
      </c>
    </row>
    <row r="101" spans="1:11" x14ac:dyDescent="0.2">
      <c r="A101" t="str">
        <f ca="1">OFFSET(Wellington_Reference,56,2)</f>
        <v>Local Ferry</v>
      </c>
      <c r="B101" s="4">
        <f ca="1">OFFSET(Wellington_Reference,56,6)</f>
        <v>0</v>
      </c>
      <c r="C101" s="4">
        <f ca="1">$B101*('Updated Population'!C$92/'Updated Population'!$B$92)*('Total Distance Tables Sup #1'!C178/'Total Distance Tables Sup #1'!$B178)</f>
        <v>0</v>
      </c>
      <c r="D101" s="4">
        <f ca="1">$B101*('Updated Population'!D$92/'Updated Population'!$B$92)*('Total Distance Tables Sup #1'!D178/'Total Distance Tables Sup #1'!$B178)</f>
        <v>0</v>
      </c>
      <c r="E101" s="4">
        <f ca="1">$B101*('Updated Population'!E$92/'Updated Population'!$B$92)*('Total Distance Tables Sup #1'!E178/'Total Distance Tables Sup #1'!$B178)</f>
        <v>0</v>
      </c>
      <c r="F101" s="4">
        <f ca="1">$B101*('Updated Population'!F$92/'Updated Population'!$B$92)*('Total Distance Tables Sup #1'!F178/'Total Distance Tables Sup #1'!$B178)</f>
        <v>0</v>
      </c>
      <c r="G101" s="4">
        <f ca="1">$B101*('Updated Population'!G$92/'Updated Population'!$B$92)*('Total Distance Tables Sup #1'!G178/'Total Distance Tables Sup #1'!$B178)</f>
        <v>0</v>
      </c>
      <c r="H101" s="4">
        <f ca="1">$B101*('Updated Population'!H$92/'Updated Population'!$B$92)*('Total Distance Tables Sup #1'!H178/'Total Distance Tables Sup #1'!$B178)</f>
        <v>0</v>
      </c>
      <c r="I101" s="1">
        <f ca="1">$B101*('Updated Population'!I$92/'Updated Population'!$B$92)*('Total Distance Tables Sup #1'!I178/'Total Distance Tables Sup #1'!$B178)</f>
        <v>0</v>
      </c>
      <c r="J101" s="1">
        <f ca="1">$B101*('Updated Population'!J$92/'Updated Population'!$B$92)*('Total Distance Tables Sup #1'!J178/'Total Distance Tables Sup #1'!$B178)</f>
        <v>0</v>
      </c>
      <c r="K101" s="1">
        <f ca="1">$B101*('Updated Population'!K$92/'Updated Population'!$B$92)*('Total Distance Tables Sup #1'!K178/'Total Distance Tables Sup #1'!$B178)</f>
        <v>0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$B102*('Updated Population'!C$92/'Updated Population'!$B$92)*('Total Distance Tables Sup #1'!C179/'Total Distance Tables Sup #1'!$B179)</f>
        <v>0</v>
      </c>
      <c r="D102" s="4">
        <f ca="1">$B102*('Updated Population'!D$92/'Updated Population'!$B$92)*('Total Distance Tables Sup #1'!D179/'Total Distance Tables Sup #1'!$B179)</f>
        <v>0</v>
      </c>
      <c r="E102" s="4">
        <f ca="1">$B102*('Updated Population'!E$92/'Updated Population'!$B$92)*('Total Distance Tables Sup #1'!E179/'Total Distance Tables Sup #1'!$B179)</f>
        <v>0</v>
      </c>
      <c r="F102" s="4">
        <f ca="1">$B102*('Updated Population'!F$92/'Updated Population'!$B$92)*('Total Distance Tables Sup #1'!F179/'Total Distance Tables Sup #1'!$B179)</f>
        <v>0</v>
      </c>
      <c r="G102" s="4">
        <f ca="1">$B102*('Updated Population'!G$92/'Updated Population'!$B$92)*('Total Distance Tables Sup #1'!G179/'Total Distance Tables Sup #1'!$B179)</f>
        <v>0</v>
      </c>
      <c r="H102" s="4">
        <f ca="1">$B102*('Updated Population'!H$92/'Updated Population'!$B$92)*('Total Distance Tables Sup #1'!H179/'Total Distance Tables Sup #1'!$B179)</f>
        <v>0</v>
      </c>
      <c r="I102" s="1">
        <f ca="1">$B102*('Updated Population'!I$92/'Updated Population'!$B$92)*('Total Distance Tables Sup #1'!I179/'Total Distance Tables Sup #1'!$B179)</f>
        <v>0</v>
      </c>
      <c r="J102" s="1">
        <f ca="1">$B102*('Updated Population'!J$92/'Updated Population'!$B$92)*('Total Distance Tables Sup #1'!J179/'Total Distance Tables Sup #1'!$B179)</f>
        <v>0</v>
      </c>
      <c r="K102" s="1">
        <f ca="1">$B102*('Updated Population'!K$92/'Updated Population'!$B$92)*('Total Distance Tables Sup #1'!K179/'Total Distance Tables Sup #1'!$B179)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$B104*('Updated Population'!C$103/'Updated Population'!$B$103)*('Total Distance Tables Sup #1'!C170/'Total Distance Tables Sup #1'!$B170)</f>
        <v>29.176595807997998</v>
      </c>
      <c r="D104" s="4">
        <f ca="1">$B104*('Updated Population'!D$103/'Updated Population'!$B$103)*('Total Distance Tables Sup #1'!D170/'Total Distance Tables Sup #1'!$B170)</f>
        <v>28.943430434502442</v>
      </c>
      <c r="E104" s="4">
        <f ca="1">$B104*('Updated Population'!E$103/'Updated Population'!$B$103)*('Total Distance Tables Sup #1'!E170/'Total Distance Tables Sup #1'!$B170)</f>
        <v>28.269677754755936</v>
      </c>
      <c r="F104" s="4">
        <f ca="1">$B104*('Updated Population'!F$103/'Updated Population'!$B$103)*('Total Distance Tables Sup #1'!F170/'Total Distance Tables Sup #1'!$B170)</f>
        <v>27.371321757426369</v>
      </c>
      <c r="G104" s="4">
        <f ca="1">$B104*('Updated Population'!G$103/'Updated Population'!$B$103)*('Total Distance Tables Sup #1'!G170/'Total Distance Tables Sup #1'!$B170)</f>
        <v>26.476121050239421</v>
      </c>
      <c r="H104" s="4">
        <f ca="1">$B104*('Updated Population'!H$103/'Updated Population'!$B$103)*('Total Distance Tables Sup #1'!H170/'Total Distance Tables Sup #1'!$B170)</f>
        <v>25.410604057858013</v>
      </c>
      <c r="I104" s="1">
        <f ca="1">$B104*('Updated Population'!I$103/'Updated Population'!$B$103)*('Total Distance Tables Sup #1'!I170/'Total Distance Tables Sup #1'!$B170)</f>
        <v>25.371919306841537</v>
      </c>
      <c r="J104" s="1">
        <f ca="1">$B104*('Updated Population'!J$103/'Updated Population'!$B$103)*('Total Distance Tables Sup #1'!J170/'Total Distance Tables Sup #1'!$B170)</f>
        <v>25.253845438023539</v>
      </c>
      <c r="K104" s="1">
        <f ca="1">$B104*('Updated Population'!K$103/'Updated Population'!$B$103)*('Total Distance Tables Sup #1'!K170/'Total Distance Tables Sup #1'!$B170)</f>
        <v>25.083486948996704</v>
      </c>
    </row>
    <row r="105" spans="1:11" x14ac:dyDescent="0.2">
      <c r="A105" t="str">
        <f ca="1">OFFSET(Nelson_Reference,7,2)</f>
        <v>Cyclist</v>
      </c>
      <c r="B105" s="4">
        <f ca="1">OFFSET(Nelson_Reference,7,6)</f>
        <v>10.809874027999999</v>
      </c>
      <c r="C105" s="4">
        <f ca="1">$B105*('Updated Population'!C$103/'Updated Population'!$B$103)*('Total Distance Tables Sup #1'!C171/'Total Distance Tables Sup #1'!$B171)</f>
        <v>11.147883735234648</v>
      </c>
      <c r="D105" s="4">
        <f ca="1">$B105*('Updated Population'!D$103/'Updated Population'!$B$103)*('Total Distance Tables Sup #1'!D171/'Total Distance Tables Sup #1'!$B171)</f>
        <v>11.542610043061329</v>
      </c>
      <c r="E105" s="4">
        <f ca="1">$B105*('Updated Population'!E$103/'Updated Population'!$B$103)*('Total Distance Tables Sup #1'!E171/'Total Distance Tables Sup #1'!$B171)</f>
        <v>11.407598807173512</v>
      </c>
      <c r="F105" s="4">
        <f ca="1">$B105*('Updated Population'!F$103/'Updated Population'!$B$103)*('Total Distance Tables Sup #1'!F171/'Total Distance Tables Sup #1'!$B171)</f>
        <v>11.407277435582255</v>
      </c>
      <c r="G105" s="4">
        <f ca="1">$B105*('Updated Population'!G$103/'Updated Population'!$B$103)*('Total Distance Tables Sup #1'!G171/'Total Distance Tables Sup #1'!$B171)</f>
        <v>11.55439284173144</v>
      </c>
      <c r="H105" s="4">
        <f ca="1">$B105*('Updated Population'!H$103/'Updated Population'!$B$103)*('Total Distance Tables Sup #1'!H171/'Total Distance Tables Sup #1'!$B171)</f>
        <v>11.62654638565234</v>
      </c>
      <c r="I105" s="1">
        <f ca="1">$B105*('Updated Population'!I$103/'Updated Population'!$B$103)*('Total Distance Tables Sup #1'!I171/'Total Distance Tables Sup #1'!$B171)</f>
        <v>11.608846292766456</v>
      </c>
      <c r="J105" s="1">
        <f ca="1">$B105*('Updated Population'!J$103/'Updated Population'!$B$103)*('Total Distance Tables Sup #1'!J171/'Total Distance Tables Sup #1'!$B171)</f>
        <v>11.554821944914666</v>
      </c>
      <c r="K105" s="1">
        <f ca="1">$B105*('Updated Population'!K$103/'Updated Population'!$B$103)*('Total Distance Tables Sup #1'!K171/'Total Distance Tables Sup #1'!$B171)</f>
        <v>11.47687492443651</v>
      </c>
    </row>
    <row r="106" spans="1:11" x14ac:dyDescent="0.2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$B106*('Updated Population'!C$103/'Updated Population'!$B$103)*('Total Distance Tables Sup #1'!C172/'Total Distance Tables Sup #1'!$B172)</f>
        <v>1076.9752892487829</v>
      </c>
      <c r="D106" s="4">
        <f ca="1">$B106*('Updated Population'!D$103/'Updated Population'!$B$103)*('Total Distance Tables Sup #1'!D172/'Total Distance Tables Sup #1'!$B172)</f>
        <v>1102.6734502452196</v>
      </c>
      <c r="E106" s="4">
        <f ca="1">$B106*('Updated Population'!E$103/'Updated Population'!$B$103)*('Total Distance Tables Sup #1'!E172/'Total Distance Tables Sup #1'!$B172)</f>
        <v>1127.5103848911128</v>
      </c>
      <c r="F106" s="4">
        <f ca="1">$B106*('Updated Population'!F$103/'Updated Population'!$B$103)*('Total Distance Tables Sup #1'!F172/'Total Distance Tables Sup #1'!$B172)</f>
        <v>1138.9981252516179</v>
      </c>
      <c r="G106" s="4">
        <f ca="1">$B106*('Updated Population'!G$103/'Updated Population'!$B$103)*('Total Distance Tables Sup #1'!G172/'Total Distance Tables Sup #1'!$B172)</f>
        <v>1135.6093139879845</v>
      </c>
      <c r="H106" s="4">
        <f ca="1">$B106*('Updated Population'!H$103/'Updated Population'!$B$103)*('Total Distance Tables Sup #1'!H172/'Total Distance Tables Sup #1'!$B172)</f>
        <v>1120.0806832604189</v>
      </c>
      <c r="I106" s="1">
        <f ca="1">$B106*('Updated Population'!I$103/'Updated Population'!$B$103)*('Total Distance Tables Sup #1'!I172/'Total Distance Tables Sup #1'!$B172)</f>
        <v>1118.3754879706244</v>
      </c>
      <c r="J106" s="1">
        <f ca="1">$B106*('Updated Population'!J$103/'Updated Population'!$B$103)*('Total Distance Tables Sup #1'!J172/'Total Distance Tables Sup #1'!$B172)</f>
        <v>1113.1708789278905</v>
      </c>
      <c r="K106" s="1">
        <f ca="1">$B106*('Updated Population'!K$103/'Updated Population'!$B$103)*('Total Distance Tables Sup #1'!K172/'Total Distance Tables Sup #1'!$B172)</f>
        <v>1105.6616023930264</v>
      </c>
    </row>
    <row r="107" spans="1:11" x14ac:dyDescent="0.2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$B107*('Updated Population'!C$103/'Updated Population'!$B$103)*('Total Distance Tables Sup #1'!C173/'Total Distance Tables Sup #1'!$B173)</f>
        <v>537.57680016979953</v>
      </c>
      <c r="D107" s="4">
        <f ca="1">$B107*('Updated Population'!D$103/'Updated Population'!$B$103)*('Total Distance Tables Sup #1'!D173/'Total Distance Tables Sup #1'!$B173)</f>
        <v>544.04774342978976</v>
      </c>
      <c r="E107" s="4">
        <f ca="1">$B107*('Updated Population'!E$103/'Updated Population'!$B$103)*('Total Distance Tables Sup #1'!E173/'Total Distance Tables Sup #1'!$B173)</f>
        <v>548.40464836281387</v>
      </c>
      <c r="F107" s="4">
        <f ca="1">$B107*('Updated Population'!F$103/'Updated Population'!$B$103)*('Total Distance Tables Sup #1'!F173/'Total Distance Tables Sup #1'!$B173)</f>
        <v>546.97512765778163</v>
      </c>
      <c r="G107" s="4">
        <f ca="1">$B107*('Updated Population'!G$103/'Updated Population'!$B$103)*('Total Distance Tables Sup #1'!G173/'Total Distance Tables Sup #1'!$B173)</f>
        <v>541.57968356207846</v>
      </c>
      <c r="H107" s="4">
        <f ca="1">$B107*('Updated Population'!H$103/'Updated Population'!$B$103)*('Total Distance Tables Sup #1'!H173/'Total Distance Tables Sup #1'!$B173)</f>
        <v>531.35660984659114</v>
      </c>
      <c r="I107" s="1">
        <f ca="1">$B107*('Updated Population'!I$103/'Updated Population'!$B$103)*('Total Distance Tables Sup #1'!I173/'Total Distance Tables Sup #1'!$B173)</f>
        <v>530.54767991694166</v>
      </c>
      <c r="J107" s="1">
        <f ca="1">$B107*('Updated Population'!J$103/'Updated Population'!$B$103)*('Total Distance Tables Sup #1'!J173/'Total Distance Tables Sup #1'!$B173)</f>
        <v>528.07865830282549</v>
      </c>
      <c r="K107" s="1">
        <f ca="1">$B107*('Updated Population'!K$103/'Updated Population'!$B$103)*('Total Distance Tables Sup #1'!K173/'Total Distance Tables Sup #1'!$B173)</f>
        <v>524.51632231971473</v>
      </c>
    </row>
    <row r="108" spans="1:11" x14ac:dyDescent="0.2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$B108*('Updated Population'!C$103/'Updated Population'!$B$103)*('Total Distance Tables Sup #1'!C174/'Total Distance Tables Sup #1'!$B174)</f>
        <v>2.867068245854226</v>
      </c>
      <c r="D108" s="4">
        <f ca="1">$B108*('Updated Population'!D$103/'Updated Population'!$B$103)*('Total Distance Tables Sup #1'!D174/'Total Distance Tables Sup #1'!$B174)</f>
        <v>3.1899633170862933</v>
      </c>
      <c r="E108" s="4">
        <f ca="1">$B108*('Updated Population'!E$103/'Updated Population'!$B$103)*('Total Distance Tables Sup #1'!E174/'Total Distance Tables Sup #1'!$B174)</f>
        <v>3.4634570793688249</v>
      </c>
      <c r="F108" s="4">
        <f ca="1">$B108*('Updated Population'!F$103/'Updated Population'!$B$103)*('Total Distance Tables Sup #1'!F174/'Total Distance Tables Sup #1'!$B174)</f>
        <v>3.6640239504005332</v>
      </c>
      <c r="G108" s="4">
        <f ca="1">$B108*('Updated Population'!G$103/'Updated Population'!$B$103)*('Total Distance Tables Sup #1'!G174/'Total Distance Tables Sup #1'!$B174)</f>
        <v>3.7776229518173436</v>
      </c>
      <c r="H108" s="4">
        <f ca="1">$B108*('Updated Population'!H$103/'Updated Population'!$B$103)*('Total Distance Tables Sup #1'!H174/'Total Distance Tables Sup #1'!$B174)</f>
        <v>3.8336777414721039</v>
      </c>
      <c r="I108" s="1">
        <f ca="1">$B108*('Updated Population'!I$103/'Updated Population'!$B$103)*('Total Distance Tables Sup #1'!I174/'Total Distance Tables Sup #1'!$B174)</f>
        <v>3.8278414036751522</v>
      </c>
      <c r="J108" s="1">
        <f ca="1">$B108*('Updated Population'!J$103/'Updated Population'!$B$103)*('Total Distance Tables Sup #1'!J174/'Total Distance Tables Sup #1'!$B174)</f>
        <v>3.8100276924502485</v>
      </c>
      <c r="K108" s="1">
        <f ca="1">$B108*('Updated Population'!K$103/'Updated Population'!$B$103)*('Total Distance Tables Sup #1'!K174/'Total Distance Tables Sup #1'!$B174)</f>
        <v>3.784325841917064</v>
      </c>
    </row>
    <row r="109" spans="1:11" x14ac:dyDescent="0.2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$B109*('Updated Population'!C$103/'Updated Population'!$B$103)*('Total Distance Tables Sup #1'!C175/'Total Distance Tables Sup #1'!$B175)</f>
        <v>35.858860166175752</v>
      </c>
      <c r="D109" s="4">
        <f ca="1">$B109*('Updated Population'!D$103/'Updated Population'!$B$103)*('Total Distance Tables Sup #1'!D175/'Total Distance Tables Sup #1'!$B175)</f>
        <v>36.709469119566499</v>
      </c>
      <c r="E109" s="4">
        <f ca="1">$B109*('Updated Population'!E$103/'Updated Population'!$B$103)*('Total Distance Tables Sup #1'!E175/'Total Distance Tables Sup #1'!$B175)</f>
        <v>36.572232113987738</v>
      </c>
      <c r="F109" s="4">
        <f ca="1">$B109*('Updated Population'!F$103/'Updated Population'!$B$103)*('Total Distance Tables Sup #1'!F175/'Total Distance Tables Sup #1'!$B175)</f>
        <v>35.608624920633467</v>
      </c>
      <c r="G109" s="4">
        <f ca="1">$B109*('Updated Population'!G$103/'Updated Population'!$B$103)*('Total Distance Tables Sup #1'!G175/'Total Distance Tables Sup #1'!$B175)</f>
        <v>33.859527931545195</v>
      </c>
      <c r="H109" s="4">
        <f ca="1">$B109*('Updated Population'!H$103/'Updated Population'!$B$103)*('Total Distance Tables Sup #1'!H175/'Total Distance Tables Sup #1'!$B175)</f>
        <v>31.785869980889181</v>
      </c>
      <c r="I109" s="1">
        <f ca="1">$B109*('Updated Population'!I$103/'Updated Population'!$B$103)*('Total Distance Tables Sup #1'!I175/'Total Distance Tables Sup #1'!$B175)</f>
        <v>31.737479613495594</v>
      </c>
      <c r="J109" s="1">
        <f ca="1">$B109*('Updated Population'!J$103/'Updated Population'!$B$103)*('Total Distance Tables Sup #1'!J175/'Total Distance Tables Sup #1'!$B175)</f>
        <v>31.589782194188132</v>
      </c>
      <c r="K109" s="1">
        <f ca="1">$B109*('Updated Population'!K$103/'Updated Population'!$B$103)*('Total Distance Tables Sup #1'!K175/'Total Distance Tables Sup #1'!$B175)</f>
        <v>31.376682467396193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Distance Tables Sup #1'!C176/'Total Distance Tables Sup #1'!$B176)</f>
        <v>0</v>
      </c>
      <c r="D110" s="4">
        <f ca="1">$B110*('Updated Population'!D$103/'Updated Population'!$B$103)*('Total Distance Tables Sup #1'!D176/'Total Distance Tables Sup #1'!$B176)</f>
        <v>0</v>
      </c>
      <c r="E110" s="4">
        <f ca="1">$B110*('Updated Population'!E$103/'Updated Population'!$B$103)*('Total Distance Tables Sup #1'!E176/'Total Distance Tables Sup #1'!$B176)</f>
        <v>0</v>
      </c>
      <c r="F110" s="4">
        <f ca="1">$B110*('Updated Population'!F$103/'Updated Population'!$B$103)*('Total Distance Tables Sup #1'!F176/'Total Distance Tables Sup #1'!$B176)</f>
        <v>0</v>
      </c>
      <c r="G110" s="4">
        <f ca="1">$B110*('Updated Population'!G$103/'Updated Population'!$B$103)*('Total Distance Tables Sup #1'!G176/'Total Distance Tables Sup #1'!$B176)</f>
        <v>0</v>
      </c>
      <c r="H110" s="4">
        <f ca="1">$B110*('Updated Population'!H$103/'Updated Population'!$B$103)*('Total Distance Tables Sup #1'!H176/'Total Distance Tables Sup #1'!$B176)</f>
        <v>0</v>
      </c>
      <c r="I110" s="1">
        <f ca="1">$B110*('Updated Population'!I$103/'Updated Population'!$B$103)*('Total Distance Tables Sup #1'!I176/'Total Distance Tables Sup #1'!$B176)</f>
        <v>0</v>
      </c>
      <c r="J110" s="1">
        <f ca="1">$B110*('Updated Population'!J$103/'Updated Population'!$B$103)*('Total Distance Tables Sup #1'!J176/'Total Distance Tables Sup #1'!$B176)</f>
        <v>0</v>
      </c>
      <c r="K110" s="1">
        <f ca="1">$B110*('Updated Population'!K$103/'Updated Population'!$B$103)*('Total Distance Tables Sup #1'!K176/'Total Distance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$B111*('Updated Population'!C$103/'Updated Population'!$B$103)*('Total Distance Tables Sup #1'!C177/'Total Distance Tables Sup #1'!$B177)</f>
        <v>17.811039803112077</v>
      </c>
      <c r="D111" s="4">
        <f ca="1">$B111*('Updated Population'!D$103/'Updated Population'!$B$103)*('Total Distance Tables Sup #1'!D177/'Total Distance Tables Sup #1'!$B177)</f>
        <v>17.465433298837116</v>
      </c>
      <c r="E111" s="4">
        <f ca="1">$B111*('Updated Population'!E$103/'Updated Population'!$B$103)*('Total Distance Tables Sup #1'!E177/'Total Distance Tables Sup #1'!$B177)</f>
        <v>16.810814162933145</v>
      </c>
      <c r="F111" s="4">
        <f ca="1">$B111*('Updated Population'!F$103/'Updated Population'!$B$103)*('Total Distance Tables Sup #1'!F177/'Total Distance Tables Sup #1'!$B177)</f>
        <v>16.023937557873044</v>
      </c>
      <c r="G111" s="4">
        <f ca="1">$B111*('Updated Population'!G$103/'Updated Population'!$B$103)*('Total Distance Tables Sup #1'!G177/'Total Distance Tables Sup #1'!$B177)</f>
        <v>15.436908963104612</v>
      </c>
      <c r="H111" s="4">
        <f ca="1">$B111*('Updated Population'!H$103/'Updated Population'!$B$103)*('Total Distance Tables Sup #1'!H177/'Total Distance Tables Sup #1'!$B177)</f>
        <v>14.834336519949799</v>
      </c>
      <c r="I111" s="1">
        <f ca="1">$B111*('Updated Population'!I$103/'Updated Population'!$B$103)*('Total Distance Tables Sup #1'!I177/'Total Distance Tables Sup #1'!$B177)</f>
        <v>14.811752931875221</v>
      </c>
      <c r="J111" s="1">
        <f ca="1">$B111*('Updated Population'!J$103/'Updated Population'!$B$103)*('Total Distance Tables Sup #1'!J177/'Total Distance Tables Sup #1'!$B177)</f>
        <v>14.742823145701291</v>
      </c>
      <c r="K111" s="1">
        <f ca="1">$B111*('Updated Population'!K$103/'Updated Population'!$B$103)*('Total Distance Tables Sup #1'!K177/'Total Distance Tables Sup #1'!$B177)</f>
        <v>14.643370368053811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Distance Tables Sup #1'!C178/'Total Distance Tables Sup #1'!$B178)</f>
        <v>0</v>
      </c>
      <c r="D112" s="4">
        <f ca="1">$B112*('Updated Population'!D$103/'Updated Population'!$B$103)*('Total Distance Tables Sup #1'!D178/'Total Distance Tables Sup #1'!$B178)</f>
        <v>0</v>
      </c>
      <c r="E112" s="4">
        <f ca="1">$B112*('Updated Population'!E$103/'Updated Population'!$B$103)*('Total Distance Tables Sup #1'!E178/'Total Distance Tables Sup #1'!$B178)</f>
        <v>0</v>
      </c>
      <c r="F112" s="4">
        <f ca="1">$B112*('Updated Population'!F$103/'Updated Population'!$B$103)*('Total Distance Tables Sup #1'!F178/'Total Distance Tables Sup #1'!$B178)</f>
        <v>0</v>
      </c>
      <c r="G112" s="4">
        <f ca="1">$B112*('Updated Population'!G$103/'Updated Population'!$B$103)*('Total Distance Tables Sup #1'!G178/'Total Distance Tables Sup #1'!$B178)</f>
        <v>0</v>
      </c>
      <c r="H112" s="4">
        <f ca="1">$B112*('Updated Population'!H$103/'Updated Population'!$B$103)*('Total Distance Tables Sup #1'!H178/'Total Distance Tables Sup #1'!$B178)</f>
        <v>0</v>
      </c>
      <c r="I112" s="1">
        <f ca="1">$B112*('Updated Population'!I$103/'Updated Population'!$B$103)*('Total Distance Tables Sup #1'!I178/'Total Distance Tables Sup #1'!$B178)</f>
        <v>0</v>
      </c>
      <c r="J112" s="1">
        <f ca="1">$B112*('Updated Population'!J$103/'Updated Population'!$B$103)*('Total Distance Tables Sup #1'!J178/'Total Distance Tables Sup #1'!$B178)</f>
        <v>0</v>
      </c>
      <c r="K112" s="1">
        <f ca="1">$B112*('Updated Population'!K$103/'Updated Population'!$B$103)*('Total Distance Tables Sup #1'!K178/'Total Distance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OFFSET(Nelson_Reference,56,6)</f>
        <v>0</v>
      </c>
      <c r="C113" s="4">
        <f ca="1">$B113*('Updated Population'!C$103/'Updated Population'!$B$103)*('Total Distance Tables Sup #1'!C179/'Total Distance Tables Sup #1'!$B179)</f>
        <v>0</v>
      </c>
      <c r="D113" s="4">
        <f ca="1">$B113*('Updated Population'!D$103/'Updated Population'!$B$103)*('Total Distance Tables Sup #1'!D179/'Total Distance Tables Sup #1'!$B179)</f>
        <v>0</v>
      </c>
      <c r="E113" s="4">
        <f ca="1">$B113*('Updated Population'!E$103/'Updated Population'!$B$103)*('Total Distance Tables Sup #1'!E179/'Total Distance Tables Sup #1'!$B179)</f>
        <v>0</v>
      </c>
      <c r="F113" s="4">
        <f ca="1">$B113*('Updated Population'!F$103/'Updated Population'!$B$103)*('Total Distance Tables Sup #1'!F179/'Total Distance Tables Sup #1'!$B179)</f>
        <v>0</v>
      </c>
      <c r="G113" s="4">
        <f ca="1">$B113*('Updated Population'!G$103/'Updated Population'!$B$103)*('Total Distance Tables Sup #1'!G179/'Total Distance Tables Sup #1'!$B179)</f>
        <v>0</v>
      </c>
      <c r="H113" s="4">
        <f ca="1">$B113*('Updated Population'!H$103/'Updated Population'!$B$103)*('Total Distance Tables Sup #1'!H179/'Total Distance Tables Sup #1'!$B179)</f>
        <v>0</v>
      </c>
      <c r="I113" s="1">
        <f ca="1">$B113*('Updated Population'!I$103/'Updated Population'!$B$103)*('Total Distance Tables Sup #1'!I179/'Total Distance Tables Sup #1'!$B179)</f>
        <v>0</v>
      </c>
      <c r="J113" s="1">
        <f ca="1">$B113*('Updated Population'!J$103/'Updated Population'!$B$103)*('Total Distance Tables Sup #1'!J179/'Total Distance Tables Sup #1'!$B179)</f>
        <v>0</v>
      </c>
      <c r="K113" s="1">
        <f ca="1">$B113*('Updated Population'!K$103/'Updated Population'!$B$103)*('Total Distance Tables Sup #1'!K179/'Total Distance Tables Sup #1'!$B179)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$B115*('Updated Population'!C$114/'Updated Population'!$B$114)*('Total Distance Tables Sup #1'!C170/'Total Distance Tables Sup #1'!$B170)</f>
        <v>4.455945880565797</v>
      </c>
      <c r="D115" s="4">
        <f ca="1">$B115*('Updated Population'!D$114/'Updated Population'!$B$114)*('Total Distance Tables Sup #1'!D170/'Total Distance Tables Sup #1'!$B170)</f>
        <v>4.2908340621227481</v>
      </c>
      <c r="E115" s="4">
        <f ca="1">$B115*('Updated Population'!E$114/'Updated Population'!$B$114)*('Total Distance Tables Sup #1'!E170/'Total Distance Tables Sup #1'!$B170)</f>
        <v>4.0749595200153923</v>
      </c>
      <c r="F115" s="4">
        <f ca="1">$B115*('Updated Population'!F$114/'Updated Population'!$B$114)*('Total Distance Tables Sup #1'!F170/'Total Distance Tables Sup #1'!$B170)</f>
        <v>3.8379358105929819</v>
      </c>
      <c r="G115" s="4">
        <f ca="1">$B115*('Updated Population'!G$114/'Updated Population'!$B$114)*('Total Distance Tables Sup #1'!G170/'Total Distance Tables Sup #1'!$B170)</f>
        <v>3.6131200337413745</v>
      </c>
      <c r="H115" s="4">
        <f ca="1">$B115*('Updated Population'!H$114/'Updated Population'!$B$114)*('Total Distance Tables Sup #1'!H170/'Total Distance Tables Sup #1'!$B170)</f>
        <v>3.3838422651185538</v>
      </c>
      <c r="I115" s="1">
        <f ca="1">$B115*('Updated Population'!I$114/'Updated Population'!$B$114)*('Total Distance Tables Sup #1'!I170/'Total Distance Tables Sup #1'!$B170)</f>
        <v>3.2968186095671359</v>
      </c>
      <c r="J115" s="1">
        <f ca="1">$B115*('Updated Population'!J$114/'Updated Population'!$B$114)*('Total Distance Tables Sup #1'!J170/'Total Distance Tables Sup #1'!$B170)</f>
        <v>3.2018085225459765</v>
      </c>
      <c r="K115" s="1">
        <f ca="1">$B115*('Updated Population'!K$114/'Updated Population'!$B$114)*('Total Distance Tables Sup #1'!K170/'Total Distance Tables Sup #1'!$B170)</f>
        <v>3.1028539096911172</v>
      </c>
    </row>
    <row r="116" spans="1:11" x14ac:dyDescent="0.2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$B116*('Updated Population'!C$114/'Updated Population'!$B$114)*('Total Distance Tables Sup #1'!C171/'Total Distance Tables Sup #1'!$B171)</f>
        <v>1.8957341237190022</v>
      </c>
      <c r="D116" s="4">
        <f ca="1">$B116*('Updated Population'!D$114/'Updated Population'!$B$114)*('Total Distance Tables Sup #1'!D171/'Total Distance Tables Sup #1'!$B171)</f>
        <v>1.9053530008036552</v>
      </c>
      <c r="E116" s="4">
        <f ca="1">$B116*('Updated Population'!E$114/'Updated Population'!$B$114)*('Total Distance Tables Sup #1'!E171/'Total Distance Tables Sup #1'!$B171)</f>
        <v>1.830949594242691</v>
      </c>
      <c r="F116" s="4">
        <f ca="1">$B116*('Updated Population'!F$114/'Updated Population'!$B$114)*('Total Distance Tables Sup #1'!F171/'Total Distance Tables Sup #1'!$B171)</f>
        <v>1.7809988928679465</v>
      </c>
      <c r="G116" s="4">
        <f ca="1">$B116*('Updated Population'!G$114/'Updated Population'!$B$114)*('Total Distance Tables Sup #1'!G171/'Total Distance Tables Sup #1'!$B171)</f>
        <v>1.7557184353927497</v>
      </c>
      <c r="H116" s="4">
        <f ca="1">$B116*('Updated Population'!H$114/'Updated Population'!$B$114)*('Total Distance Tables Sup #1'!H171/'Total Distance Tables Sup #1'!$B171)</f>
        <v>1.7239535435636046</v>
      </c>
      <c r="I116" s="1">
        <f ca="1">$B116*('Updated Population'!I$114/'Updated Population'!$B$114)*('Total Distance Tables Sup #1'!I171/'Total Distance Tables Sup #1'!$B171)</f>
        <v>1.6796179251725778</v>
      </c>
      <c r="J116" s="1">
        <f ca="1">$B116*('Updated Population'!J$114/'Updated Population'!$B$114)*('Total Distance Tables Sup #1'!J171/'Total Distance Tables Sup #1'!$B171)</f>
        <v>1.6312134892203376</v>
      </c>
      <c r="K116" s="1">
        <f ca="1">$B116*('Updated Population'!K$114/'Updated Population'!$B$114)*('Total Distance Tables Sup #1'!K171/'Total Distance Tables Sup #1'!$B171)</f>
        <v>1.5807994503504958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$B117*('Updated Population'!C$114/'Updated Population'!$B$114)*('Total Distance Tables Sup #1'!C172/'Total Distance Tables Sup #1'!$B172)</f>
        <v>226.09914201479535</v>
      </c>
      <c r="D117" s="4">
        <f ca="1">$B117*('Updated Population'!D$114/'Updated Population'!$B$114)*('Total Distance Tables Sup #1'!D172/'Total Distance Tables Sup #1'!$B172)</f>
        <v>224.71213256018805</v>
      </c>
      <c r="E117" s="4">
        <f ca="1">$B117*('Updated Population'!E$114/'Updated Population'!$B$114)*('Total Distance Tables Sup #1'!E172/'Total Distance Tables Sup #1'!$B172)</f>
        <v>223.41425433260676</v>
      </c>
      <c r="F117" s="4">
        <f ca="1">$B117*('Updated Population'!F$114/'Updated Population'!$B$114)*('Total Distance Tables Sup #1'!F172/'Total Distance Tables Sup #1'!$B172)</f>
        <v>219.53958217692167</v>
      </c>
      <c r="G117" s="4">
        <f ca="1">$B117*('Updated Population'!G$114/'Updated Population'!$B$114)*('Total Distance Tables Sup #1'!G172/'Total Distance Tables Sup #1'!$B172)</f>
        <v>213.03200983854046</v>
      </c>
      <c r="H117" s="4">
        <f ca="1">$B117*('Updated Population'!H$114/'Updated Population'!$B$114)*('Total Distance Tables Sup #1'!H172/'Total Distance Tables Sup #1'!$B172)</f>
        <v>205.03703645517729</v>
      </c>
      <c r="I117" s="1">
        <f ca="1">$B117*('Updated Population'!I$114/'Updated Population'!$B$114)*('Total Distance Tables Sup #1'!I172/'Total Distance Tables Sup #1'!$B172)</f>
        <v>199.76401512682244</v>
      </c>
      <c r="J117" s="1">
        <f ca="1">$B117*('Updated Population'!J$114/'Updated Population'!$B$114)*('Total Distance Tables Sup #1'!J172/'Total Distance Tables Sup #1'!$B172)</f>
        <v>194.00707223472091</v>
      </c>
      <c r="K117" s="1">
        <f ca="1">$B117*('Updated Population'!K$114/'Updated Population'!$B$114)*('Total Distance Tables Sup #1'!K172/'Total Distance Tables Sup #1'!$B172)</f>
        <v>188.01111882623098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$B118*('Updated Population'!C$114/'Updated Population'!$B$114)*('Total Distance Tables Sup #1'!C173/'Total Distance Tables Sup #1'!$B173)</f>
        <v>153.16992149770334</v>
      </c>
      <c r="D118" s="4">
        <f ca="1">$B118*('Updated Population'!D$114/'Updated Population'!$B$114)*('Total Distance Tables Sup #1'!D173/'Total Distance Tables Sup #1'!$B173)</f>
        <v>150.47224928392532</v>
      </c>
      <c r="E118" s="4">
        <f ca="1">$B118*('Updated Population'!E$114/'Updated Population'!$B$114)*('Total Distance Tables Sup #1'!E173/'Total Distance Tables Sup #1'!$B173)</f>
        <v>147.4793624682932</v>
      </c>
      <c r="F118" s="4">
        <f ca="1">$B118*('Updated Population'!F$114/'Updated Population'!$B$114)*('Total Distance Tables Sup #1'!F173/'Total Distance Tables Sup #1'!$B173)</f>
        <v>143.0860183193457</v>
      </c>
      <c r="G118" s="4">
        <f ca="1">$B118*('Updated Population'!G$114/'Updated Population'!$B$114)*('Total Distance Tables Sup #1'!G173/'Total Distance Tables Sup #1'!$B173)</f>
        <v>137.88533522143095</v>
      </c>
      <c r="H118" s="4">
        <f ca="1">$B118*('Updated Population'!H$114/'Updated Population'!$B$114)*('Total Distance Tables Sup #1'!H173/'Total Distance Tables Sup #1'!$B173)</f>
        <v>132.01062650870927</v>
      </c>
      <c r="I118" s="1">
        <f ca="1">$B118*('Updated Population'!I$114/'Updated Population'!$B$114)*('Total Distance Tables Sup #1'!I173/'Total Distance Tables Sup #1'!$B173)</f>
        <v>128.61565523335099</v>
      </c>
      <c r="J118" s="1">
        <f ca="1">$B118*('Updated Population'!J$114/'Updated Population'!$B$114)*('Total Distance Tables Sup #1'!J173/'Total Distance Tables Sup #1'!$B173)</f>
        <v>124.9091168874004</v>
      </c>
      <c r="K118" s="1">
        <f ca="1">$B118*('Updated Population'!K$114/'Updated Population'!$B$114)*('Total Distance Tables Sup #1'!K173/'Total Distance Tables Sup #1'!$B173)</f>
        <v>121.04869449905391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$B119*('Updated Population'!C$114/'Updated Population'!$B$114)*('Total Distance Tables Sup #1'!C174/'Total Distance Tables Sup #1'!$B174)</f>
        <v>1.7877126361693645</v>
      </c>
      <c r="D119" s="4">
        <f ca="1">$B119*('Updated Population'!D$114/'Updated Population'!$B$114)*('Total Distance Tables Sup #1'!D174/'Total Distance Tables Sup #1'!$B174)</f>
        <v>1.9307755734162688</v>
      </c>
      <c r="E119" s="4">
        <f ca="1">$B119*('Updated Population'!E$114/'Updated Population'!$B$114)*('Total Distance Tables Sup #1'!E174/'Total Distance Tables Sup #1'!$B174)</f>
        <v>2.0382931342134287</v>
      </c>
      <c r="F119" s="4">
        <f ca="1">$B119*('Updated Population'!F$114/'Updated Population'!$B$114)*('Total Distance Tables Sup #1'!F174/'Total Distance Tables Sup #1'!$B174)</f>
        <v>2.0975611540235319</v>
      </c>
      <c r="G119" s="4">
        <f ca="1">$B119*('Updated Population'!G$114/'Updated Population'!$B$114)*('Total Distance Tables Sup #1'!G174/'Total Distance Tables Sup #1'!$B174)</f>
        <v>2.1047524843746852</v>
      </c>
      <c r="H119" s="4">
        <f ca="1">$B119*('Updated Population'!H$114/'Updated Population'!$B$114)*('Total Distance Tables Sup #1'!H174/'Total Distance Tables Sup #1'!$B174)</f>
        <v>2.0843234536663848</v>
      </c>
      <c r="I119" s="1">
        <f ca="1">$B119*('Updated Population'!I$114/'Updated Population'!$B$114)*('Total Distance Tables Sup #1'!I174/'Total Distance Tables Sup #1'!$B174)</f>
        <v>2.0307200549029827</v>
      </c>
      <c r="J119" s="1">
        <f ca="1">$B119*('Updated Population'!J$114/'Updated Population'!$B$114)*('Total Distance Tables Sup #1'!J174/'Total Distance Tables Sup #1'!$B174)</f>
        <v>1.9721973055554596</v>
      </c>
      <c r="K119" s="1">
        <f ca="1">$B119*('Updated Population'!K$114/'Updated Population'!$B$114)*('Total Distance Tables Sup #1'!K174/'Total Distance Tables Sup #1'!$B174)</f>
        <v>1.9112448721196669</v>
      </c>
    </row>
    <row r="120" spans="1:11" x14ac:dyDescent="0.2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$B120*('Updated Population'!C$114/'Updated Population'!$B$114)*('Total Distance Tables Sup #1'!C175/'Total Distance Tables Sup #1'!$B175)</f>
        <v>0.29081206054358971</v>
      </c>
      <c r="D120" s="4">
        <f ca="1">$B120*('Updated Population'!D$114/'Updated Population'!$B$114)*('Total Distance Tables Sup #1'!D175/'Total Distance Tables Sup #1'!$B175)</f>
        <v>0.28898843599542112</v>
      </c>
      <c r="E120" s="4">
        <f ca="1">$B120*('Updated Population'!E$114/'Updated Population'!$B$114)*('Total Distance Tables Sup #1'!E175/'Total Distance Tables Sup #1'!$B175)</f>
        <v>0.27993973862934474</v>
      </c>
      <c r="F120" s="4">
        <f ca="1">$B120*('Updated Population'!F$114/'Updated Population'!$B$114)*('Total Distance Tables Sup #1'!F175/'Total Distance Tables Sup #1'!$B175)</f>
        <v>0.2651354410962069</v>
      </c>
      <c r="G120" s="4">
        <f ca="1">$B120*('Updated Population'!G$114/'Updated Population'!$B$114)*('Total Distance Tables Sup #1'!G175/'Total Distance Tables Sup #1'!$B175)</f>
        <v>0.24536893340767804</v>
      </c>
      <c r="H120" s="4">
        <f ca="1">$B120*('Updated Population'!H$114/'Updated Population'!$B$114)*('Total Distance Tables Sup #1'!H175/'Total Distance Tables Sup #1'!$B175)</f>
        <v>0.22477078816337179</v>
      </c>
      <c r="I120" s="1">
        <f ca="1">$B120*('Updated Population'!I$114/'Updated Population'!$B$114)*('Total Distance Tables Sup #1'!I175/'Total Distance Tables Sup #1'!$B175)</f>
        <v>0.21899026587107026</v>
      </c>
      <c r="J120" s="1">
        <f ca="1">$B120*('Updated Population'!J$114/'Updated Population'!$B$114)*('Total Distance Tables Sup #1'!J175/'Total Distance Tables Sup #1'!$B175)</f>
        <v>0.21267924707348798</v>
      </c>
      <c r="K120" s="1">
        <f ca="1">$B120*('Updated Population'!K$114/'Updated Population'!$B$114)*('Total Distance Tables Sup #1'!K175/'Total Distance Tables Sup #1'!$B175)</f>
        <v>0.20610621423650707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Distance Tables Sup #1'!C176/'Total Distance Tables Sup #1'!$B176)</f>
        <v>0</v>
      </c>
      <c r="D121" s="4">
        <f ca="1">$B121*('Updated Population'!D$114/'Updated Population'!$B$114)*('Total Distance Tables Sup #1'!D176/'Total Distance Tables Sup #1'!$B176)</f>
        <v>0</v>
      </c>
      <c r="E121" s="4">
        <f ca="1">$B121*('Updated Population'!E$114/'Updated Population'!$B$114)*('Total Distance Tables Sup #1'!E176/'Total Distance Tables Sup #1'!$B176)</f>
        <v>0</v>
      </c>
      <c r="F121" s="4">
        <f ca="1">$B121*('Updated Population'!F$114/'Updated Population'!$B$114)*('Total Distance Tables Sup #1'!F176/'Total Distance Tables Sup #1'!$B176)</f>
        <v>0</v>
      </c>
      <c r="G121" s="4">
        <f ca="1">$B121*('Updated Population'!G$114/'Updated Population'!$B$114)*('Total Distance Tables Sup #1'!G176/'Total Distance Tables Sup #1'!$B176)</f>
        <v>0</v>
      </c>
      <c r="H121" s="4">
        <f ca="1">$B121*('Updated Population'!H$114/'Updated Population'!$B$114)*('Total Distance Tables Sup #1'!H176/'Total Distance Tables Sup #1'!$B176)</f>
        <v>0</v>
      </c>
      <c r="I121" s="1">
        <f ca="1">$B121*('Updated Population'!I$114/'Updated Population'!$B$114)*('Total Distance Tables Sup #1'!I176/'Total Distance Tables Sup #1'!$B176)</f>
        <v>0</v>
      </c>
      <c r="J121" s="1">
        <f ca="1">$B121*('Updated Population'!J$114/'Updated Population'!$B$114)*('Total Distance Tables Sup #1'!J176/'Total Distance Tables Sup #1'!$B176)</f>
        <v>0</v>
      </c>
      <c r="K121" s="1">
        <f ca="1">$B121*('Updated Population'!K$114/'Updated Population'!$B$114)*('Total Distance Tables Sup #1'!K176/'Total Distance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$B122*('Updated Population'!C$114/'Updated Population'!$B$114)*('Total Distance Tables Sup #1'!C177/'Total Distance Tables Sup #1'!$B177)</f>
        <v>5.1182917315641303</v>
      </c>
      <c r="D122" s="4">
        <f ca="1">$B122*('Updated Population'!D$114/'Updated Population'!$B$114)*('Total Distance Tables Sup #1'!D177/'Total Distance Tables Sup #1'!$B177)</f>
        <v>4.8719357711444697</v>
      </c>
      <c r="E122" s="4">
        <f ca="1">$B122*('Updated Population'!E$114/'Updated Population'!$B$114)*('Total Distance Tables Sup #1'!E177/'Total Distance Tables Sup #1'!$B177)</f>
        <v>4.5595466298741538</v>
      </c>
      <c r="F122" s="4">
        <f ca="1">$B122*('Updated Population'!F$114/'Updated Population'!$B$114)*('Total Distance Tables Sup #1'!F177/'Total Distance Tables Sup #1'!$B177)</f>
        <v>4.227675589242347</v>
      </c>
      <c r="G122" s="4">
        <f ca="1">$B122*('Updated Population'!G$114/'Updated Population'!$B$114)*('Total Distance Tables Sup #1'!G177/'Total Distance Tables Sup #1'!$B177)</f>
        <v>3.9638649374507762</v>
      </c>
      <c r="H122" s="4">
        <f ca="1">$B122*('Updated Population'!H$114/'Updated Population'!$B$114)*('Total Distance Tables Sup #1'!H177/'Total Distance Tables Sup #1'!$B177)</f>
        <v>3.7170099332001492</v>
      </c>
      <c r="I122" s="1">
        <f ca="1">$B122*('Updated Population'!I$114/'Updated Population'!$B$114)*('Total Distance Tables Sup #1'!I177/'Total Distance Tables Sup #1'!$B177)</f>
        <v>3.6214180684603559</v>
      </c>
      <c r="J122" s="1">
        <f ca="1">$B122*('Updated Population'!J$114/'Updated Population'!$B$114)*('Total Distance Tables Sup #1'!J177/'Total Distance Tables Sup #1'!$B177)</f>
        <v>3.5170534410507845</v>
      </c>
      <c r="K122" s="1">
        <f ca="1">$B122*('Updated Population'!K$114/'Updated Population'!$B$114)*('Total Distance Tables Sup #1'!K177/'Total Distance Tables Sup #1'!$B177)</f>
        <v>3.4083559161368671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Distance Tables Sup #1'!C178/'Total Distance Tables Sup #1'!$B178)</f>
        <v>0</v>
      </c>
      <c r="D123" s="4">
        <f ca="1">$B123*('Updated Population'!D$114/'Updated Population'!$B$114)*('Total Distance Tables Sup #1'!D178/'Total Distance Tables Sup #1'!$B178)</f>
        <v>0</v>
      </c>
      <c r="E123" s="4">
        <f ca="1">$B123*('Updated Population'!E$114/'Updated Population'!$B$114)*('Total Distance Tables Sup #1'!E178/'Total Distance Tables Sup #1'!$B178)</f>
        <v>0</v>
      </c>
      <c r="F123" s="4">
        <f ca="1">$B123*('Updated Population'!F$114/'Updated Population'!$B$114)*('Total Distance Tables Sup #1'!F178/'Total Distance Tables Sup #1'!$B178)</f>
        <v>0</v>
      </c>
      <c r="G123" s="4">
        <f ca="1">$B123*('Updated Population'!G$114/'Updated Population'!$B$114)*('Total Distance Tables Sup #1'!G178/'Total Distance Tables Sup #1'!$B178)</f>
        <v>0</v>
      </c>
      <c r="H123" s="4">
        <f ca="1">$B123*('Updated Population'!H$114/'Updated Population'!$B$114)*('Total Distance Tables Sup #1'!H178/'Total Distance Tables Sup #1'!$B178)</f>
        <v>0</v>
      </c>
      <c r="I123" s="1">
        <f ca="1">$B123*('Updated Population'!I$114/'Updated Population'!$B$114)*('Total Distance Tables Sup #1'!I178/'Total Distance Tables Sup #1'!$B178)</f>
        <v>0</v>
      </c>
      <c r="J123" s="1">
        <f ca="1">$B123*('Updated Population'!J$114/'Updated Population'!$B$114)*('Total Distance Tables Sup #1'!J178/'Total Distance Tables Sup #1'!$B178)</f>
        <v>0</v>
      </c>
      <c r="K123" s="1">
        <f ca="1">$B123*('Updated Population'!K$114/'Updated Population'!$B$114)*('Total Distance Tables Sup #1'!K178/'Total Distance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$B124*('Updated Population'!C$114/'Updated Population'!$B$114)*('Total Distance Tables Sup #1'!C179/'Total Distance Tables Sup #1'!$B179)</f>
        <v>0</v>
      </c>
      <c r="D124" s="4">
        <f ca="1">$B124*('Updated Population'!D$114/'Updated Population'!$B$114)*('Total Distance Tables Sup #1'!D179/'Total Distance Tables Sup #1'!$B179)</f>
        <v>0</v>
      </c>
      <c r="E124" s="4">
        <f ca="1">$B124*('Updated Population'!E$114/'Updated Population'!$B$114)*('Total Distance Tables Sup #1'!E179/'Total Distance Tables Sup #1'!$B179)</f>
        <v>0</v>
      </c>
      <c r="F124" s="4">
        <f ca="1">$B124*('Updated Population'!F$114/'Updated Population'!$B$114)*('Total Distance Tables Sup #1'!F179/'Total Distance Tables Sup #1'!$B179)</f>
        <v>0</v>
      </c>
      <c r="G124" s="4">
        <f ca="1">$B124*('Updated Population'!G$114/'Updated Population'!$B$114)*('Total Distance Tables Sup #1'!G179/'Total Distance Tables Sup #1'!$B179)</f>
        <v>0</v>
      </c>
      <c r="H124" s="4">
        <f ca="1">$B124*('Updated Population'!H$114/'Updated Population'!$B$114)*('Total Distance Tables Sup #1'!H179/'Total Distance Tables Sup #1'!$B179)</f>
        <v>0</v>
      </c>
      <c r="I124" s="1">
        <f ca="1">$B124*('Updated Population'!I$114/'Updated Population'!$B$114)*('Total Distance Tables Sup #1'!I179/'Total Distance Tables Sup #1'!$B179)</f>
        <v>0</v>
      </c>
      <c r="J124" s="1">
        <f ca="1">$B124*('Updated Population'!J$114/'Updated Population'!$B$114)*('Total Distance Tables Sup #1'!J179/'Total Distance Tables Sup #1'!$B179)</f>
        <v>0</v>
      </c>
      <c r="K124" s="1">
        <f ca="1">$B124*('Updated Population'!K$114/'Updated Population'!$B$114)*('Total Distance Tables Sup #1'!K179/'Total Distance Tables Sup #1'!$B179)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$B126*('Updated Population'!C$125/'Updated Population'!$B$125)*('Total Distance Tables Sup #1'!C170/'Total Distance Tables Sup #1'!$B170)</f>
        <v>122.19870514747991</v>
      </c>
      <c r="D126" s="4">
        <f ca="1">$B126*('Updated Population'!D$125/'Updated Population'!$B$125)*('Total Distance Tables Sup #1'!D170/'Total Distance Tables Sup #1'!$B170)</f>
        <v>125.41221625491447</v>
      </c>
      <c r="E126" s="4">
        <f ca="1">$B126*('Updated Population'!E$125/'Updated Population'!$B$125)*('Total Distance Tables Sup #1'!E170/'Total Distance Tables Sup #1'!$B170)</f>
        <v>125.27100299194831</v>
      </c>
      <c r="F126" s="4">
        <f ca="1">$B126*('Updated Population'!F$125/'Updated Population'!$B$125)*('Total Distance Tables Sup #1'!F170/'Total Distance Tables Sup #1'!$B170)</f>
        <v>124.17848068237744</v>
      </c>
      <c r="G126" s="4">
        <f ca="1">$B126*('Updated Population'!G$125/'Updated Population'!$B$125)*('Total Distance Tables Sup #1'!G170/'Total Distance Tables Sup #1'!$B170)</f>
        <v>123.1240929518936</v>
      </c>
      <c r="H126" s="4">
        <f ca="1">$B126*('Updated Population'!H$125/'Updated Population'!$B$125)*('Total Distance Tables Sup #1'!H170/'Total Distance Tables Sup #1'!$B170)</f>
        <v>121.34908196371218</v>
      </c>
      <c r="I126" s="1">
        <f ca="1">$B126*('Updated Population'!I$125/'Updated Population'!$B$125)*('Total Distance Tables Sup #1'!I170/'Total Distance Tables Sup #1'!$B170)</f>
        <v>124.41913216827778</v>
      </c>
      <c r="J126" s="1">
        <f ca="1">$B126*('Updated Population'!J$125/'Updated Population'!$B$125)*('Total Distance Tables Sup #1'!J170/'Total Distance Tables Sup #1'!$B170)</f>
        <v>127.16078530728991</v>
      </c>
      <c r="K126" s="1">
        <f ca="1">$B126*('Updated Population'!K$125/'Updated Population'!$B$125)*('Total Distance Tables Sup #1'!K170/'Total Distance Tables Sup #1'!$B170)</f>
        <v>129.68355391886286</v>
      </c>
    </row>
    <row r="127" spans="1:11" x14ac:dyDescent="0.2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$B127*('Updated Population'!C$125/'Updated Population'!$B$125)*('Total Distance Tables Sup #1'!C171/'Total Distance Tables Sup #1'!$B171)</f>
        <v>105.64935077497415</v>
      </c>
      <c r="D127" s="4">
        <f ca="1">$B127*('Updated Population'!D$125/'Updated Population'!$B$125)*('Total Distance Tables Sup #1'!D171/'Total Distance Tables Sup #1'!$B171)</f>
        <v>113.17129356024915</v>
      </c>
      <c r="E127" s="4">
        <f ca="1">$B127*('Updated Population'!E$125/'Updated Population'!$B$125)*('Total Distance Tables Sup #1'!E171/'Total Distance Tables Sup #1'!$B171)</f>
        <v>114.38428259827303</v>
      </c>
      <c r="F127" s="4">
        <f ca="1">$B127*('Updated Population'!F$125/'Updated Population'!$B$125)*('Total Distance Tables Sup #1'!F171/'Total Distance Tables Sup #1'!$B171)</f>
        <v>117.10487991981465</v>
      </c>
      <c r="G127" s="4">
        <f ca="1">$B127*('Updated Population'!G$125/'Updated Population'!$B$125)*('Total Distance Tables Sup #1'!G171/'Total Distance Tables Sup #1'!$B171)</f>
        <v>121.58450532752597</v>
      </c>
      <c r="H127" s="4">
        <f ca="1">$B127*('Updated Population'!H$125/'Updated Population'!$B$125)*('Total Distance Tables Sup #1'!H171/'Total Distance Tables Sup #1'!$B171)</f>
        <v>125.63615929647446</v>
      </c>
      <c r="I127" s="1">
        <f ca="1">$B127*('Updated Population'!I$125/'Updated Population'!$B$125)*('Total Distance Tables Sup #1'!I171/'Total Distance Tables Sup #1'!$B171)</f>
        <v>128.81466967584691</v>
      </c>
      <c r="J127" s="1">
        <f ca="1">$B127*('Updated Population'!J$125/'Updated Population'!$B$125)*('Total Distance Tables Sup #1'!J171/'Total Distance Tables Sup #1'!$B171)</f>
        <v>131.65318122397392</v>
      </c>
      <c r="K127" s="1">
        <f ca="1">$B127*('Updated Population'!K$125/'Updated Population'!$B$125)*('Total Distance Tables Sup #1'!K171/'Total Distance Tables Sup #1'!$B171)</f>
        <v>134.26507538932492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$B128*('Updated Population'!C$125/'Updated Population'!$B$125)*('Total Distance Tables Sup #1'!C172/'Total Distance Tables Sup #1'!$B172)</f>
        <v>4243.6354414875432</v>
      </c>
      <c r="D128" s="4">
        <f ca="1">$B128*('Updated Population'!D$125/'Updated Population'!$B$125)*('Total Distance Tables Sup #1'!D172/'Total Distance Tables Sup #1'!$B172)</f>
        <v>4495.0766468575293</v>
      </c>
      <c r="E128" s="4">
        <f ca="1">$B128*('Updated Population'!E$125/'Updated Population'!$B$125)*('Total Distance Tables Sup #1'!E172/'Total Distance Tables Sup #1'!$B172)</f>
        <v>4700.5707240359534</v>
      </c>
      <c r="F128" s="4">
        <f ca="1">$B128*('Updated Population'!F$125/'Updated Population'!$B$125)*('Total Distance Tables Sup #1'!F172/'Total Distance Tables Sup #1'!$B172)</f>
        <v>4861.5406940293615</v>
      </c>
      <c r="G128" s="4">
        <f ca="1">$B128*('Updated Population'!G$125/'Updated Population'!$B$125)*('Total Distance Tables Sup #1'!G172/'Total Distance Tables Sup #1'!$B172)</f>
        <v>4968.4162784808113</v>
      </c>
      <c r="H128" s="4">
        <f ca="1">$B128*('Updated Population'!H$125/'Updated Population'!$B$125)*('Total Distance Tables Sup #1'!H172/'Total Distance Tables Sup #1'!$B172)</f>
        <v>5032.3536957028982</v>
      </c>
      <c r="I128" s="1">
        <f ca="1">$B128*('Updated Population'!I$125/'Updated Population'!$B$125)*('Total Distance Tables Sup #1'!I172/'Total Distance Tables Sup #1'!$B172)</f>
        <v>5159.6688615280427</v>
      </c>
      <c r="J128" s="1">
        <f ca="1">$B128*('Updated Population'!J$125/'Updated Population'!$B$125)*('Total Distance Tables Sup #1'!J172/'Total Distance Tables Sup #1'!$B172)</f>
        <v>5273.365381379499</v>
      </c>
      <c r="K128" s="1">
        <f ca="1">$B128*('Updated Population'!K$125/'Updated Population'!$B$125)*('Total Distance Tables Sup #1'!K172/'Total Distance Tables Sup #1'!$B172)</f>
        <v>5377.9847467707323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$B129*('Updated Population'!C$125/'Updated Population'!$B$125)*('Total Distance Tables Sup #1'!C173/'Total Distance Tables Sup #1'!$B173)</f>
        <v>2183.55700432601</v>
      </c>
      <c r="D129" s="4">
        <f ca="1">$B129*('Updated Population'!D$125/'Updated Population'!$B$125)*('Total Distance Tables Sup #1'!D173/'Total Distance Tables Sup #1'!$B173)</f>
        <v>2286.2245496355681</v>
      </c>
      <c r="E129" s="4">
        <f ca="1">$B129*('Updated Population'!E$125/'Updated Population'!$B$125)*('Total Distance Tables Sup #1'!E173/'Total Distance Tables Sup #1'!$B173)</f>
        <v>2356.8006820760811</v>
      </c>
      <c r="F129" s="4">
        <f ca="1">$B129*('Updated Population'!F$125/'Updated Population'!$B$125)*('Total Distance Tables Sup #1'!F173/'Total Distance Tables Sup #1'!$B173)</f>
        <v>2406.6347406555747</v>
      </c>
      <c r="G129" s="4">
        <f ca="1">$B129*('Updated Population'!G$125/'Updated Population'!$B$125)*('Total Distance Tables Sup #1'!G173/'Total Distance Tables Sup #1'!$B173)</f>
        <v>2442.5478561708946</v>
      </c>
      <c r="H129" s="4">
        <f ca="1">$B129*('Updated Population'!H$125/'Updated Population'!$B$125)*('Total Distance Tables Sup #1'!H173/'Total Distance Tables Sup #1'!$B173)</f>
        <v>2460.9320628129544</v>
      </c>
      <c r="I129" s="1">
        <f ca="1">$B129*('Updated Population'!I$125/'Updated Population'!$B$125)*('Total Distance Tables Sup #1'!I173/'Total Distance Tables Sup #1'!$B173)</f>
        <v>2523.1919897988073</v>
      </c>
      <c r="J129" s="1">
        <f ca="1">$B129*('Updated Population'!J$125/'Updated Population'!$B$125)*('Total Distance Tables Sup #1'!J173/'Total Distance Tables Sup #1'!$B173)</f>
        <v>2578.7920982275164</v>
      </c>
      <c r="K129" s="1">
        <f ca="1">$B129*('Updated Population'!K$125/'Updated Population'!$B$125)*('Total Distance Tables Sup #1'!K173/'Total Distance Tables Sup #1'!$B173)</f>
        <v>2629.953277717399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$B130*('Updated Population'!C$125/'Updated Population'!$B$125)*('Total Distance Tables Sup #1'!C174/'Total Distance Tables Sup #1'!$B174)</f>
        <v>19.63716701548417</v>
      </c>
      <c r="D130" s="4">
        <f ca="1">$B130*('Updated Population'!D$125/'Updated Population'!$B$125)*('Total Distance Tables Sup #1'!D174/'Total Distance Tables Sup #1'!$B174)</f>
        <v>22.60395043832925</v>
      </c>
      <c r="E130" s="4">
        <f ca="1">$B130*('Updated Population'!E$125/'Updated Population'!$B$125)*('Total Distance Tables Sup #1'!E174/'Total Distance Tables Sup #1'!$B174)</f>
        <v>25.098532243886769</v>
      </c>
      <c r="F130" s="4">
        <f ca="1">$B130*('Updated Population'!F$125/'Updated Population'!$B$125)*('Total Distance Tables Sup #1'!F174/'Total Distance Tables Sup #1'!$B174)</f>
        <v>27.184271183763215</v>
      </c>
      <c r="G130" s="4">
        <f ca="1">$B130*('Updated Population'!G$125/'Updated Population'!$B$125)*('Total Distance Tables Sup #1'!G174/'Total Distance Tables Sup #1'!$B174)</f>
        <v>28.728709151399357</v>
      </c>
      <c r="H130" s="4">
        <f ca="1">$B130*('Updated Population'!H$125/'Updated Population'!$B$125)*('Total Distance Tables Sup #1'!H174/'Total Distance Tables Sup #1'!$B174)</f>
        <v>29.939595424099654</v>
      </c>
      <c r="I130" s="1">
        <f ca="1">$B130*('Updated Population'!I$125/'Updated Population'!$B$125)*('Total Distance Tables Sup #1'!I174/'Total Distance Tables Sup #1'!$B174)</f>
        <v>30.697047063361786</v>
      </c>
      <c r="J130" s="1">
        <f ca="1">$B130*('Updated Population'!J$125/'Updated Population'!$B$125)*('Total Distance Tables Sup #1'!J174/'Total Distance Tables Sup #1'!$B174)</f>
        <v>31.373475631645331</v>
      </c>
      <c r="K130" s="1">
        <f ca="1">$B130*('Updated Population'!K$125/'Updated Population'!$B$125)*('Total Distance Tables Sup #1'!K174/'Total Distance Tables Sup #1'!$B174)</f>
        <v>31.995900378144011</v>
      </c>
    </row>
    <row r="131" spans="1:11" x14ac:dyDescent="0.2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$B131*('Updated Population'!C$125/'Updated Population'!$B$125)*('Total Distance Tables Sup #1'!C175/'Total Distance Tables Sup #1'!$B175)</f>
        <v>13.367424733418071</v>
      </c>
      <c r="D131" s="4">
        <f ca="1">$B131*('Updated Population'!D$125/'Updated Population'!$B$125)*('Total Distance Tables Sup #1'!D175/'Total Distance Tables Sup #1'!$B175)</f>
        <v>14.157521344209549</v>
      </c>
      <c r="E131" s="4">
        <f ca="1">$B131*('Updated Population'!E$125/'Updated Population'!$B$125)*('Total Distance Tables Sup #1'!E175/'Total Distance Tables Sup #1'!$B175)</f>
        <v>14.424489299560532</v>
      </c>
      <c r="F131" s="4">
        <f ca="1">$B131*('Updated Population'!F$125/'Updated Population'!$B$125)*('Total Distance Tables Sup #1'!F175/'Total Distance Tables Sup #1'!$B175)</f>
        <v>14.378879920122468</v>
      </c>
      <c r="G131" s="4">
        <f ca="1">$B131*('Updated Population'!G$125/'Updated Population'!$B$125)*('Total Distance Tables Sup #1'!G175/'Total Distance Tables Sup #1'!$B175)</f>
        <v>14.014863321932237</v>
      </c>
      <c r="H131" s="4">
        <f ca="1">$B131*('Updated Population'!H$125/'Updated Population'!$B$125)*('Total Distance Tables Sup #1'!H175/'Total Distance Tables Sup #1'!$B175)</f>
        <v>13.510607902944816</v>
      </c>
      <c r="I131" s="1">
        <f ca="1">$B131*('Updated Population'!I$125/'Updated Population'!$B$125)*('Total Distance Tables Sup #1'!I175/'Total Distance Tables Sup #1'!$B175)</f>
        <v>13.852417201252036</v>
      </c>
      <c r="J131" s="1">
        <f ca="1">$B131*('Updated Population'!J$125/'Updated Population'!$B$125)*('Total Distance Tables Sup #1'!J175/'Total Distance Tables Sup #1'!$B175)</f>
        <v>14.157663849744585</v>
      </c>
      <c r="K131" s="1">
        <f ca="1">$B131*('Updated Population'!K$125/'Updated Population'!$B$125)*('Total Distance Tables Sup #1'!K175/'Total Distance Tables Sup #1'!$B175)</f>
        <v>14.438540614440759</v>
      </c>
    </row>
    <row r="132" spans="1:11" x14ac:dyDescent="0.2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OFFSET(Canterbury_Reference,48,6)</f>
        <v>0</v>
      </c>
      <c r="J132" s="1">
        <f ca="1">OFFSET(Canterbury_Reference,48,6)</f>
        <v>0</v>
      </c>
      <c r="K132" s="1">
        <f ca="1">OFFSET(Canterbury_Reference,48,6)</f>
        <v>0</v>
      </c>
    </row>
    <row r="133" spans="1:11" x14ac:dyDescent="0.2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161.08250000999999</v>
      </c>
      <c r="D133" s="4">
        <f ca="1">OFFSET(Canterbury_Reference,51,6)</f>
        <v>157.95421587999999</v>
      </c>
      <c r="E133" s="4">
        <f ca="1">OFFSET(Canterbury_Reference,52,6)</f>
        <v>149.70069903999999</v>
      </c>
      <c r="F133" s="4">
        <f ca="1">OFFSET(Canterbury_Reference,53,6)</f>
        <v>140.45897252</v>
      </c>
      <c r="G133" s="4">
        <f ca="1">OFFSET(Canterbury_Reference,54,6)</f>
        <v>133.06017739000001</v>
      </c>
      <c r="H133" s="4">
        <f ca="1">OFFSET(Canterbury_Reference,55,6)</f>
        <v>126.5397564</v>
      </c>
      <c r="I133" s="1">
        <f ca="1">OFFSET(Canterbury_Reference,55,6)</f>
        <v>126.5397564</v>
      </c>
      <c r="J133" s="1">
        <f ca="1">OFFSET(Canterbury_Reference,55,6)</f>
        <v>126.5397564</v>
      </c>
      <c r="K133" s="1">
        <f ca="1">OFFSET(Canterbury_Reference,55,6)</f>
        <v>126.5397564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Distance Tables Sup #1'!C178/'Total Distance Tables Sup #1'!$B178)</f>
        <v>0</v>
      </c>
      <c r="D134" s="4">
        <f ca="1">$B134*('Updated Population'!D$125/'Updated Population'!$B$125)*('Total Distance Tables Sup #1'!D178/'Total Distance Tables Sup #1'!$B178)</f>
        <v>0</v>
      </c>
      <c r="E134" s="4">
        <f ca="1">$B134*('Updated Population'!E$125/'Updated Population'!$B$125)*('Total Distance Tables Sup #1'!E178/'Total Distance Tables Sup #1'!$B178)</f>
        <v>0</v>
      </c>
      <c r="F134" s="4">
        <f ca="1">$B134*('Updated Population'!F$125/'Updated Population'!$B$125)*('Total Distance Tables Sup #1'!F178/'Total Distance Tables Sup #1'!$B178)</f>
        <v>0</v>
      </c>
      <c r="G134" s="4">
        <f ca="1">$B134*('Updated Population'!G$125/'Updated Population'!$B$125)*('Total Distance Tables Sup #1'!G178/'Total Distance Tables Sup #1'!$B178)</f>
        <v>0</v>
      </c>
      <c r="H134" s="4">
        <f ca="1">$B134*('Updated Population'!H$125/'Updated Population'!$B$125)*('Total Distance Tables Sup #1'!H178/'Total Distance Tables Sup #1'!$B178)</f>
        <v>0</v>
      </c>
      <c r="I134" s="1">
        <f ca="1">$B134*('Updated Population'!I$125/'Updated Population'!$B$125)*('Total Distance Tables Sup #1'!I178/'Total Distance Tables Sup #1'!$B178)</f>
        <v>0</v>
      </c>
      <c r="J134" s="1">
        <f ca="1">$B134*('Updated Population'!J$125/'Updated Population'!$B$125)*('Total Distance Tables Sup #1'!J178/'Total Distance Tables Sup #1'!$B178)</f>
        <v>0</v>
      </c>
      <c r="K134" s="1">
        <f ca="1">$B134*('Updated Population'!K$125/'Updated Population'!$B$125)*('Total Distance Tables Sup #1'!K178/'Total Distance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$B135*('Updated Population'!C$125/'Updated Population'!$B$125)*('Total Distance Tables Sup #1'!C179/'Total Distance Tables Sup #1'!$B179)</f>
        <v>0</v>
      </c>
      <c r="D135" s="4">
        <f ca="1">$B135*('Updated Population'!D$125/'Updated Population'!$B$125)*('Total Distance Tables Sup #1'!D179/'Total Distance Tables Sup #1'!$B179)</f>
        <v>0</v>
      </c>
      <c r="E135" s="4">
        <f ca="1">$B135*('Updated Population'!E$125/'Updated Population'!$B$125)*('Total Distance Tables Sup #1'!E179/'Total Distance Tables Sup #1'!$B179)</f>
        <v>0</v>
      </c>
      <c r="F135" s="4">
        <f ca="1">$B135*('Updated Population'!F$125/'Updated Population'!$B$125)*('Total Distance Tables Sup #1'!F179/'Total Distance Tables Sup #1'!$B179)</f>
        <v>0</v>
      </c>
      <c r="G135" s="4">
        <f ca="1">$B135*('Updated Population'!G$125/'Updated Population'!$B$125)*('Total Distance Tables Sup #1'!G179/'Total Distance Tables Sup #1'!$B179)</f>
        <v>0</v>
      </c>
      <c r="H135" s="4">
        <f ca="1">$B135*('Updated Population'!H$125/'Updated Population'!$B$125)*('Total Distance Tables Sup #1'!H179/'Total Distance Tables Sup #1'!$B179)</f>
        <v>0</v>
      </c>
      <c r="I135" s="1">
        <f ca="1">$B135*('Updated Population'!I$125/'Updated Population'!$B$125)*('Total Distance Tables Sup #1'!I179/'Total Distance Tables Sup #1'!$B179)</f>
        <v>0</v>
      </c>
      <c r="J135" s="1">
        <f ca="1">$B135*('Updated Population'!J$125/'Updated Population'!$B$125)*('Total Distance Tables Sup #1'!J179/'Total Distance Tables Sup #1'!$B179)</f>
        <v>0</v>
      </c>
      <c r="K135" s="1">
        <f ca="1">$B135*('Updated Population'!K$125/'Updated Population'!$B$125)*('Total Distance Tables Sup #1'!K179/'Total Distance Tables Sup #1'!$B179)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OFFSET(Otago_Reference,0,6)</f>
        <v>45.829100335</v>
      </c>
      <c r="C137" s="4">
        <f ca="1">$B137*('Updated Population'!C$136/'Updated Population'!$B$136)*('Total Distance Tables Sup #1'!C170/'Total Distance Tables Sup #1'!$B170)</f>
        <v>48.248892338947648</v>
      </c>
      <c r="D137" s="4">
        <f ca="1">$B137*('Updated Population'!D$136/'Updated Population'!$B$136)*('Total Distance Tables Sup #1'!D170/'Total Distance Tables Sup #1'!$B170)</f>
        <v>48.559837529984996</v>
      </c>
      <c r="E137" s="4">
        <f ca="1">$B137*('Updated Population'!E$136/'Updated Population'!$B$136)*('Total Distance Tables Sup #1'!E170/'Total Distance Tables Sup #1'!$B170)</f>
        <v>47.719668316551299</v>
      </c>
      <c r="F137" s="4">
        <f ca="1">$B137*('Updated Population'!F$136/'Updated Population'!$B$136)*('Total Distance Tables Sup #1'!F170/'Total Distance Tables Sup #1'!$B170)</f>
        <v>46.557602371806077</v>
      </c>
      <c r="G137" s="4">
        <f ca="1">$B137*('Updated Population'!G$136/'Updated Population'!$B$136)*('Total Distance Tables Sup #1'!G170/'Total Distance Tables Sup #1'!$B170)</f>
        <v>45.462169582619062</v>
      </c>
      <c r="H137" s="4">
        <f ca="1">$B137*('Updated Population'!H$136/'Updated Population'!$B$136)*('Total Distance Tables Sup #1'!H170/'Total Distance Tables Sup #1'!$B170)</f>
        <v>44.137235302345246</v>
      </c>
      <c r="I137" s="1">
        <f ca="1">$B137*('Updated Population'!I$136/'Updated Population'!$B$136)*('Total Distance Tables Sup #1'!I170/'Total Distance Tables Sup #1'!$B170)</f>
        <v>44.577664988887499</v>
      </c>
      <c r="J137" s="1">
        <f ca="1">$B137*('Updated Population'!J$136/'Updated Population'!$B$136)*('Total Distance Tables Sup #1'!J170/'Total Distance Tables Sup #1'!$B170)</f>
        <v>44.879175223904348</v>
      </c>
      <c r="K137" s="1">
        <f ca="1">$B137*('Updated Population'!K$136/'Updated Population'!$B$136)*('Total Distance Tables Sup #1'!K170/'Total Distance Tables Sup #1'!$B170)</f>
        <v>45.085624191971768</v>
      </c>
    </row>
    <row r="138" spans="1:11" x14ac:dyDescent="0.2">
      <c r="A138" t="str">
        <f ca="1">OFFSET(Otago_Reference,7,2)</f>
        <v>Cyclist</v>
      </c>
      <c r="B138" s="4">
        <f ca="1">OFFSET(Otago_Reference,7,6)</f>
        <v>16.325352069000001</v>
      </c>
      <c r="C138" s="4">
        <f ca="1">$B138*('Updated Population'!C$136/'Updated Population'!$B$136)*('Total Distance Tables Sup #1'!C171/'Total Distance Tables Sup #1'!$B171)</f>
        <v>17.363998907949998</v>
      </c>
      <c r="D138" s="4">
        <f ca="1">$B138*('Updated Population'!D$136/'Updated Population'!$B$136)*('Total Distance Tables Sup #1'!D171/'Total Distance Tables Sup #1'!$B171)</f>
        <v>18.240462079542954</v>
      </c>
      <c r="E138" s="4">
        <f ca="1">$B138*('Updated Population'!E$136/'Updated Population'!$B$136)*('Total Distance Tables Sup #1'!E171/'Total Distance Tables Sup #1'!$B171)</f>
        <v>18.137414913429389</v>
      </c>
      <c r="F138" s="4">
        <f ca="1">$B138*('Updated Population'!F$136/'Updated Population'!$B$136)*('Total Distance Tables Sup #1'!F171/'Total Distance Tables Sup #1'!$B171)</f>
        <v>18.276011878796446</v>
      </c>
      <c r="G138" s="4">
        <f ca="1">$B138*('Updated Population'!G$136/'Updated Population'!$B$136)*('Total Distance Tables Sup #1'!G171/'Total Distance Tables Sup #1'!$B171)</f>
        <v>18.687341381479129</v>
      </c>
      <c r="H138" s="4">
        <f ca="1">$B138*('Updated Population'!H$136/'Updated Population'!$B$136)*('Total Distance Tables Sup #1'!H171/'Total Distance Tables Sup #1'!$B171)</f>
        <v>19.021530418217758</v>
      </c>
      <c r="I138" s="1">
        <f ca="1">$B138*('Updated Population'!I$136/'Updated Population'!$B$136)*('Total Distance Tables Sup #1'!I171/'Total Distance Tables Sup #1'!$B171)</f>
        <v>19.211339467703112</v>
      </c>
      <c r="J138" s="1">
        <f ca="1">$B138*('Updated Population'!J$136/'Updated Population'!$B$136)*('Total Distance Tables Sup #1'!J171/'Total Distance Tables Sup #1'!$B171)</f>
        <v>19.341279326135346</v>
      </c>
      <c r="K138" s="1">
        <f ca="1">$B138*('Updated Population'!K$136/'Updated Population'!$B$136)*('Total Distance Tables Sup #1'!K171/'Total Distance Tables Sup #1'!$B171)</f>
        <v>19.430251263299148</v>
      </c>
    </row>
    <row r="139" spans="1:11" x14ac:dyDescent="0.2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$B139*('Updated Population'!C$136/'Updated Population'!$B$136)*('Total Distance Tables Sup #1'!C172/'Total Distance Tables Sup #1'!$B172)</f>
        <v>1308.3434994513923</v>
      </c>
      <c r="D139" s="4">
        <f ca="1">$B139*('Updated Population'!D$136/'Updated Population'!$B$136)*('Total Distance Tables Sup #1'!D172/'Total Distance Tables Sup #1'!$B172)</f>
        <v>1359.0563162423612</v>
      </c>
      <c r="E139" s="4">
        <f ca="1">$B139*('Updated Population'!E$136/'Updated Population'!$B$136)*('Total Distance Tables Sup #1'!E172/'Total Distance Tables Sup #1'!$B172)</f>
        <v>1398.1714269667571</v>
      </c>
      <c r="F139" s="4">
        <f ca="1">$B139*('Updated Population'!F$136/'Updated Population'!$B$136)*('Total Distance Tables Sup #1'!F172/'Total Distance Tables Sup #1'!$B172)</f>
        <v>1423.2498930184031</v>
      </c>
      <c r="G139" s="4">
        <f ca="1">$B139*('Updated Population'!G$136/'Updated Population'!$B$136)*('Total Distance Tables Sup #1'!G172/'Total Distance Tables Sup #1'!$B172)</f>
        <v>1432.4783242447006</v>
      </c>
      <c r="H139" s="4">
        <f ca="1">$B139*('Updated Population'!H$136/'Updated Population'!$B$136)*('Total Distance Tables Sup #1'!H172/'Total Distance Tables Sup #1'!$B172)</f>
        <v>1429.2320879179631</v>
      </c>
      <c r="I139" s="1">
        <f ca="1">$B139*('Updated Population'!I$136/'Updated Population'!$B$136)*('Total Distance Tables Sup #1'!I172/'Total Distance Tables Sup #1'!$B172)</f>
        <v>1443.4938837954314</v>
      </c>
      <c r="J139" s="1">
        <f ca="1">$B139*('Updated Population'!J$136/'Updated Population'!$B$136)*('Total Distance Tables Sup #1'!J172/'Total Distance Tables Sup #1'!$B172)</f>
        <v>1453.2572525195906</v>
      </c>
      <c r="K139" s="1">
        <f ca="1">$B139*('Updated Population'!K$136/'Updated Population'!$B$136)*('Total Distance Tables Sup #1'!K172/'Total Distance Tables Sup #1'!$B172)</f>
        <v>1459.9423900833344</v>
      </c>
    </row>
    <row r="140" spans="1:11" x14ac:dyDescent="0.2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$B140*('Updated Population'!C$136/'Updated Population'!$B$136)*('Total Distance Tables Sup #1'!C173/'Total Distance Tables Sup #1'!$B173)</f>
        <v>890.72201750043575</v>
      </c>
      <c r="D140" s="4">
        <f ca="1">$B140*('Updated Population'!D$136/'Updated Population'!$B$136)*('Total Distance Tables Sup #1'!D173/'Total Distance Tables Sup #1'!$B173)</f>
        <v>914.56204985257546</v>
      </c>
      <c r="E140" s="4">
        <f ca="1">$B140*('Updated Population'!E$136/'Updated Population'!$B$136)*('Total Distance Tables Sup #1'!E173/'Total Distance Tables Sup #1'!$B173)</f>
        <v>927.52714132863559</v>
      </c>
      <c r="F140" s="4">
        <f ca="1">$B140*('Updated Population'!F$136/'Updated Population'!$B$136)*('Total Distance Tables Sup #1'!F173/'Total Distance Tables Sup #1'!$B173)</f>
        <v>932.20484635683965</v>
      </c>
      <c r="G140" s="4">
        <f ca="1">$B140*('Updated Population'!G$136/'Updated Population'!$B$136)*('Total Distance Tables Sup #1'!G173/'Total Distance Tables Sup #1'!$B173)</f>
        <v>931.76652750668904</v>
      </c>
      <c r="H140" s="4">
        <f ca="1">$B140*('Updated Population'!H$136/'Updated Population'!$B$136)*('Total Distance Tables Sup #1'!H173/'Total Distance Tables Sup #1'!$B173)</f>
        <v>924.75175762818992</v>
      </c>
      <c r="I140" s="1">
        <f ca="1">$B140*('Updated Population'!I$136/'Updated Population'!$B$136)*('Total Distance Tables Sup #1'!I173/'Total Distance Tables Sup #1'!$B173)</f>
        <v>933.97952470402981</v>
      </c>
      <c r="J140" s="1">
        <f ca="1">$B140*('Updated Population'!J$136/'Updated Population'!$B$136)*('Total Distance Tables Sup #1'!J173/'Total Distance Tables Sup #1'!$B173)</f>
        <v>940.29668793060603</v>
      </c>
      <c r="K140" s="1">
        <f ca="1">$B140*('Updated Population'!K$136/'Updated Population'!$B$136)*('Total Distance Tables Sup #1'!K173/'Total Distance Tables Sup #1'!$B173)</f>
        <v>944.62215246804465</v>
      </c>
    </row>
    <row r="141" spans="1:11" x14ac:dyDescent="0.2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$B141*('Updated Population'!C$136/'Updated Population'!$B$136)*('Total Distance Tables Sup #1'!C174/'Total Distance Tables Sup #1'!$B174)</f>
        <v>8.4583065483326632</v>
      </c>
      <c r="D141" s="4">
        <f ca="1">$B141*('Updated Population'!D$136/'Updated Population'!$B$136)*('Total Distance Tables Sup #1'!D174/'Total Distance Tables Sup #1'!$B174)</f>
        <v>9.5478496652607134</v>
      </c>
      <c r="E141" s="4">
        <f ca="1">$B141*('Updated Population'!E$136/'Updated Population'!$B$136)*('Total Distance Tables Sup #1'!E174/'Total Distance Tables Sup #1'!$B174)</f>
        <v>10.429873234604097</v>
      </c>
      <c r="F141" s="4">
        <f ca="1">$B141*('Updated Population'!F$136/'Updated Population'!$B$136)*('Total Distance Tables Sup #1'!F174/'Total Distance Tables Sup #1'!$B174)</f>
        <v>11.118489809827777</v>
      </c>
      <c r="G141" s="4">
        <f ca="1">$B141*('Updated Population'!G$136/'Updated Population'!$B$136)*('Total Distance Tables Sup #1'!G174/'Total Distance Tables Sup #1'!$B174)</f>
        <v>11.571963885411655</v>
      </c>
      <c r="H141" s="4">
        <f ca="1">$B141*('Updated Population'!H$136/'Updated Population'!$B$136)*('Total Distance Tables Sup #1'!H174/'Total Distance Tables Sup #1'!$B174)</f>
        <v>11.879506563211271</v>
      </c>
      <c r="I141" s="1">
        <f ca="1">$B141*('Updated Population'!I$136/'Updated Population'!$B$136)*('Total Distance Tables Sup #1'!I174/'Total Distance Tables Sup #1'!$B174)</f>
        <v>11.998047910807498</v>
      </c>
      <c r="J141" s="1">
        <f ca="1">$B141*('Updated Population'!J$136/'Updated Population'!$B$136)*('Total Distance Tables Sup #1'!J174/'Total Distance Tables Sup #1'!$B174)</f>
        <v>12.079199183451159</v>
      </c>
      <c r="K141" s="1">
        <f ca="1">$B141*('Updated Population'!K$136/'Updated Population'!$B$136)*('Total Distance Tables Sup #1'!K174/'Total Distance Tables Sup #1'!$B174)</f>
        <v>12.134764781394148</v>
      </c>
    </row>
    <row r="142" spans="1:11" x14ac:dyDescent="0.2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$B142*('Updated Population'!C$136/'Updated Population'!$B$136)*('Total Distance Tables Sup #1'!C175/'Total Distance Tables Sup #1'!$B175)</f>
        <v>20.052136470368005</v>
      </c>
      <c r="D142" s="4">
        <f ca="1">$B142*('Updated Population'!D$136/'Updated Population'!$B$136)*('Total Distance Tables Sup #1'!D175/'Total Distance Tables Sup #1'!$B175)</f>
        <v>20.826522893033193</v>
      </c>
      <c r="E142" s="4">
        <f ca="1">$B142*('Updated Population'!E$136/'Updated Population'!$B$136)*('Total Distance Tables Sup #1'!E175/'Total Distance Tables Sup #1'!$B175)</f>
        <v>20.875624108020968</v>
      </c>
      <c r="F142" s="4">
        <f ca="1">$B142*('Updated Population'!F$136/'Updated Population'!$B$136)*('Total Distance Tables Sup #1'!F175/'Total Distance Tables Sup #1'!$B175)</f>
        <v>20.481486918339936</v>
      </c>
      <c r="G142" s="4">
        <f ca="1">$B142*('Updated Population'!G$136/'Updated Population'!$B$136)*('Total Distance Tables Sup #1'!G175/'Total Distance Tables Sup #1'!$B175)</f>
        <v>19.66020947865384</v>
      </c>
      <c r="H142" s="4">
        <f ca="1">$B142*('Updated Population'!H$136/'Updated Population'!$B$136)*('Total Distance Tables Sup #1'!H175/'Total Distance Tables Sup #1'!$B175)</f>
        <v>18.669628745659129</v>
      </c>
      <c r="I142" s="1">
        <f ca="1">$B142*('Updated Population'!I$136/'Updated Population'!$B$136)*('Total Distance Tables Sup #1'!I175/'Total Distance Tables Sup #1'!$B175)</f>
        <v>18.855926294202547</v>
      </c>
      <c r="J142" s="1">
        <f ca="1">$B142*('Updated Population'!J$136/'Updated Population'!$B$136)*('Total Distance Tables Sup #1'!J175/'Total Distance Tables Sup #1'!$B175)</f>
        <v>18.983462242302174</v>
      </c>
      <c r="K142" s="1">
        <f ca="1">$B142*('Updated Population'!K$136/'Updated Population'!$B$136)*('Total Distance Tables Sup #1'!K175/'Total Distance Tables Sup #1'!$B175)</f>
        <v>19.070788182913102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Distance Tables Sup #1'!C176/'Total Distance Tables Sup #1'!$B176)</f>
        <v>0</v>
      </c>
      <c r="D143" s="4">
        <f ca="1">$B143*('Updated Population'!D$136/'Updated Population'!$B$136)*('Total Distance Tables Sup #1'!D176/'Total Distance Tables Sup #1'!$B176)</f>
        <v>0</v>
      </c>
      <c r="E143" s="4">
        <f ca="1">$B143*('Updated Population'!E$136/'Updated Population'!$B$136)*('Total Distance Tables Sup #1'!E176/'Total Distance Tables Sup #1'!$B176)</f>
        <v>0</v>
      </c>
      <c r="F143" s="4">
        <f ca="1">$B143*('Updated Population'!F$136/'Updated Population'!$B$136)*('Total Distance Tables Sup #1'!F176/'Total Distance Tables Sup #1'!$B176)</f>
        <v>0</v>
      </c>
      <c r="G143" s="4">
        <f ca="1">$B143*('Updated Population'!G$136/'Updated Population'!$B$136)*('Total Distance Tables Sup #1'!G176/'Total Distance Tables Sup #1'!$B176)</f>
        <v>0</v>
      </c>
      <c r="H143" s="4">
        <f ca="1">$B143*('Updated Population'!H$136/'Updated Population'!$B$136)*('Total Distance Tables Sup #1'!H176/'Total Distance Tables Sup #1'!$B176)</f>
        <v>0</v>
      </c>
      <c r="I143" s="1">
        <f ca="1">$B143*('Updated Population'!I$136/'Updated Population'!$B$136)*('Total Distance Tables Sup #1'!I176/'Total Distance Tables Sup #1'!$B176)</f>
        <v>0</v>
      </c>
      <c r="J143" s="1">
        <f ca="1">$B143*('Updated Population'!J$136/'Updated Population'!$B$136)*('Total Distance Tables Sup #1'!J176/'Total Distance Tables Sup #1'!$B176)</f>
        <v>0</v>
      </c>
      <c r="K143" s="1">
        <f ca="1">$B143*('Updated Population'!K$136/'Updated Population'!$B$136)*('Total Distance Tables Sup #1'!K176/'Total Distance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$B144*('Updated Population'!C$136/'Updated Population'!$B$136)*('Total Distance Tables Sup #1'!C177/'Total Distance Tables Sup #1'!$B177)</f>
        <v>25.18635128247039</v>
      </c>
      <c r="D144" s="4">
        <f ca="1">$B144*('Updated Population'!D$136/'Updated Population'!$B$136)*('Total Distance Tables Sup #1'!D177/'Total Distance Tables Sup #1'!$B177)</f>
        <v>25.057044239956493</v>
      </c>
      <c r="E144" s="4">
        <f ca="1">$B144*('Updated Population'!E$136/'Updated Population'!$B$136)*('Total Distance Tables Sup #1'!E177/'Total Distance Tables Sup #1'!$B177)</f>
        <v>24.265461704070994</v>
      </c>
      <c r="F144" s="4">
        <f ca="1">$B144*('Updated Population'!F$136/'Updated Population'!$B$136)*('Total Distance Tables Sup #1'!F177/'Total Distance Tables Sup #1'!$B177)</f>
        <v>23.307051425961316</v>
      </c>
      <c r="G144" s="4">
        <f ca="1">$B144*('Updated Population'!G$136/'Updated Population'!$B$136)*('Total Distance Tables Sup #1'!G177/'Total Distance Tables Sup #1'!$B177)</f>
        <v>22.666235468598465</v>
      </c>
      <c r="H144" s="4">
        <f ca="1">$B144*('Updated Population'!H$136/'Updated Population'!$B$136)*('Total Distance Tables Sup #1'!H177/'Total Distance Tables Sup #1'!$B177)</f>
        <v>22.033399922019608</v>
      </c>
      <c r="I144" s="1">
        <f ca="1">$B144*('Updated Population'!I$136/'Updated Population'!$B$136)*('Total Distance Tables Sup #1'!I177/'Total Distance Tables Sup #1'!$B177)</f>
        <v>22.253263340166225</v>
      </c>
      <c r="J144" s="1">
        <f ca="1">$B144*('Updated Population'!J$136/'Updated Population'!$B$136)*('Total Distance Tables Sup #1'!J177/'Total Distance Tables Sup #1'!$B177)</f>
        <v>22.403777878360586</v>
      </c>
      <c r="K144" s="1">
        <f ca="1">$B144*('Updated Population'!K$136/'Updated Population'!$B$136)*('Total Distance Tables Sup #1'!K177/'Total Distance Tables Sup #1'!$B177)</f>
        <v>22.506837633820076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Distance Tables Sup #1'!C178/'Total Distance Tables Sup #1'!$B178)</f>
        <v>0</v>
      </c>
      <c r="D145" s="4">
        <f ca="1">$B145*('Updated Population'!D$136/'Updated Population'!$B$136)*('Total Distance Tables Sup #1'!D178/'Total Distance Tables Sup #1'!$B178)</f>
        <v>0</v>
      </c>
      <c r="E145" s="4">
        <f ca="1">$B145*('Updated Population'!E$136/'Updated Population'!$B$136)*('Total Distance Tables Sup #1'!E178/'Total Distance Tables Sup #1'!$B178)</f>
        <v>0</v>
      </c>
      <c r="F145" s="4">
        <f ca="1">$B145*('Updated Population'!F$136/'Updated Population'!$B$136)*('Total Distance Tables Sup #1'!F178/'Total Distance Tables Sup #1'!$B178)</f>
        <v>0</v>
      </c>
      <c r="G145" s="4">
        <f ca="1">$B145*('Updated Population'!G$136/'Updated Population'!$B$136)*('Total Distance Tables Sup #1'!G178/'Total Distance Tables Sup #1'!$B178)</f>
        <v>0</v>
      </c>
      <c r="H145" s="4">
        <f ca="1">$B145*('Updated Population'!H$136/'Updated Population'!$B$136)*('Total Distance Tables Sup #1'!H178/'Total Distance Tables Sup #1'!$B178)</f>
        <v>0</v>
      </c>
      <c r="I145" s="1">
        <f ca="1">$B145*('Updated Population'!I$136/'Updated Population'!$B$136)*('Total Distance Tables Sup #1'!I178/'Total Distance Tables Sup #1'!$B178)</f>
        <v>0</v>
      </c>
      <c r="J145" s="1">
        <f ca="1">$B145*('Updated Population'!J$136/'Updated Population'!$B$136)*('Total Distance Tables Sup #1'!J178/'Total Distance Tables Sup #1'!$B178)</f>
        <v>0</v>
      </c>
      <c r="K145" s="1">
        <f ca="1">$B145*('Updated Population'!K$136/'Updated Population'!$B$136)*('Total Distance Tables Sup #1'!K178/'Total Distance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OFFSET(Otago_Reference,49,6)</f>
        <v>0</v>
      </c>
      <c r="C146" s="4">
        <f ca="1">$B146*('Updated Population'!C$136/'Updated Population'!$B$136)*('Total Distance Tables Sup #1'!C179/'Total Distance Tables Sup #1'!$B179)</f>
        <v>0</v>
      </c>
      <c r="D146" s="4">
        <f ca="1">$B146*('Updated Population'!D$136/'Updated Population'!$B$136)*('Total Distance Tables Sup #1'!D179/'Total Distance Tables Sup #1'!$B179)</f>
        <v>0</v>
      </c>
      <c r="E146" s="4">
        <f ca="1">$B146*('Updated Population'!E$136/'Updated Population'!$B$136)*('Total Distance Tables Sup #1'!E179/'Total Distance Tables Sup #1'!$B179)</f>
        <v>0</v>
      </c>
      <c r="F146" s="4">
        <f ca="1">$B146*('Updated Population'!F$136/'Updated Population'!$B$136)*('Total Distance Tables Sup #1'!F179/'Total Distance Tables Sup #1'!$B179)</f>
        <v>0</v>
      </c>
      <c r="G146" s="4">
        <f ca="1">$B146*('Updated Population'!G$136/'Updated Population'!$B$136)*('Total Distance Tables Sup #1'!G179/'Total Distance Tables Sup #1'!$B179)</f>
        <v>0</v>
      </c>
      <c r="H146" s="4">
        <f ca="1">$B146*('Updated Population'!H$136/'Updated Population'!$B$136)*('Total Distance Tables Sup #1'!H179/'Total Distance Tables Sup #1'!$B179)</f>
        <v>0</v>
      </c>
      <c r="I146" s="1">
        <f ca="1">$B146*('Updated Population'!I$136/'Updated Population'!$B$136)*('Total Distance Tables Sup #1'!I179/'Total Distance Tables Sup #1'!$B179)</f>
        <v>0</v>
      </c>
      <c r="J146" s="1">
        <f ca="1">$B146*('Updated Population'!J$136/'Updated Population'!$B$136)*('Total Distance Tables Sup #1'!J179/'Total Distance Tables Sup #1'!$B179)</f>
        <v>0</v>
      </c>
      <c r="K146" s="1">
        <f ca="1">$B146*('Updated Population'!K$136/'Updated Population'!$B$136)*('Total Distance Tables Sup #1'!K179/'Total Distance Tables Sup #1'!$B179)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$B148*('Updated Population'!C$147/'Updated Population'!$B$147)*('Total Distance Tables Sup #1'!C170/'Total Distance Tables Sup #1'!$B170)</f>
        <v>8.8996567551410521</v>
      </c>
      <c r="D148" s="4">
        <f ca="1">$B148*('Updated Population'!D$147/'Updated Population'!$B$147)*('Total Distance Tables Sup #1'!D170/'Total Distance Tables Sup #1'!$B170)</f>
        <v>8.6476374636479054</v>
      </c>
      <c r="E148" s="4">
        <f ca="1">$B148*('Updated Population'!E$147/'Updated Population'!$B$147)*('Total Distance Tables Sup #1'!E170/'Total Distance Tables Sup #1'!$B170)</f>
        <v>8.3046970741847961</v>
      </c>
      <c r="F148" s="4">
        <f ca="1">$B148*('Updated Population'!F$147/'Updated Population'!$B$147)*('Total Distance Tables Sup #1'!F170/'Total Distance Tables Sup #1'!$B170)</f>
        <v>7.919723927367321</v>
      </c>
      <c r="G148" s="4">
        <f ca="1">$B148*('Updated Population'!G$147/'Updated Population'!$B$147)*('Total Distance Tables Sup #1'!G170/'Total Distance Tables Sup #1'!$B170)</f>
        <v>7.5534105499718107</v>
      </c>
      <c r="H148" s="4">
        <f ca="1">$B148*('Updated Population'!H$147/'Updated Population'!$B$147)*('Total Distance Tables Sup #1'!H170/'Total Distance Tables Sup #1'!$B170)</f>
        <v>7.1635602342910039</v>
      </c>
      <c r="I148" s="1">
        <f ca="1">$B148*('Updated Population'!I$147/'Updated Population'!$B$147)*('Total Distance Tables Sup #1'!I170/'Total Distance Tables Sup #1'!$B170)</f>
        <v>7.0676000484697079</v>
      </c>
      <c r="J148" s="1">
        <f ca="1">$B148*('Updated Population'!J$147/'Updated Population'!$B$147)*('Total Distance Tables Sup #1'!J170/'Total Distance Tables Sup #1'!$B170)</f>
        <v>6.9507292841741775</v>
      </c>
      <c r="K148" s="1">
        <f ca="1">$B148*('Updated Population'!K$147/'Updated Population'!$B$147)*('Total Distance Tables Sup #1'!K170/'Total Distance Tables Sup #1'!$B170)</f>
        <v>6.8211005536367786</v>
      </c>
    </row>
    <row r="149" spans="1:11" x14ac:dyDescent="0.2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$B149*('Updated Population'!C$147/'Updated Population'!$B$147)*('Total Distance Tables Sup #1'!C171/'Total Distance Tables Sup #1'!$B171)</f>
        <v>7.6634092032909891</v>
      </c>
      <c r="D149" s="4">
        <f ca="1">$B149*('Updated Population'!D$147/'Updated Population'!$B$147)*('Total Distance Tables Sup #1'!D171/'Total Distance Tables Sup #1'!$B171)</f>
        <v>7.7721727014857613</v>
      </c>
      <c r="E149" s="4">
        <f ca="1">$B149*('Updated Population'!E$147/'Updated Population'!$B$147)*('Total Distance Tables Sup #1'!E171/'Total Distance Tables Sup #1'!$B171)</f>
        <v>7.5524546170161759</v>
      </c>
      <c r="F149" s="4">
        <f ca="1">$B149*('Updated Population'!F$147/'Updated Population'!$B$147)*('Total Distance Tables Sup #1'!F171/'Total Distance Tables Sup #1'!$B171)</f>
        <v>7.4385318110146388</v>
      </c>
      <c r="G149" s="4">
        <f ca="1">$B149*('Updated Population'!G$147/'Updated Population'!$B$147)*('Total Distance Tables Sup #1'!G171/'Total Distance Tables Sup #1'!$B171)</f>
        <v>7.4289392898247071</v>
      </c>
      <c r="H149" s="4">
        <f ca="1">$B149*('Updated Population'!H$147/'Updated Population'!$B$147)*('Total Distance Tables Sup #1'!H171/'Total Distance Tables Sup #1'!$B171)</f>
        <v>7.3867874732636896</v>
      </c>
      <c r="I149" s="1">
        <f ca="1">$B149*('Updated Population'!I$147/'Updated Population'!$B$147)*('Total Distance Tables Sup #1'!I171/'Total Distance Tables Sup #1'!$B171)</f>
        <v>7.2878370246915258</v>
      </c>
      <c r="J149" s="1">
        <f ca="1">$B149*('Updated Population'!J$147/'Updated Population'!$B$147)*('Total Distance Tables Sup #1'!J171/'Total Distance Tables Sup #1'!$B171)</f>
        <v>7.1673243927803041</v>
      </c>
      <c r="K149" s="1">
        <f ca="1">$B149*('Updated Population'!K$147/'Updated Population'!$B$147)*('Total Distance Tables Sup #1'!K171/'Total Distance Tables Sup #1'!$B171)</f>
        <v>7.0336562373392271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$B150*('Updated Population'!C$147/'Updated Population'!$B$147)*('Total Distance Tables Sup #1'!C172/'Total Distance Tables Sup #1'!$B172)</f>
        <v>689.74825625934989</v>
      </c>
      <c r="D150" s="4">
        <f ca="1">$B150*('Updated Population'!D$147/'Updated Population'!$B$147)*('Total Distance Tables Sup #1'!D172/'Total Distance Tables Sup #1'!$B172)</f>
        <v>691.73639066934095</v>
      </c>
      <c r="E150" s="4">
        <f ca="1">$B150*('Updated Population'!E$147/'Updated Population'!$B$147)*('Total Distance Tables Sup #1'!E172/'Total Distance Tables Sup #1'!$B172)</f>
        <v>695.45610316266993</v>
      </c>
      <c r="F150" s="4">
        <f ca="1">$B150*('Updated Population'!F$147/'Updated Population'!$B$147)*('Total Distance Tables Sup #1'!F172/'Total Distance Tables Sup #1'!$B172)</f>
        <v>691.96402582107373</v>
      </c>
      <c r="G150" s="4">
        <f ca="1">$B150*('Updated Population'!G$147/'Updated Population'!$B$147)*('Total Distance Tables Sup #1'!G172/'Total Distance Tables Sup #1'!$B172)</f>
        <v>680.24273607810892</v>
      </c>
      <c r="H150" s="4">
        <f ca="1">$B150*('Updated Population'!H$147/'Updated Population'!$B$147)*('Total Distance Tables Sup #1'!H172/'Total Distance Tables Sup #1'!$B172)</f>
        <v>662.9938042590644</v>
      </c>
      <c r="I150" s="1">
        <f ca="1">$B150*('Updated Population'!I$147/'Updated Population'!$B$147)*('Total Distance Tables Sup #1'!I172/'Total Distance Tables Sup #1'!$B172)</f>
        <v>654.11260460773417</v>
      </c>
      <c r="J150" s="1">
        <f ca="1">$B150*('Updated Population'!J$147/'Updated Population'!$B$147)*('Total Distance Tables Sup #1'!J172/'Total Distance Tables Sup #1'!$B172)</f>
        <v>643.2961125154294</v>
      </c>
      <c r="K150" s="1">
        <f ca="1">$B150*('Updated Population'!K$147/'Updated Population'!$B$147)*('Total Distance Tables Sup #1'!K172/'Total Distance Tables Sup #1'!$B172)</f>
        <v>631.29885941928524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$B151*('Updated Population'!C$147/'Updated Population'!$B$147)*('Total Distance Tables Sup #1'!C173/'Total Distance Tables Sup #1'!$B173)</f>
        <v>381.5141599065725</v>
      </c>
      <c r="D151" s="4">
        <f ca="1">$B151*('Updated Population'!D$147/'Updated Population'!$B$147)*('Total Distance Tables Sup #1'!D173/'Total Distance Tables Sup #1'!$B173)</f>
        <v>378.19518029896051</v>
      </c>
      <c r="E151" s="4">
        <f ca="1">$B151*('Updated Population'!E$147/'Updated Population'!$B$147)*('Total Distance Tables Sup #1'!E173/'Total Distance Tables Sup #1'!$B173)</f>
        <v>374.83105943217311</v>
      </c>
      <c r="F151" s="4">
        <f ca="1">$B151*('Updated Population'!F$147/'Updated Population'!$B$147)*('Total Distance Tables Sup #1'!F173/'Total Distance Tables Sup #1'!$B173)</f>
        <v>368.2250728882305</v>
      </c>
      <c r="G151" s="4">
        <f ca="1">$B151*('Updated Population'!G$147/'Updated Population'!$B$147)*('Total Distance Tables Sup #1'!G173/'Total Distance Tables Sup #1'!$B173)</f>
        <v>359.48651367336453</v>
      </c>
      <c r="H151" s="4">
        <f ca="1">$B151*('Updated Population'!H$147/'Updated Population'!$B$147)*('Total Distance Tables Sup #1'!H173/'Total Distance Tables Sup #1'!$B173)</f>
        <v>348.52306187831869</v>
      </c>
      <c r="I151" s="1">
        <f ca="1">$B151*('Updated Population'!I$147/'Updated Population'!$B$147)*('Total Distance Tables Sup #1'!I173/'Total Distance Tables Sup #1'!$B173)</f>
        <v>343.85438643105192</v>
      </c>
      <c r="J151" s="1">
        <f ca="1">$B151*('Updated Population'!J$147/'Updated Population'!$B$147)*('Total Distance Tables Sup #1'!J173/'Total Distance Tables Sup #1'!$B173)</f>
        <v>338.16836505562497</v>
      </c>
      <c r="K151" s="1">
        <f ca="1">$B151*('Updated Population'!K$147/'Updated Population'!$B$147)*('Total Distance Tables Sup #1'!K173/'Total Distance Tables Sup #1'!$B173)</f>
        <v>331.86164038288058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$B152*('Updated Population'!C$147/'Updated Population'!$B$147)*('Total Distance Tables Sup #1'!C174/'Total Distance Tables Sup #1'!$B174)</f>
        <v>1.3782299893071974</v>
      </c>
      <c r="D152" s="4">
        <f ca="1">$B152*('Updated Population'!D$147/'Updated Population'!$B$147)*('Total Distance Tables Sup #1'!D174/'Total Distance Tables Sup #1'!$B174)</f>
        <v>1.502028547366451</v>
      </c>
      <c r="E152" s="4">
        <f ca="1">$B152*('Updated Population'!E$147/'Updated Population'!$B$147)*('Total Distance Tables Sup #1'!E174/'Total Distance Tables Sup #1'!$B174)</f>
        <v>1.6034586858799353</v>
      </c>
      <c r="F152" s="4">
        <f ca="1">$B152*('Updated Population'!F$147/'Updated Population'!$B$147)*('Total Distance Tables Sup #1'!F174/'Total Distance Tables Sup #1'!$B174)</f>
        <v>1.6707735974677895</v>
      </c>
      <c r="G152" s="4">
        <f ca="1">$B152*('Updated Population'!G$147/'Updated Population'!$B$147)*('Total Distance Tables Sup #1'!G174/'Total Distance Tables Sup #1'!$B174)</f>
        <v>1.6984484413353607</v>
      </c>
      <c r="H152" s="4">
        <f ca="1">$B152*('Updated Population'!H$147/'Updated Population'!$B$147)*('Total Distance Tables Sup #1'!H174/'Total Distance Tables Sup #1'!$B174)</f>
        <v>1.7032349418891231</v>
      </c>
      <c r="I152" s="1">
        <f ca="1">$B152*('Updated Population'!I$147/'Updated Population'!$B$147)*('Total Distance Tables Sup #1'!I174/'Total Distance Tables Sup #1'!$B174)</f>
        <v>1.6804190882946175</v>
      </c>
      <c r="J152" s="1">
        <f ca="1">$B152*('Updated Population'!J$147/'Updated Population'!$B$147)*('Total Distance Tables Sup #1'!J174/'Total Distance Tables Sup #1'!$B174)</f>
        <v>1.6526314571554852</v>
      </c>
      <c r="K152" s="1">
        <f ca="1">$B152*('Updated Population'!K$147/'Updated Population'!$B$147)*('Total Distance Tables Sup #1'!K174/'Total Distance Tables Sup #1'!$B174)</f>
        <v>1.6218104441252403</v>
      </c>
    </row>
    <row r="153" spans="1:11" x14ac:dyDescent="0.2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$B153*('Updated Population'!C$147/'Updated Population'!$B$147)*('Total Distance Tables Sup #1'!C175/'Total Distance Tables Sup #1'!$B175)</f>
        <v>19.59885272530952</v>
      </c>
      <c r="D153" s="4">
        <f ca="1">$B153*('Updated Population'!D$147/'Updated Population'!$B$147)*('Total Distance Tables Sup #1'!D175/'Total Distance Tables Sup #1'!$B175)</f>
        <v>19.652649368007697</v>
      </c>
      <c r="E153" s="4">
        <f ca="1">$B153*('Updated Population'!E$147/'Updated Population'!$B$147)*('Total Distance Tables Sup #1'!E175/'Total Distance Tables Sup #1'!$B175)</f>
        <v>19.250851142227283</v>
      </c>
      <c r="F153" s="4">
        <f ca="1">$B153*('Updated Population'!F$147/'Updated Population'!$B$147)*('Total Distance Tables Sup #1'!F175/'Total Distance Tables Sup #1'!$B175)</f>
        <v>18.461415924685333</v>
      </c>
      <c r="G153" s="4">
        <f ca="1">$B153*('Updated Population'!G$147/'Updated Population'!$B$147)*('Total Distance Tables Sup #1'!G175/'Total Distance Tables Sup #1'!$B175)</f>
        <v>17.308728358224524</v>
      </c>
      <c r="H153" s="4">
        <f ca="1">$B153*('Updated Population'!H$147/'Updated Population'!$B$147)*('Total Distance Tables Sup #1'!H175/'Total Distance Tables Sup #1'!$B175)</f>
        <v>16.056229281961805</v>
      </c>
      <c r="I153" s="1">
        <f ca="1">$B153*('Updated Population'!I$147/'Updated Population'!$B$147)*('Total Distance Tables Sup #1'!I175/'Total Distance Tables Sup #1'!$B175)</f>
        <v>15.841146460697736</v>
      </c>
      <c r="J153" s="1">
        <f ca="1">$B153*('Updated Population'!J$147/'Updated Population'!$B$147)*('Total Distance Tables Sup #1'!J175/'Total Distance Tables Sup #1'!$B175)</f>
        <v>15.579195178581818</v>
      </c>
      <c r="K153" s="1">
        <f ca="1">$B153*('Updated Population'!K$147/'Updated Population'!$B$147)*('Total Distance Tables Sup #1'!K175/'Total Distance Tables Sup #1'!$B175)</f>
        <v>15.288648501934224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Distance Tables Sup #1'!C176/'Total Distance Tables Sup #1'!$B176)</f>
        <v>0</v>
      </c>
      <c r="D154" s="4">
        <f ca="1">$B154*('Updated Population'!D$147/'Updated Population'!$B$147)*('Total Distance Tables Sup #1'!D176/'Total Distance Tables Sup #1'!$B176)</f>
        <v>0</v>
      </c>
      <c r="E154" s="4">
        <f ca="1">$B154*('Updated Population'!E$147/'Updated Population'!$B$147)*('Total Distance Tables Sup #1'!E176/'Total Distance Tables Sup #1'!$B176)</f>
        <v>0</v>
      </c>
      <c r="F154" s="4">
        <f ca="1">$B154*('Updated Population'!F$147/'Updated Population'!$B$147)*('Total Distance Tables Sup #1'!F176/'Total Distance Tables Sup #1'!$B176)</f>
        <v>0</v>
      </c>
      <c r="G154" s="4">
        <f ca="1">$B154*('Updated Population'!G$147/'Updated Population'!$B$147)*('Total Distance Tables Sup #1'!G176/'Total Distance Tables Sup #1'!$B176)</f>
        <v>0</v>
      </c>
      <c r="H154" s="4">
        <f ca="1">$B154*('Updated Population'!H$147/'Updated Population'!$B$147)*('Total Distance Tables Sup #1'!H176/'Total Distance Tables Sup #1'!$B176)</f>
        <v>0</v>
      </c>
      <c r="I154" s="1">
        <f ca="1">$B154*('Updated Population'!I$147/'Updated Population'!$B$147)*('Total Distance Tables Sup #1'!I176/'Total Distance Tables Sup #1'!$B176)</f>
        <v>0</v>
      </c>
      <c r="J154" s="1">
        <f ca="1">$B154*('Updated Population'!J$147/'Updated Population'!$B$147)*('Total Distance Tables Sup #1'!J176/'Total Distance Tables Sup #1'!$B176)</f>
        <v>0</v>
      </c>
      <c r="K154" s="1">
        <f ca="1">$B154*('Updated Population'!K$147/'Updated Population'!$B$147)*('Total Distance Tables Sup #1'!K176/'Total Distance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$B155*('Updated Population'!C$147/'Updated Population'!$B$147)*('Total Distance Tables Sup #1'!C177/'Total Distance Tables Sup #1'!$B177)</f>
        <v>26.74727920446179</v>
      </c>
      <c r="D155" s="4">
        <f ca="1">$B155*('Updated Population'!D$147/'Updated Population'!$B$147)*('Total Distance Tables Sup #1'!D177/'Total Distance Tables Sup #1'!$B177)</f>
        <v>25.69085361459425</v>
      </c>
      <c r="E155" s="4">
        <f ca="1">$B155*('Updated Population'!E$147/'Updated Population'!$B$147)*('Total Distance Tables Sup #1'!E177/'Total Distance Tables Sup #1'!$B177)</f>
        <v>24.313270606612321</v>
      </c>
      <c r="F155" s="4">
        <f ca="1">$B155*('Updated Population'!F$147/'Updated Population'!$B$147)*('Total Distance Tables Sup #1'!F177/'Total Distance Tables Sup #1'!$B177)</f>
        <v>22.826283973399143</v>
      </c>
      <c r="G155" s="4">
        <f ca="1">$B155*('Updated Population'!G$147/'Updated Population'!$B$147)*('Total Distance Tables Sup #1'!G177/'Total Distance Tables Sup #1'!$B177)</f>
        <v>21.682071612145926</v>
      </c>
      <c r="H155" s="4">
        <f ca="1">$B155*('Updated Population'!H$147/'Updated Population'!$B$147)*('Total Distance Tables Sup #1'!H177/'Total Distance Tables Sup #1'!$B177)</f>
        <v>20.588928891775847</v>
      </c>
      <c r="I155" s="1">
        <f ca="1">$B155*('Updated Population'!I$147/'Updated Population'!$B$147)*('Total Distance Tables Sup #1'!I177/'Total Distance Tables Sup #1'!$B177)</f>
        <v>20.313127840664588</v>
      </c>
      <c r="J155" s="1">
        <f ca="1">$B155*('Updated Population'!J$147/'Updated Population'!$B$147)*('Total Distance Tables Sup #1'!J177/'Total Distance Tables Sup #1'!$B177)</f>
        <v>19.977227286064686</v>
      </c>
      <c r="K155" s="1">
        <f ca="1">$B155*('Updated Population'!K$147/'Updated Population'!$B$147)*('Total Distance Tables Sup #1'!K177/'Total Distance Tables Sup #1'!$B177)</f>
        <v>19.60465881060329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Distance Tables Sup #1'!C178/'Total Distance Tables Sup #1'!$B178)</f>
        <v>0</v>
      </c>
      <c r="D156" s="4">
        <f ca="1">$B156*('Updated Population'!D$147/'Updated Population'!$B$147)*('Total Distance Tables Sup #1'!D178/'Total Distance Tables Sup #1'!$B178)</f>
        <v>0</v>
      </c>
      <c r="E156" s="4">
        <f ca="1">$B156*('Updated Population'!E$147/'Updated Population'!$B$147)*('Total Distance Tables Sup #1'!E178/'Total Distance Tables Sup #1'!$B178)</f>
        <v>0</v>
      </c>
      <c r="F156" s="4">
        <f ca="1">$B156*('Updated Population'!F$147/'Updated Population'!$B$147)*('Total Distance Tables Sup #1'!F178/'Total Distance Tables Sup #1'!$B178)</f>
        <v>0</v>
      </c>
      <c r="G156" s="4">
        <f ca="1">$B156*('Updated Population'!G$147/'Updated Population'!$B$147)*('Total Distance Tables Sup #1'!G178/'Total Distance Tables Sup #1'!$B178)</f>
        <v>0</v>
      </c>
      <c r="H156" s="4">
        <f ca="1">$B156*('Updated Population'!H$147/'Updated Population'!$B$147)*('Total Distance Tables Sup #1'!H178/'Total Distance Tables Sup #1'!$B178)</f>
        <v>0</v>
      </c>
      <c r="I156" s="1">
        <f ca="1">$B156*('Updated Population'!I$147/'Updated Population'!$B$147)*('Total Distance Tables Sup #1'!I178/'Total Distance Tables Sup #1'!$B178)</f>
        <v>0</v>
      </c>
      <c r="J156" s="1">
        <f ca="1">$B156*('Updated Population'!J$147/'Updated Population'!$B$147)*('Total Distance Tables Sup #1'!J178/'Total Distance Tables Sup #1'!$B178)</f>
        <v>0</v>
      </c>
      <c r="K156" s="1">
        <f ca="1">$B156*('Updated Population'!K$147/'Updated Population'!$B$147)*('Total Distance Tables Sup #1'!K178/'Total Distance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$B157*('Updated Population'!C$147/'Updated Population'!$B$147)*('Total Distance Tables Sup #1'!C179/'Total Distance Tables Sup #1'!$B179)</f>
        <v>0</v>
      </c>
      <c r="D157" s="4">
        <f ca="1">$B157*('Updated Population'!D$147/'Updated Population'!$B$147)*('Total Distance Tables Sup #1'!D179/'Total Distance Tables Sup #1'!$B179)</f>
        <v>0</v>
      </c>
      <c r="E157" s="4">
        <f ca="1">$B157*('Updated Population'!E$147/'Updated Population'!$B$147)*('Total Distance Tables Sup #1'!E179/'Total Distance Tables Sup #1'!$B179)</f>
        <v>0</v>
      </c>
      <c r="F157" s="4">
        <f ca="1">$B157*('Updated Population'!F$147/'Updated Population'!$B$147)*('Total Distance Tables Sup #1'!F179/'Total Distance Tables Sup #1'!$B179)</f>
        <v>0</v>
      </c>
      <c r="G157" s="4">
        <f ca="1">$B157*('Updated Population'!G$147/'Updated Population'!$B$147)*('Total Distance Tables Sup #1'!G179/'Total Distance Tables Sup #1'!$B179)</f>
        <v>0</v>
      </c>
      <c r="H157" s="4">
        <f ca="1">$B157*('Updated Population'!H$147/'Updated Population'!$B$147)*('Total Distance Tables Sup #1'!H179/'Total Distance Tables Sup #1'!$B179)</f>
        <v>0</v>
      </c>
      <c r="I157" s="1">
        <f ca="1">$B157*('Updated Population'!I$147/'Updated Population'!$B$147)*('Total Distance Tables Sup #1'!I179/'Total Distance Tables Sup #1'!$B179)</f>
        <v>0</v>
      </c>
      <c r="J157" s="1">
        <f ca="1">$B157*('Updated Population'!J$147/'Updated Population'!$B$147)*('Total Distance Tables Sup #1'!J179/'Total Distance Tables Sup #1'!$B179)</f>
        <v>0</v>
      </c>
      <c r="K157" s="1">
        <f ca="1">$B157*('Updated Population'!K$147/'Updated Population'!$B$147)*('Total Distance Tables Sup #1'!K179/'Total Distance Tables Sup #1'!$B179)</f>
        <v>0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807.42091028530001</v>
      </c>
      <c r="C159" s="4">
        <f t="shared" ca="1" si="1"/>
        <v>879.30050598026855</v>
      </c>
      <c r="D159" s="4">
        <f t="shared" ca="1" si="1"/>
        <v>916.18536025294009</v>
      </c>
      <c r="E159" s="4">
        <f t="shared" ca="1" si="1"/>
        <v>933.75536501302906</v>
      </c>
      <c r="F159" s="4">
        <f t="shared" ca="1" si="1"/>
        <v>943.41964081380661</v>
      </c>
      <c r="G159" s="4">
        <f t="shared" ca="1" si="1"/>
        <v>952.71056180668063</v>
      </c>
      <c r="H159" s="4">
        <f t="shared" ca="1" si="1"/>
        <v>956.10073282078588</v>
      </c>
      <c r="I159" s="1">
        <f t="shared" ref="I159:K159" ca="1" si="2">I5+I16+I27+I38+I49+I60+I71+I82+I93+I104+I115+I126+I137+I148</f>
        <v>989.44163933316042</v>
      </c>
      <c r="J159" s="1">
        <f t="shared" ca="1" si="2"/>
        <v>1029.5270843533749</v>
      </c>
      <c r="K159" s="1">
        <f t="shared" ca="1" si="2"/>
        <v>1070.2885769015618</v>
      </c>
    </row>
    <row r="160" spans="1:11" x14ac:dyDescent="0.2">
      <c r="A160" t="str">
        <f t="shared" ca="1" si="0"/>
        <v>Cyclist</v>
      </c>
      <c r="B160" s="4">
        <f t="shared" ca="1" si="1"/>
        <v>312.57850166600002</v>
      </c>
      <c r="C160" s="4">
        <f t="shared" ca="1" si="1"/>
        <v>339.04491861272948</v>
      </c>
      <c r="D160" s="4">
        <f t="shared" ca="1" si="1"/>
        <v>364.00434044665315</v>
      </c>
      <c r="E160" s="4">
        <f t="shared" ca="1" si="1"/>
        <v>370.75860087721531</v>
      </c>
      <c r="F160" s="4">
        <f t="shared" ca="1" si="1"/>
        <v>382.39227605387106</v>
      </c>
      <c r="G160" s="4">
        <f t="shared" ca="1" si="1"/>
        <v>399.89462607086409</v>
      </c>
      <c r="H160" s="4">
        <f t="shared" ca="1" si="1"/>
        <v>416.25424723714826</v>
      </c>
      <c r="I160" s="1">
        <f t="shared" ref="I160:K160" ca="1" si="3">I6+I17+I28+I39+I50+I61+I72+I83+I94+I105+I116+I127+I138+I149</f>
        <v>427.6532161249292</v>
      </c>
      <c r="J160" s="1">
        <f t="shared" ca="1" si="3"/>
        <v>440.44207402614325</v>
      </c>
      <c r="K160" s="1">
        <f t="shared" ca="1" si="3"/>
        <v>453.11866847718454</v>
      </c>
    </row>
    <row r="161" spans="1:20" x14ac:dyDescent="0.2">
      <c r="A161" t="str">
        <f t="shared" ca="1" si="0"/>
        <v>Light Vehicle Driver</v>
      </c>
      <c r="B161" s="4">
        <f t="shared" ca="1" si="1"/>
        <v>30373.708042980001</v>
      </c>
      <c r="C161" s="4">
        <f t="shared" ca="1" si="1"/>
        <v>34497.22938182544</v>
      </c>
      <c r="D161" s="4">
        <f t="shared" ca="1" si="1"/>
        <v>37123.499928322599</v>
      </c>
      <c r="E161" s="4">
        <f t="shared" ca="1" si="1"/>
        <v>39644.138865446876</v>
      </c>
      <c r="F161" s="4">
        <f t="shared" ca="1" si="1"/>
        <v>41822.571273704554</v>
      </c>
      <c r="G161" s="4">
        <f t="shared" ca="1" si="1"/>
        <v>43563.790416002659</v>
      </c>
      <c r="H161" s="4">
        <f t="shared" ca="1" si="1"/>
        <v>44961.509125593955</v>
      </c>
      <c r="I161" s="1">
        <f t="shared" ref="I161:K161" ca="1" si="4">I7+I18+I29+I40+I51+I62+I73+I84+I95+I106+I117+I128+I139+I150</f>
        <v>46546.382282848142</v>
      </c>
      <c r="J161" s="1">
        <f t="shared" ca="1" si="4"/>
        <v>48467.059602449124</v>
      </c>
      <c r="K161" s="1">
        <f t="shared" ca="1" si="4"/>
        <v>50424.769439180905</v>
      </c>
    </row>
    <row r="162" spans="1:20" x14ac:dyDescent="0.2">
      <c r="A162" t="str">
        <f t="shared" ca="1" si="0"/>
        <v>Light Vehicle Passenger</v>
      </c>
      <c r="B162" s="4">
        <f t="shared" ca="1" si="1"/>
        <v>17104.323927279998</v>
      </c>
      <c r="C162" s="4">
        <f t="shared" ca="1" si="1"/>
        <v>18525.605057879406</v>
      </c>
      <c r="D162" s="4">
        <f t="shared" ca="1" si="1"/>
        <v>19673.554228265933</v>
      </c>
      <c r="E162" s="4">
        <f t="shared" ca="1" si="1"/>
        <v>20681.858843200956</v>
      </c>
      <c r="F162" s="4">
        <f t="shared" ca="1" si="1"/>
        <v>21513.303635542154</v>
      </c>
      <c r="G162" s="4">
        <f t="shared" ca="1" si="1"/>
        <v>22226.285734022636</v>
      </c>
      <c r="H162" s="4">
        <f t="shared" ca="1" si="1"/>
        <v>22791.333084794449</v>
      </c>
      <c r="I162" s="1">
        <f t="shared" ref="I162:K162" ca="1" si="5">I8+I19+I30+I41+I52+I63+I74+I85+I96+I107+I118+I129+I140+I151</f>
        <v>23573.962765214521</v>
      </c>
      <c r="J162" s="1">
        <f t="shared" ca="1" si="5"/>
        <v>24519.66558159624</v>
      </c>
      <c r="K162" s="1">
        <f t="shared" ca="1" si="5"/>
        <v>25482.165112864506</v>
      </c>
    </row>
    <row r="163" spans="1:20" x14ac:dyDescent="0.2">
      <c r="A163" t="str">
        <f t="shared" ca="1" si="0"/>
        <v>Taxi/Vehicle Share</v>
      </c>
      <c r="B163" s="4">
        <f t="shared" ca="1" si="1"/>
        <v>102.6492410403</v>
      </c>
      <c r="C163" s="4">
        <f t="shared" ca="1" si="1"/>
        <v>122.78548923179696</v>
      </c>
      <c r="D163" s="4">
        <f t="shared" ca="1" si="1"/>
        <v>143.07466724700066</v>
      </c>
      <c r="E163" s="4">
        <f t="shared" ca="1" si="1"/>
        <v>161.65198768620627</v>
      </c>
      <c r="F163" s="4">
        <f t="shared" ca="1" si="1"/>
        <v>178.01259244279731</v>
      </c>
      <c r="G163" s="4">
        <f t="shared" ca="1" si="1"/>
        <v>191.16684253526603</v>
      </c>
      <c r="H163" s="4">
        <f t="shared" ca="1" si="1"/>
        <v>202.41666225316177</v>
      </c>
      <c r="I163" s="1">
        <f t="shared" ref="I163:K163" ca="1" si="6">I9+I20+I31+I42+I53+I64+I75+I86+I97+I108+I119+I130+I141+I152</f>
        <v>209.15981030897623</v>
      </c>
      <c r="J163" s="1">
        <f t="shared" ca="1" si="6"/>
        <v>217.19184976791837</v>
      </c>
      <c r="K163" s="1">
        <f t="shared" ca="1" si="6"/>
        <v>225.33051271529345</v>
      </c>
    </row>
    <row r="164" spans="1:20" x14ac:dyDescent="0.2">
      <c r="A164" t="str">
        <f t="shared" ca="1" si="0"/>
        <v>Motorcyclist</v>
      </c>
      <c r="B164" s="4">
        <f t="shared" ca="1" si="1"/>
        <v>249.6655534436</v>
      </c>
      <c r="C164" s="4">
        <f t="shared" ca="1" si="1"/>
        <v>278.38892286153515</v>
      </c>
      <c r="D164" s="4">
        <f t="shared" ca="1" si="1"/>
        <v>298.26591698342344</v>
      </c>
      <c r="E164" s="4">
        <f t="shared" ca="1" si="1"/>
        <v>309.31745080464196</v>
      </c>
      <c r="F164" s="4">
        <f t="shared" ca="1" si="1"/>
        <v>313.53624240733245</v>
      </c>
      <c r="G164" s="4">
        <f t="shared" ca="1" si="1"/>
        <v>310.54144481864836</v>
      </c>
      <c r="H164" s="4">
        <f t="shared" ca="1" si="1"/>
        <v>304.14124343117396</v>
      </c>
      <c r="I164" s="1">
        <f t="shared" ref="I164:K164" ca="1" si="7">I10+I21+I32+I43+I54+I65+I76+I87+I98+I109+I120+I131+I142+I153</f>
        <v>314.05745791429877</v>
      </c>
      <c r="J164" s="1">
        <f t="shared" ca="1" si="7"/>
        <v>326.13642257490056</v>
      </c>
      <c r="K164" s="1">
        <f t="shared" ca="1" si="7"/>
        <v>338.43360210389898</v>
      </c>
    </row>
    <row r="165" spans="1:20" x14ac:dyDescent="0.2">
      <c r="A165" t="str">
        <f t="shared" ca="1" si="0"/>
        <v>Local Train</v>
      </c>
      <c r="B165" s="4">
        <f t="shared" ref="B165:H165" ca="1" si="8">B22+B99</f>
        <v>377.40696634</v>
      </c>
      <c r="C165" s="4">
        <f t="shared" ca="1" si="8"/>
        <v>401.21086937999996</v>
      </c>
      <c r="D165" s="4">
        <f t="shared" ca="1" si="8"/>
        <v>419.64054167</v>
      </c>
      <c r="E165" s="4">
        <f t="shared" ca="1" si="8"/>
        <v>426.16377483999997</v>
      </c>
      <c r="F165" s="4">
        <f t="shared" ca="1" si="8"/>
        <v>425.08190325999999</v>
      </c>
      <c r="G165" s="4">
        <f t="shared" ca="1" si="8"/>
        <v>422.41462328</v>
      </c>
      <c r="H165" s="4">
        <f t="shared" ca="1" si="8"/>
        <v>417.16698845999997</v>
      </c>
      <c r="I165" s="1">
        <f t="shared" ref="I165:K165" ca="1" si="9">I22+I99</f>
        <v>428.19308005600487</v>
      </c>
      <c r="J165" s="1">
        <f t="shared" ca="1" si="9"/>
        <v>440.99812945619817</v>
      </c>
      <c r="K165" s="1">
        <f t="shared" ca="1" si="9"/>
        <v>453.75728916394837</v>
      </c>
    </row>
    <row r="166" spans="1:20" x14ac:dyDescent="0.2">
      <c r="A166" t="s">
        <v>16</v>
      </c>
      <c r="B166" s="4">
        <f t="shared" ref="B166:H166" ca="1" si="10">B12+B34+B45+B56+B67+B78+B89+B111+B122+B144+B155</f>
        <v>333.23856347439994</v>
      </c>
      <c r="C166" s="4">
        <f t="shared" ca="1" si="10"/>
        <v>311.26735030320697</v>
      </c>
      <c r="D166" s="4">
        <f t="shared" ca="1" si="10"/>
        <v>314.07470762949822</v>
      </c>
      <c r="E166" s="4">
        <f t="shared" ca="1" si="10"/>
        <v>310.22713891731587</v>
      </c>
      <c r="F166" s="4">
        <f t="shared" ca="1" si="10"/>
        <v>303.59618168447599</v>
      </c>
      <c r="G166" s="4">
        <f t="shared" ca="1" si="10"/>
        <v>300.58679818141786</v>
      </c>
      <c r="H166" s="4">
        <f t="shared" ca="1" si="10"/>
        <v>297.50569937562528</v>
      </c>
      <c r="I166" s="1">
        <f t="shared" ref="I166:K166" ca="1" si="11">I12+I34+I45+I56+I67+I78+I89+I111+I122+I144+I155</f>
        <v>304.05877821794519</v>
      </c>
      <c r="J166" s="1">
        <f t="shared" ca="1" si="11"/>
        <v>311.96850079995534</v>
      </c>
      <c r="K166" s="1">
        <f t="shared" ca="1" si="11"/>
        <v>319.89077476384261</v>
      </c>
    </row>
    <row r="167" spans="1:20" x14ac:dyDescent="0.2">
      <c r="A167" t="str">
        <f ca="1">A13</f>
        <v>Local Ferry</v>
      </c>
      <c r="B167" s="4">
        <f t="shared" ref="B167:H168" ca="1" si="12">B13+B24+B35+B46+B57+B68+B79+B90+B101+B112+B123+B134+B145+B156</f>
        <v>0</v>
      </c>
      <c r="C167" s="4">
        <f t="shared" ca="1" si="12"/>
        <v>0</v>
      </c>
      <c r="D167" s="4">
        <f t="shared" ca="1" si="12"/>
        <v>0</v>
      </c>
      <c r="E167" s="4">
        <f t="shared" ca="1" si="12"/>
        <v>0</v>
      </c>
      <c r="F167" s="4">
        <f t="shared" ca="1" si="12"/>
        <v>0</v>
      </c>
      <c r="G167" s="4">
        <f t="shared" ca="1" si="12"/>
        <v>0</v>
      </c>
      <c r="H167" s="4">
        <f t="shared" ca="1" si="12"/>
        <v>0</v>
      </c>
      <c r="I167" s="1">
        <f t="shared" ref="I167:K167" ca="1" si="13">I13+I24+I35+I46+I57+I68+I79+I90+I101+I112+I123+I134+I145+I156</f>
        <v>0</v>
      </c>
      <c r="J167" s="1">
        <f t="shared" ca="1" si="13"/>
        <v>0</v>
      </c>
      <c r="K167" s="1">
        <f t="shared" ca="1" si="13"/>
        <v>0</v>
      </c>
    </row>
    <row r="168" spans="1:20" x14ac:dyDescent="0.2">
      <c r="A168" t="str">
        <f ca="1">A14</f>
        <v>Other Household Travel</v>
      </c>
      <c r="B168" s="4">
        <f t="shared" ca="1" si="12"/>
        <v>1.8241938706</v>
      </c>
      <c r="C168" s="4">
        <f t="shared" ca="1" si="12"/>
        <v>1.9708141833533039</v>
      </c>
      <c r="D168" s="4">
        <f t="shared" ca="1" si="12"/>
        <v>1.6075159368668741</v>
      </c>
      <c r="E168" s="4">
        <f t="shared" ca="1" si="12"/>
        <v>1.8649035848636351</v>
      </c>
      <c r="F168" s="4">
        <f t="shared" ca="1" si="12"/>
        <v>1.9784723225676921</v>
      </c>
      <c r="G168" s="4">
        <f t="shared" ca="1" si="12"/>
        <v>1.9517071636914549</v>
      </c>
      <c r="H168" s="4">
        <f t="shared" ca="1" si="12"/>
        <v>1.8786683196162761</v>
      </c>
      <c r="I168" s="1">
        <f t="shared" ref="I168:K168" ca="1" si="14">I14+I25+I36+I47+I58+I69+I80+I91+I102+I113+I124+I135+I146+I157</f>
        <v>1.978817332490439</v>
      </c>
      <c r="J168" s="1">
        <f t="shared" ca="1" si="14"/>
        <v>2.1059498828636785</v>
      </c>
      <c r="K168" s="1">
        <f t="shared" ca="1" si="14"/>
        <v>2.2381152520295196</v>
      </c>
    </row>
    <row r="169" spans="1:20" x14ac:dyDescent="0.2">
      <c r="A169" s="59" t="s">
        <v>112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113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15">A16</f>
        <v>Pedestrian</v>
      </c>
      <c r="B170" s="60">
        <f ca="1">B181*1000000/'Original Population'!B$158</f>
        <v>181.78604788483881</v>
      </c>
      <c r="C170" s="60">
        <f ca="1">(C181*1000000/'Original Population'!C$158)</f>
        <v>176.97548882205498</v>
      </c>
      <c r="D170" s="60">
        <f ca="1">(D181*1000000/'Original Population'!D$158)</f>
        <v>170.41779140775276</v>
      </c>
      <c r="E170" s="60">
        <f ca="1">(E181*1000000/'Original Population'!E$158)</f>
        <v>162.84609568329515</v>
      </c>
      <c r="F170" s="60">
        <f ca="1">(F181*1000000/'Original Population'!F$158)</f>
        <v>155.29719012513644</v>
      </c>
      <c r="G170" s="60">
        <f ca="1">(G181*1000000/'Original Population'!G$158)</f>
        <v>149.00286748632831</v>
      </c>
      <c r="H170" s="60">
        <f ca="1">(H181*1000000/'Original Population'!H$158)</f>
        <v>142.73985726381537</v>
      </c>
      <c r="I170" s="60">
        <f ca="1">H170</f>
        <v>142.73985726381537</v>
      </c>
      <c r="J170" s="60">
        <f t="shared" ref="J170:K170" ca="1" si="16">I170</f>
        <v>142.73985726381537</v>
      </c>
      <c r="K170" s="60">
        <f t="shared" ca="1" si="16"/>
        <v>142.73985726381537</v>
      </c>
      <c r="L170" s="60"/>
      <c r="M170" s="60">
        <f ca="1">B159*'Total Distance Tables Sup #2'!B159*1000000/'Updated Population'!B$158</f>
        <v>181.78604788483881</v>
      </c>
      <c r="N170" s="60">
        <f ca="1">C159*'Total Distance Tables Sup #2'!C159*1000000/'Updated Population'!C$158</f>
        <v>176.97548882205498</v>
      </c>
      <c r="O170" s="60">
        <f ca="1">D159*'Total Distance Tables Sup #2'!D159*1000000/'Updated Population'!D$158</f>
        <v>170.41779140775276</v>
      </c>
      <c r="P170" s="60">
        <f ca="1">E159*'Total Distance Tables Sup #2'!E159*1000000/'Updated Population'!E$158</f>
        <v>162.84609568329515</v>
      </c>
      <c r="Q170" s="60">
        <f ca="1">F159*'Total Distance Tables Sup #2'!F159*1000000/'Updated Population'!F$158</f>
        <v>155.29719012513641</v>
      </c>
      <c r="R170" s="60">
        <f ca="1">G159*'Total Distance Tables Sup #2'!G159*1000000/'Updated Population'!G$158</f>
        <v>149.00286748632834</v>
      </c>
      <c r="S170" s="60">
        <f ca="1">H159*'Total Distance Tables Sup #2'!H159*1000000/'Updated Population'!H$158</f>
        <v>142.7398572638154</v>
      </c>
      <c r="T170" s="59"/>
    </row>
    <row r="171" spans="1:20" x14ac:dyDescent="0.2">
      <c r="A171" s="59" t="str">
        <f t="shared" ca="1" si="15"/>
        <v>Cyclist</v>
      </c>
      <c r="B171" s="60">
        <f ca="1">B182*1000000/'Original Population'!B$158</f>
        <v>70.375203004773056</v>
      </c>
      <c r="C171" s="60">
        <f ca="1">(C182*1000000/'Original Population'!C$158)</f>
        <v>69.217101855544158</v>
      </c>
      <c r="D171" s="60">
        <f ca="1">(D182*1000000/'Original Population'!D$158)</f>
        <v>69.568306587565473</v>
      </c>
      <c r="E171" s="60">
        <f ca="1">(E182*1000000/'Original Population'!E$158)</f>
        <v>67.265629484562439</v>
      </c>
      <c r="F171" s="60">
        <f ca="1">(F182*1000000/'Original Population'!F$158)</f>
        <v>66.2509806522377</v>
      </c>
      <c r="G171" s="60">
        <f ca="1">(G182*1000000/'Original Population'!G$158)</f>
        <v>66.562538524417377</v>
      </c>
      <c r="H171" s="60">
        <f ca="1">(H182*1000000/'Original Population'!H$158)</f>
        <v>66.853396511270319</v>
      </c>
      <c r="I171" s="60">
        <f t="shared" ref="I171:K179" ca="1" si="17">H171</f>
        <v>66.853396511270319</v>
      </c>
      <c r="J171" s="60">
        <f t="shared" ca="1" si="17"/>
        <v>66.853396511270319</v>
      </c>
      <c r="K171" s="60">
        <f t="shared" ca="1" si="17"/>
        <v>66.853396511270319</v>
      </c>
      <c r="L171" s="60"/>
      <c r="M171" s="60">
        <f ca="1">B160*'Total Distance Tables Sup #2'!B160*1000000/'Updated Population'!B$158</f>
        <v>70.375203004773056</v>
      </c>
      <c r="N171" s="60">
        <f ca="1">C160*'Total Distance Tables Sup #2'!C160*1000000/'Updated Population'!C$158</f>
        <v>69.217101855544158</v>
      </c>
      <c r="O171" s="60">
        <f ca="1">D160*'Total Distance Tables Sup #2'!D160*1000000/'Updated Population'!D$158</f>
        <v>69.568306587565488</v>
      </c>
      <c r="P171" s="60">
        <f ca="1">E160*'Total Distance Tables Sup #2'!E160*1000000/'Updated Population'!E$158</f>
        <v>67.265629484562439</v>
      </c>
      <c r="Q171" s="60">
        <f ca="1">F160*'Total Distance Tables Sup #2'!F160*1000000/'Updated Population'!F$158</f>
        <v>66.250980652237715</v>
      </c>
      <c r="R171" s="60">
        <f ca="1">G160*'Total Distance Tables Sup #2'!G160*1000000/'Updated Population'!G$158</f>
        <v>66.562538524417377</v>
      </c>
      <c r="S171" s="60">
        <f ca="1">H160*'Total Distance Tables Sup #2'!H160*1000000/'Updated Population'!H$158</f>
        <v>66.853396511270319</v>
      </c>
      <c r="T171" s="59"/>
    </row>
    <row r="172" spans="1:20" x14ac:dyDescent="0.2">
      <c r="A172" s="59" t="str">
        <f t="shared" ca="1" si="15"/>
        <v>Light Vehicle Driver</v>
      </c>
      <c r="B172" s="60">
        <f ca="1">B183*1000000/'Original Population'!B$158</f>
        <v>6838.460924662284</v>
      </c>
      <c r="C172" s="60">
        <f ca="1">C183*1000000/'Original Population'!C$158</f>
        <v>6939.8249954754083</v>
      </c>
      <c r="D172" s="60">
        <f ca="1">D183*1000000/'Original Population'!D$158</f>
        <v>6897.2525080423757</v>
      </c>
      <c r="E172" s="60">
        <f ca="1">E183*1000000/'Original Population'!E$158</f>
        <v>6899.876568908654</v>
      </c>
      <c r="F172" s="60">
        <f ca="1">F183*1000000/'Original Population'!F$158</f>
        <v>6865.2303812966366</v>
      </c>
      <c r="G172" s="60">
        <f ca="1">G183*1000000/'Original Population'!G$158</f>
        <v>6789.4327763577558</v>
      </c>
      <c r="H172" s="60">
        <f ca="1">H183*1000000/'Original Population'!H$158</f>
        <v>6684.1141031966699</v>
      </c>
      <c r="I172" s="60">
        <f t="shared" ca="1" si="17"/>
        <v>6684.1141031966699</v>
      </c>
      <c r="J172" s="60">
        <f t="shared" ca="1" si="17"/>
        <v>6684.1141031966699</v>
      </c>
      <c r="K172" s="60">
        <f t="shared" ca="1" si="17"/>
        <v>6684.1141031966699</v>
      </c>
      <c r="L172" s="60"/>
      <c r="M172" s="60">
        <f ca="1">B161*'Total Distance Tables Sup #2'!B161*1000000/'Updated Population'!B$158</f>
        <v>6838.460924662284</v>
      </c>
      <c r="N172" s="60">
        <f ca="1">C161*'Total Distance Tables Sup #2'!C161*1000000/'Updated Population'!C$158</f>
        <v>6939.8249954754083</v>
      </c>
      <c r="O172" s="60">
        <f ca="1">D161*'Total Distance Tables Sup #2'!D161*1000000/'Updated Population'!D$158</f>
        <v>6897.2525080423748</v>
      </c>
      <c r="P172" s="60">
        <f ca="1">E161*'Total Distance Tables Sup #2'!E161*1000000/'Updated Population'!E$158</f>
        <v>6899.8765689086531</v>
      </c>
      <c r="Q172" s="60">
        <f ca="1">F161*'Total Distance Tables Sup #2'!F161*1000000/'Updated Population'!F$158</f>
        <v>6865.2303812966375</v>
      </c>
      <c r="R172" s="60">
        <f ca="1">G161*'Total Distance Tables Sup #2'!G161*1000000/'Updated Population'!G$158</f>
        <v>6789.4327763577548</v>
      </c>
      <c r="S172" s="60">
        <f ca="1">H161*'Total Distance Tables Sup #2'!H161*1000000/'Updated Population'!H$158</f>
        <v>6684.114103196669</v>
      </c>
      <c r="T172" s="59"/>
    </row>
    <row r="173" spans="1:20" x14ac:dyDescent="0.2">
      <c r="A173" s="59" t="str">
        <f t="shared" ca="1" si="15"/>
        <v>Light Vehicle Passenger</v>
      </c>
      <c r="B173" s="60">
        <f ca="1">B184*1000000/'Original Population'!B$158</f>
        <v>3850.9374836275215</v>
      </c>
      <c r="C173" s="60">
        <f ca="1">C184*1000000/'Original Population'!C$158</f>
        <v>3734.6116866630332</v>
      </c>
      <c r="D173" s="60">
        <f ca="1">D184*1000000/'Original Population'!D$158</f>
        <v>3668.8366436398987</v>
      </c>
      <c r="E173" s="60">
        <f ca="1">E184*1000000/'Original Population'!E$158</f>
        <v>3618.1290440205335</v>
      </c>
      <c r="F173" s="60">
        <f ca="1">F184*1000000/'Original Population'!F$158</f>
        <v>3554.3634857040602</v>
      </c>
      <c r="G173" s="60">
        <f ca="1">G184*1000000/'Original Population'!G$158</f>
        <v>3490.8329358132842</v>
      </c>
      <c r="H173" s="60">
        <f ca="1">H184*1000000/'Original Population'!H$158</f>
        <v>3418.5567104424517</v>
      </c>
      <c r="I173" s="60">
        <f t="shared" ca="1" si="17"/>
        <v>3418.5567104424517</v>
      </c>
      <c r="J173" s="60">
        <f t="shared" ca="1" si="17"/>
        <v>3418.5567104424517</v>
      </c>
      <c r="K173" s="60">
        <f t="shared" ca="1" si="17"/>
        <v>3418.5567104424517</v>
      </c>
      <c r="L173" s="60"/>
      <c r="M173" s="60">
        <f ca="1">B162*'Total Distance Tables Sup #2'!B162*1000000/'Updated Population'!B$158</f>
        <v>3850.9374836275215</v>
      </c>
      <c r="N173" s="60">
        <f ca="1">C162*'Total Distance Tables Sup #2'!C162*1000000/'Updated Population'!C$158</f>
        <v>3734.6116866630332</v>
      </c>
      <c r="O173" s="60">
        <f ca="1">D162*'Total Distance Tables Sup #2'!D162*1000000/'Updated Population'!D$158</f>
        <v>3668.8366436398983</v>
      </c>
      <c r="P173" s="60">
        <f ca="1">E162*'Total Distance Tables Sup #2'!E162*1000000/'Updated Population'!E$158</f>
        <v>3618.1290440205325</v>
      </c>
      <c r="Q173" s="60">
        <f ca="1">F162*'Total Distance Tables Sup #2'!F162*1000000/'Updated Population'!F$158</f>
        <v>3554.3634857040606</v>
      </c>
      <c r="R173" s="60">
        <f ca="1">G162*'Total Distance Tables Sup #2'!G162*1000000/'Updated Population'!G$158</f>
        <v>3490.8329358132842</v>
      </c>
      <c r="S173" s="60">
        <f ca="1">H162*'Total Distance Tables Sup #2'!H162*1000000/'Updated Population'!H$158</f>
        <v>3418.5567104424513</v>
      </c>
      <c r="T173" s="59"/>
    </row>
    <row r="174" spans="1:20" x14ac:dyDescent="0.2">
      <c r="A174" s="59" t="str">
        <f t="shared" ca="1" si="15"/>
        <v>Taxi/Vehicle Share</v>
      </c>
      <c r="B174" s="60">
        <f ca="1">B185*1000000/'Original Population'!B$158</f>
        <v>23.110870190989733</v>
      </c>
      <c r="C174" s="60">
        <f ca="1">C185*1000000/'Original Population'!C$158</f>
        <v>24.798324994111116</v>
      </c>
      <c r="D174" s="60">
        <f ca="1">D185*1000000/'Original Population'!D$158</f>
        <v>26.782828062827331</v>
      </c>
      <c r="E174" s="60">
        <f ca="1">E185*1000000/'Original Population'!E$158</f>
        <v>28.449334897108042</v>
      </c>
      <c r="F174" s="60">
        <f ca="1">F185*1000000/'Original Population'!F$158</f>
        <v>29.643668421380383</v>
      </c>
      <c r="G174" s="60">
        <f ca="1">G185*1000000/'Original Population'!G$158</f>
        <v>30.315496939307344</v>
      </c>
      <c r="H174" s="60">
        <f ca="1">H185*1000000/'Original Population'!H$158</f>
        <v>30.708010989590328</v>
      </c>
      <c r="I174" s="60">
        <f t="shared" ca="1" si="17"/>
        <v>30.708010989590328</v>
      </c>
      <c r="J174" s="60">
        <f t="shared" ca="1" si="17"/>
        <v>30.708010989590328</v>
      </c>
      <c r="K174" s="60">
        <f t="shared" ca="1" si="17"/>
        <v>30.708010989590328</v>
      </c>
      <c r="L174" s="60"/>
      <c r="M174" s="60">
        <f ca="1">B163*'Total Distance Tables Sup #2'!B163*1000000/'Updated Population'!B$158</f>
        <v>23.110870190989733</v>
      </c>
      <c r="N174" s="60">
        <f ca="1">C163*'Total Distance Tables Sup #2'!C163*1000000/'Updated Population'!C$158</f>
        <v>24.798324994111113</v>
      </c>
      <c r="O174" s="60">
        <f ca="1">D163*'Total Distance Tables Sup #2'!D163*1000000/'Updated Population'!D$158</f>
        <v>26.782828062827331</v>
      </c>
      <c r="P174" s="60">
        <f ca="1">E163*'Total Distance Tables Sup #2'!E163*1000000/'Updated Population'!E$158</f>
        <v>28.449334897108034</v>
      </c>
      <c r="Q174" s="60">
        <f ca="1">F163*'Total Distance Tables Sup #2'!F163*1000000/'Updated Population'!F$158</f>
        <v>29.643668421380386</v>
      </c>
      <c r="R174" s="60">
        <f ca="1">G163*'Total Distance Tables Sup #2'!G163*1000000/'Updated Population'!G$158</f>
        <v>30.315496939307341</v>
      </c>
      <c r="S174" s="60">
        <f ca="1">H163*'Total Distance Tables Sup #2'!H163*1000000/'Updated Population'!H$158</f>
        <v>30.708010989590324</v>
      </c>
      <c r="T174" s="59"/>
    </row>
    <row r="175" spans="1:20" x14ac:dyDescent="0.2">
      <c r="A175" s="59" t="str">
        <f t="shared" ca="1" si="15"/>
        <v>Motorcyclist</v>
      </c>
      <c r="B175" s="60">
        <f ca="1">B186*1000000/'Original Population'!B$158</f>
        <v>56.210724388418591</v>
      </c>
      <c r="C175" s="60">
        <f ca="1">C186*1000000/'Original Population'!C$158</f>
        <v>56.329494119307583</v>
      </c>
      <c r="D175" s="60">
        <f ca="1">D186*1000000/'Original Population'!D$158</f>
        <v>55.976263073559764</v>
      </c>
      <c r="E175" s="60">
        <f ca="1">E186*1000000/'Original Population'!E$158</f>
        <v>54.559304917171211</v>
      </c>
      <c r="F175" s="60">
        <f ca="1">F186*1000000/'Original Population'!F$158</f>
        <v>52.321947387989191</v>
      </c>
      <c r="G175" s="60">
        <f ca="1">G186*1000000/'Original Population'!G$158</f>
        <v>49.349418076913864</v>
      </c>
      <c r="H175" s="60">
        <f ca="1">H186*1000000/'Original Population'!H$158</f>
        <v>46.240789482156039</v>
      </c>
      <c r="I175" s="60">
        <f t="shared" ca="1" si="17"/>
        <v>46.240789482156039</v>
      </c>
      <c r="J175" s="60">
        <f t="shared" ca="1" si="17"/>
        <v>46.240789482156039</v>
      </c>
      <c r="K175" s="60">
        <f t="shared" ca="1" si="17"/>
        <v>46.240789482156039</v>
      </c>
      <c r="L175" s="60"/>
      <c r="M175" s="60">
        <f ca="1">B164*'Total Distance Tables Sup #2'!B164*1000000/'Updated Population'!B$158</f>
        <v>56.210724388418591</v>
      </c>
      <c r="N175" s="60">
        <f ca="1">C164*'Total Distance Tables Sup #2'!C164*1000000/'Updated Population'!C$158</f>
        <v>56.32949411930759</v>
      </c>
      <c r="O175" s="60">
        <f ca="1">D164*'Total Distance Tables Sup #2'!D164*1000000/'Updated Population'!D$158</f>
        <v>55.976263073559771</v>
      </c>
      <c r="P175" s="60">
        <f ca="1">E164*'Total Distance Tables Sup #2'!E164*1000000/'Updated Population'!E$158</f>
        <v>54.559304917171211</v>
      </c>
      <c r="Q175" s="60">
        <f ca="1">F164*'Total Distance Tables Sup #2'!F164*1000000/'Updated Population'!F$158</f>
        <v>52.321947387989191</v>
      </c>
      <c r="R175" s="60">
        <f ca="1">G164*'Total Distance Tables Sup #2'!G164*1000000/'Updated Population'!G$158</f>
        <v>49.349418076913871</v>
      </c>
      <c r="S175" s="60">
        <f ca="1">H164*'Total Distance Tables Sup #2'!H164*1000000/'Updated Population'!H$158</f>
        <v>46.240789482156039</v>
      </c>
      <c r="T175" s="59"/>
    </row>
    <row r="176" spans="1:20" x14ac:dyDescent="0.2">
      <c r="A176" s="59" t="str">
        <f t="shared" ca="1" si="15"/>
        <v>Local Train</v>
      </c>
      <c r="B176" s="60">
        <f ca="1">B187*1000000/'Original Population'!B$158</f>
        <v>84.970948833753596</v>
      </c>
      <c r="C176" s="60">
        <f ca="1">C187*1000000/'Original Population'!C$158</f>
        <v>84.081327279585878</v>
      </c>
      <c r="D176" s="60">
        <f ca="1">D187*1000000/'Original Population'!D$158</f>
        <v>83.248798141168081</v>
      </c>
      <c r="E176" s="60">
        <f ca="1">E187*1000000/'Original Population'!E$158</f>
        <v>80.133085412357559</v>
      </c>
      <c r="F176" s="60">
        <f ca="1">F187*1000000/'Original Population'!F$158</f>
        <v>76.066407182864197</v>
      </c>
      <c r="G176" s="60">
        <f ca="1">G187*1000000/'Original Population'!G$158</f>
        <v>72.279289428835426</v>
      </c>
      <c r="H176" s="60">
        <f ca="1">H187*1000000/'Original Population'!H$158</f>
        <v>68.386909798200023</v>
      </c>
      <c r="I176" s="60">
        <f t="shared" ca="1" si="17"/>
        <v>68.386909798200023</v>
      </c>
      <c r="J176" s="60">
        <f t="shared" ca="1" si="17"/>
        <v>68.386909798200023</v>
      </c>
      <c r="K176" s="60">
        <f t="shared" ca="1" si="17"/>
        <v>68.386909798200023</v>
      </c>
      <c r="L176" s="60"/>
      <c r="M176" s="60">
        <f ca="1">B165*'Total Distance Tables Sup #2'!B165*1000000/'Updated Population'!B$158</f>
        <v>84.970948833753596</v>
      </c>
      <c r="N176" s="60">
        <f ca="1">C165*'Total Distance Tables Sup #2'!C165*1000000/'Updated Population'!C$158</f>
        <v>84.081327279585892</v>
      </c>
      <c r="O176" s="60">
        <f ca="1">D165*'Total Distance Tables Sup #2'!D165*1000000/'Updated Population'!D$158</f>
        <v>83.248798141168081</v>
      </c>
      <c r="P176" s="60">
        <f ca="1">E165*'Total Distance Tables Sup #2'!E165*1000000/'Updated Population'!E$158</f>
        <v>80.133085412357545</v>
      </c>
      <c r="Q176" s="60">
        <f ca="1">F165*'Total Distance Tables Sup #2'!F165*1000000/'Updated Population'!F$158</f>
        <v>76.066407182864182</v>
      </c>
      <c r="R176" s="60">
        <f ca="1">G165*'Total Distance Tables Sup #2'!G165*1000000/'Updated Population'!G$158</f>
        <v>72.279289428835426</v>
      </c>
      <c r="S176" s="60">
        <f ca="1">H165*'Total Distance Tables Sup #2'!H165*1000000/'Updated Population'!H$158</f>
        <v>68.386909798200008</v>
      </c>
      <c r="T176" s="59"/>
    </row>
    <row r="177" spans="1:20" x14ac:dyDescent="0.2">
      <c r="A177" s="59" t="s">
        <v>16</v>
      </c>
      <c r="B177" s="60">
        <f ca="1">B188*1000000/'Original Population'!B$169</f>
        <v>175.4995594451232</v>
      </c>
      <c r="C177" s="60">
        <f ca="1">C188*1000000/'Original Population'!C$169</f>
        <v>150.50759694852832</v>
      </c>
      <c r="D177" s="60">
        <f ca="1">D188*1000000/'Original Population'!D$169</f>
        <v>143.26329640034933</v>
      </c>
      <c r="E177" s="60">
        <f ca="1">E188*1000000/'Original Population'!E$169</f>
        <v>134.90743521591637</v>
      </c>
      <c r="F177" s="60">
        <f ca="1">F188*1000000/'Original Population'!F$169</f>
        <v>126.65656859525765</v>
      </c>
      <c r="G177" s="60">
        <f ca="1">G188*1000000/'Original Population'!G$169</f>
        <v>121.02950503871429</v>
      </c>
      <c r="H177" s="60">
        <f ca="1">H188*1000000/'Original Population'!H$169</f>
        <v>116.08845781115139</v>
      </c>
      <c r="I177" s="60">
        <f t="shared" ca="1" si="17"/>
        <v>116.08845781115139</v>
      </c>
      <c r="J177" s="60">
        <f t="shared" ca="1" si="17"/>
        <v>116.08845781115139</v>
      </c>
      <c r="K177" s="60">
        <f t="shared" ca="1" si="17"/>
        <v>116.08845781115139</v>
      </c>
      <c r="L177" s="60"/>
      <c r="M177" s="60">
        <f ca="1">B166*'Total Distance Tables Sup #2'!B166*1000000/'Updated Population'!B$169</f>
        <v>175.4995594451232</v>
      </c>
      <c r="N177" s="60">
        <f ca="1">C166*'Total Distance Tables Sup #2'!C166*1000000/'Updated Population'!C$169</f>
        <v>150.50759694852832</v>
      </c>
      <c r="O177" s="60">
        <f ca="1">D166*'Total Distance Tables Sup #2'!D166*1000000/'Updated Population'!D$169</f>
        <v>143.2632964003493</v>
      </c>
      <c r="P177" s="60">
        <f ca="1">E166*'Total Distance Tables Sup #2'!E166*1000000/'Updated Population'!E$169</f>
        <v>134.90743521591639</v>
      </c>
      <c r="Q177" s="60">
        <f ca="1">F166*'Total Distance Tables Sup #2'!F166*1000000/'Updated Population'!F$169</f>
        <v>126.65656859525765</v>
      </c>
      <c r="R177" s="60">
        <f ca="1">G166*'Total Distance Tables Sup #2'!G166*1000000/'Updated Population'!G$169</f>
        <v>121.02950503871428</v>
      </c>
      <c r="S177" s="60">
        <f ca="1">H166*'Total Distance Tables Sup #2'!H166*1000000/'Updated Population'!H$169</f>
        <v>116.08845781115139</v>
      </c>
      <c r="T177" s="59"/>
    </row>
    <row r="178" spans="1:20" x14ac:dyDescent="0.2">
      <c r="A178" s="59" t="str">
        <f t="shared" ca="1" si="15"/>
        <v>Local Ferry</v>
      </c>
      <c r="B178" s="60">
        <f ca="1">IF(B189=0,1,B189*1000000/'Original Population'!B$158)</f>
        <v>1</v>
      </c>
      <c r="C178" s="60">
        <f ca="1">C189*1000000/'Original Population'!C$158</f>
        <v>0</v>
      </c>
      <c r="D178" s="60">
        <f ca="1">D189*1000000/'Original Population'!D$158</f>
        <v>0</v>
      </c>
      <c r="E178" s="60">
        <f ca="1">E189*1000000/'Original Population'!E$158</f>
        <v>0</v>
      </c>
      <c r="F178" s="60">
        <f ca="1">F189*1000000/'Original Population'!F$158</f>
        <v>0</v>
      </c>
      <c r="G178" s="60">
        <f ca="1">G189*1000000/'Original Population'!G$158</f>
        <v>0</v>
      </c>
      <c r="H178" s="60">
        <f ca="1">H189*1000000/'Original Population'!H$158</f>
        <v>0</v>
      </c>
      <c r="I178" s="60">
        <f t="shared" ca="1" si="17"/>
        <v>0</v>
      </c>
      <c r="J178" s="60">
        <f t="shared" ca="1" si="17"/>
        <v>0</v>
      </c>
      <c r="K178" s="60">
        <f t="shared" ca="1" si="17"/>
        <v>0</v>
      </c>
      <c r="L178" s="60"/>
      <c r="M178" s="60">
        <f ca="1">B167*'Total Distance Tables Sup #2'!B167*1000000/'Updated Population'!B$158</f>
        <v>0</v>
      </c>
      <c r="N178" s="60">
        <f ca="1">C167*'Total Distance Tables Sup #2'!C167*1000000/'Updated Population'!C$158</f>
        <v>0</v>
      </c>
      <c r="O178" s="60">
        <f ca="1">D167*'Total Distance Tables Sup #2'!D167*1000000/'Updated Population'!D$158</f>
        <v>0</v>
      </c>
      <c r="P178" s="60">
        <f ca="1">E167*'Total Distance Tables Sup #2'!E167*1000000/'Updated Population'!E$158</f>
        <v>0</v>
      </c>
      <c r="Q178" s="60">
        <f ca="1">F167*'Total Distance Tables Sup #2'!F167*1000000/'Updated Population'!F$158</f>
        <v>0</v>
      </c>
      <c r="R178" s="60">
        <f ca="1">G167*'Total Distance Tables Sup #2'!G167*1000000/'Updated Population'!G$158</f>
        <v>0</v>
      </c>
      <c r="S178" s="60">
        <f ca="1">H167*'Total Distance Tables Sup #2'!H167*1000000/'Updated Population'!H$158</f>
        <v>0</v>
      </c>
      <c r="T178" s="59"/>
    </row>
    <row r="179" spans="1:20" x14ac:dyDescent="0.2">
      <c r="A179" s="59" t="str">
        <f t="shared" ca="1" si="15"/>
        <v>Other Household Travel</v>
      </c>
      <c r="B179" s="60">
        <f ca="1">B190*1000000/'Original Population'!B$158</f>
        <v>0.41070647302773777</v>
      </c>
      <c r="C179" s="60">
        <f ca="1">C190*1000000/'Original Population'!C$158</f>
        <v>0.37809472318041787</v>
      </c>
      <c r="D179" s="60">
        <f ca="1">D190*1000000/'Original Population'!D$158</f>
        <v>0.27440145222980489</v>
      </c>
      <c r="E179" s="60">
        <f ca="1">E190*1000000/'Original Population'!E$158</f>
        <v>0.28892990989432515</v>
      </c>
      <c r="F179" s="60">
        <f ca="1">F190*1000000/'Original Population'!F$158</f>
        <v>0.28091760014673511</v>
      </c>
      <c r="G179" s="60">
        <f ca="1">G190*1000000/'Original Population'!G$158</f>
        <v>0.25626730479791932</v>
      </c>
      <c r="H179" s="60">
        <f ca="1">H190*1000000/'Original Population'!H$158</f>
        <v>0.22959734550253275</v>
      </c>
      <c r="I179" s="60">
        <f t="shared" ca="1" si="17"/>
        <v>0.22959734550253275</v>
      </c>
      <c r="J179" s="60">
        <f t="shared" ca="1" si="17"/>
        <v>0.22959734550253275</v>
      </c>
      <c r="K179" s="60">
        <f t="shared" ca="1" si="17"/>
        <v>0.22959734550253275</v>
      </c>
      <c r="L179" s="60"/>
      <c r="M179" s="60">
        <f ca="1">B168*'Total Distance Tables Sup #2'!B168*1000000/'Updated Population'!B$158</f>
        <v>0.41070647302773777</v>
      </c>
      <c r="N179" s="60">
        <f ca="1">C168*'Total Distance Tables Sup #2'!C168*1000000/'Updated Population'!C$158</f>
        <v>0.37809472318041787</v>
      </c>
      <c r="O179" s="60">
        <f ca="1">D168*'Total Distance Tables Sup #2'!D168*1000000/'Updated Population'!D$158</f>
        <v>0.27440145222980489</v>
      </c>
      <c r="P179" s="60">
        <f ca="1">E168*'Total Distance Tables Sup #2'!E168*1000000/'Updated Population'!E$158</f>
        <v>0.28892990989432515</v>
      </c>
      <c r="Q179" s="60">
        <f ca="1">F168*'Total Distance Tables Sup #2'!F168*1000000/'Updated Population'!F$158</f>
        <v>0.28091760014673511</v>
      </c>
      <c r="R179" s="60">
        <f ca="1">G168*'Total Distance Tables Sup #2'!G168*1000000/'Updated Population'!G$158</f>
        <v>0.25626730479791932</v>
      </c>
      <c r="S179" s="60">
        <f ca="1">H168*'Total Distance Tables Sup #2'!H168*1000000/'Updated Population'!H$158</f>
        <v>0.22959734550253275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18">A27</f>
        <v>Pedestrian</v>
      </c>
      <c r="B181" s="4">
        <f ca="1">'Total Distance Tables Original'!B159</f>
        <v>807.42091028530001</v>
      </c>
      <c r="C181" s="4">
        <f ca="1">'Total Distance Tables Original'!C159</f>
        <v>844.47394001219982</v>
      </c>
      <c r="D181" s="4">
        <f ca="1">'Total Distance Tables Original'!D159</f>
        <v>859.04200292819996</v>
      </c>
      <c r="E181" s="4">
        <f ca="1">'Total Distance Tables Original'!E159</f>
        <v>866.04810606290016</v>
      </c>
      <c r="F181" s="4">
        <f ca="1">'Total Distance Tables Original'!F159</f>
        <v>867.8472875763</v>
      </c>
      <c r="G181" s="4">
        <f ca="1">'Total Distance Tables Original'!G159</f>
        <v>870.8025581636</v>
      </c>
      <c r="H181" s="4">
        <f ca="1">'Total Distance Tables Original'!H159</f>
        <v>870.72740329500004</v>
      </c>
      <c r="I181" s="1">
        <f ca="1">'Total Distance Tables Original'!I159</f>
        <v>900.293868053658</v>
      </c>
      <c r="J181" s="1">
        <f ca="1">'Total Distance Tables Original'!J159</f>
        <v>935.77575468928649</v>
      </c>
      <c r="K181" s="1">
        <f ca="1">'Total Distance Tables Original'!K159</f>
        <v>971.80839348597419</v>
      </c>
    </row>
    <row r="182" spans="1:20" x14ac:dyDescent="0.2">
      <c r="A182" t="str">
        <f t="shared" ca="1" si="18"/>
        <v>Cyclist</v>
      </c>
      <c r="B182" s="4">
        <f ca="1">'Total Distance Tables Original'!B160</f>
        <v>312.57850166600002</v>
      </c>
      <c r="C182" s="4">
        <f ca="1">'Total Distance Tables Original'!C160</f>
        <v>330.28324492410002</v>
      </c>
      <c r="D182" s="4">
        <f ca="1">'Total Distance Tables Original'!D160</f>
        <v>350.6799198466</v>
      </c>
      <c r="E182" s="4">
        <f ca="1">'Total Distance Tables Original'!E160</f>
        <v>357.7320707248</v>
      </c>
      <c r="F182" s="4">
        <f ca="1">'Total Distance Tables Original'!F160</f>
        <v>370.23035517889997</v>
      </c>
      <c r="G182" s="4">
        <f ca="1">'Total Distance Tables Original'!G160</f>
        <v>389.00478764439998</v>
      </c>
      <c r="H182" s="4">
        <f ca="1">'Total Distance Tables Original'!H160</f>
        <v>407.81240405840003</v>
      </c>
      <c r="I182" s="1">
        <f ca="1">'Total Distance Tables Original'!I160</f>
        <v>418.82746351742355</v>
      </c>
      <c r="J182" s="1">
        <f ca="1">'Total Distance Tables Original'!J160</f>
        <v>431.24384804417315</v>
      </c>
      <c r="K182" s="1">
        <f ca="1">'Total Distance Tables Original'!K160</f>
        <v>443.55759640046142</v>
      </c>
    </row>
    <row r="183" spans="1:20" x14ac:dyDescent="0.2">
      <c r="A183" t="str">
        <f t="shared" ca="1" si="18"/>
        <v>Light Vehicle Driver</v>
      </c>
      <c r="B183" s="4">
        <f ca="1">'Total Distance Tables Original'!B161</f>
        <v>30373.708042980001</v>
      </c>
      <c r="C183" s="4">
        <f ca="1">'Total Distance Tables Original'!C161</f>
        <v>33114.762930910008</v>
      </c>
      <c r="D183" s="4">
        <f ca="1">'Total Distance Tables Original'!D161</f>
        <v>34767.670442540002</v>
      </c>
      <c r="E183" s="4">
        <f ca="1">'Total Distance Tables Original'!E161</f>
        <v>36694.923568770006</v>
      </c>
      <c r="F183" s="4">
        <f ca="1">'Total Distance Tables Original'!F161</f>
        <v>38364.966939799997</v>
      </c>
      <c r="G183" s="4">
        <f ca="1">'Total Distance Tables Original'!G161</f>
        <v>39678.803031589996</v>
      </c>
      <c r="H183" s="4">
        <f ca="1">'Total Distance Tables Original'!H161</f>
        <v>40773.764440910003</v>
      </c>
      <c r="I183" s="1">
        <f ca="1">'Total Distance Tables Original'!I161</f>
        <v>42191.255372336309</v>
      </c>
      <c r="J183" s="1">
        <f ca="1">'Total Distance Tables Original'!J161</f>
        <v>43907.335537545448</v>
      </c>
      <c r="K183" s="1">
        <f ca="1">'Total Distance Tables Original'!K161</f>
        <v>45655.394243532523</v>
      </c>
    </row>
    <row r="184" spans="1:20" x14ac:dyDescent="0.2">
      <c r="A184" t="str">
        <f t="shared" ca="1" si="18"/>
        <v>Light Vehicle Passenger</v>
      </c>
      <c r="B184" s="4">
        <f ca="1">'Total Distance Tables Original'!B162</f>
        <v>17104.323927279998</v>
      </c>
      <c r="C184" s="4">
        <f ca="1">'Total Distance Tables Original'!C162</f>
        <v>17820.446585249996</v>
      </c>
      <c r="D184" s="4">
        <f ca="1">'Total Distance Tables Original'!D162</f>
        <v>18493.871753259999</v>
      </c>
      <c r="E184" s="4">
        <f ca="1">'Total Distance Tables Original'!E162</f>
        <v>19241.933881910001</v>
      </c>
      <c r="F184" s="4">
        <f ca="1">'Total Distance Tables Original'!F162</f>
        <v>19862.849467159998</v>
      </c>
      <c r="G184" s="4">
        <f ca="1">'Total Distance Tables Original'!G162</f>
        <v>20401.125843479997</v>
      </c>
      <c r="H184" s="4">
        <f ca="1">'Total Distance Tables Original'!H162</f>
        <v>20853.537789369999</v>
      </c>
      <c r="I184" s="1">
        <f ca="1">'Total Distance Tables Original'!I162</f>
        <v>21582.842683623716</v>
      </c>
      <c r="J184" s="1">
        <f ca="1">'Total Distance Tables Original'!J162</f>
        <v>22466.921380586777</v>
      </c>
      <c r="K184" s="1">
        <f ca="1">'Total Distance Tables Original'!K162</f>
        <v>23367.896388521873</v>
      </c>
    </row>
    <row r="185" spans="1:20" x14ac:dyDescent="0.2">
      <c r="A185" t="str">
        <f t="shared" ca="1" si="18"/>
        <v>Taxi/Vehicle Share</v>
      </c>
      <c r="B185" s="4">
        <f ca="1">'Total Distance Tables Original'!B163</f>
        <v>102.6492410403</v>
      </c>
      <c r="C185" s="4">
        <f ca="1">'Total Distance Tables Original'!C163</f>
        <v>118.33016737440001</v>
      </c>
      <c r="D185" s="4">
        <f ca="1">'Total Distance Tables Original'!D163</f>
        <v>135.00687969909998</v>
      </c>
      <c r="E185" s="4">
        <f ca="1">'Total Distance Tables Original'!E163</f>
        <v>151.29925284979998</v>
      </c>
      <c r="F185" s="4">
        <f ca="1">'Total Distance Tables Original'!F163</f>
        <v>165.65771223920001</v>
      </c>
      <c r="G185" s="4">
        <f ca="1">'Total Distance Tables Original'!G163</f>
        <v>177.16982721269997</v>
      </c>
      <c r="H185" s="4">
        <f ca="1">'Total Distance Tables Original'!H163</f>
        <v>187.32193783759996</v>
      </c>
      <c r="I185" s="1">
        <f ca="1">'Total Distance Tables Original'!I163</f>
        <v>194.12681071008748</v>
      </c>
      <c r="J185" s="1">
        <f ca="1">'Total Distance Tables Original'!J163</f>
        <v>202.40078405986614</v>
      </c>
      <c r="K185" s="1">
        <f ca="1">'Total Distance Tables Original'!K163</f>
        <v>210.84854356604828</v>
      </c>
    </row>
    <row r="186" spans="1:20" x14ac:dyDescent="0.2">
      <c r="A186" t="str">
        <f t="shared" ca="1" si="18"/>
        <v>Motorcyclist</v>
      </c>
      <c r="B186" s="4">
        <f ca="1">'Total Distance Tables Original'!B164</f>
        <v>249.6655534436</v>
      </c>
      <c r="C186" s="4">
        <f ca="1">'Total Distance Tables Original'!C164</f>
        <v>268.7874470891</v>
      </c>
      <c r="D186" s="4">
        <f ca="1">'Total Distance Tables Original'!D164</f>
        <v>282.16514690119999</v>
      </c>
      <c r="E186" s="4">
        <f ca="1">'Total Distance Tables Original'!E164</f>
        <v>290.15729541049996</v>
      </c>
      <c r="F186" s="4">
        <f ca="1">'Total Distance Tables Original'!F164</f>
        <v>292.3907385883</v>
      </c>
      <c r="G186" s="4">
        <f ca="1">'Total Distance Tables Original'!G164</f>
        <v>288.40786912510004</v>
      </c>
      <c r="H186" s="4">
        <f ca="1">'Total Distance Tables Original'!H164</f>
        <v>282.07343992010004</v>
      </c>
      <c r="I186" s="1">
        <f ca="1">'Total Distance Tables Original'!I164</f>
        <v>290.44370192370974</v>
      </c>
      <c r="J186" s="1">
        <f ca="1">'Total Distance Tables Original'!J164</f>
        <v>300.62080875938955</v>
      </c>
      <c r="K186" s="1">
        <f ca="1">'Total Distance Tables Original'!K164</f>
        <v>310.94994825559172</v>
      </c>
    </row>
    <row r="187" spans="1:20" x14ac:dyDescent="0.2">
      <c r="A187" t="str">
        <f t="shared" ca="1" si="18"/>
        <v>Local Train</v>
      </c>
      <c r="B187" s="4">
        <f ca="1">'Total Distance Tables Original'!B22+'Total Distance Tables Original'!B99</f>
        <v>377.40696634</v>
      </c>
      <c r="C187" s="4">
        <f ca="1">'Total Distance Tables Original'!C22+'Total Distance Tables Original'!C99</f>
        <v>401.21086937999996</v>
      </c>
      <c r="D187" s="4">
        <f ca="1">'Total Distance Tables Original'!D22+'Total Distance Tables Original'!D99</f>
        <v>419.64054167</v>
      </c>
      <c r="E187" s="4">
        <f ca="1">'Total Distance Tables Original'!E22+'Total Distance Tables Original'!E99</f>
        <v>426.16377483999997</v>
      </c>
      <c r="F187" s="4">
        <f ca="1">'Total Distance Tables Original'!F22+'Total Distance Tables Original'!F99</f>
        <v>425.08190325999999</v>
      </c>
      <c r="G187" s="4">
        <f ca="1">'Total Distance Tables Original'!G22+'Total Distance Tables Original'!G99</f>
        <v>422.41462328</v>
      </c>
      <c r="H187" s="4">
        <f ca="1">'Total Distance Tables Original'!H22+'Total Distance Tables Original'!H99</f>
        <v>417.16698845999997</v>
      </c>
      <c r="I187" s="1">
        <f ca="1">'Total Distance Tables Original'!I22+'Total Distance Tables Original'!I99</f>
        <v>428.19308005600487</v>
      </c>
      <c r="J187" s="1">
        <f ca="1">'Total Distance Tables Original'!J22+'Total Distance Tables Original'!J99</f>
        <v>440.99812945619817</v>
      </c>
      <c r="K187" s="1">
        <f ca="1">'Total Distance Tables Original'!K22+'Total Distance Tables Original'!K99</f>
        <v>453.75728916394837</v>
      </c>
    </row>
    <row r="188" spans="1:20" x14ac:dyDescent="0.2">
      <c r="A188" t="s">
        <v>16</v>
      </c>
      <c r="B188" s="4">
        <f ca="1">'Total Distance Tables Original'!B12+'Total Distance Tables Original'!B34+'Total Distance Tables Original'!B45+'Total Distance Tables Original'!B56+'Total Distance Tables Original'!B67+'Total Distance Tables Original'!B78+'Total Distance Tables Original'!B89+'Total Distance Tables Original'!B111+'Total Distance Tables Original'!B122+'Total Distance Tables Original'!B144+'Total Distance Tables Original'!B155</f>
        <v>333.23856347439994</v>
      </c>
      <c r="C188" s="4">
        <f ca="1">'Total Distance Tables Original'!C12+'Total Distance Tables Original'!C34+'Total Distance Tables Original'!C45+'Total Distance Tables Original'!C56+'Total Distance Tables Original'!C67+'Total Distance Tables Original'!C78+'Total Distance Tables Original'!C89+'Total Distance Tables Original'!C111+'Total Distance Tables Original'!C122+'Total Distance Tables Original'!C144+'Total Distance Tables Original'!C155</f>
        <v>302.35950926059991</v>
      </c>
      <c r="D188" s="4">
        <f ca="1">'Total Distance Tables Original'!D12+'Total Distance Tables Original'!D34+'Total Distance Tables Original'!D45+'Total Distance Tables Original'!D56+'Total Distance Tables Original'!D67+'Total Distance Tables Original'!D78+'Total Distance Tables Original'!D89+'Total Distance Tables Original'!D111+'Total Distance Tables Original'!D122+'Total Distance Tables Original'!D144+'Total Distance Tables Original'!D155</f>
        <v>300.55315043090002</v>
      </c>
      <c r="E188" s="4">
        <f ca="1">'Total Distance Tables Original'!E12+'Total Distance Tables Original'!E34+'Total Distance Tables Original'!E45+'Total Distance Tables Original'!E56+'Total Distance Tables Original'!E67+'Total Distance Tables Original'!E78+'Total Distance Tables Original'!E89+'Total Distance Tables Original'!E111+'Total Distance Tables Original'!E122+'Total Distance Tables Original'!E144+'Total Distance Tables Original'!E155</f>
        <v>295.09631076340003</v>
      </c>
      <c r="F188" s="4">
        <f ca="1">'Total Distance Tables Original'!F12+'Total Distance Tables Original'!F34+'Total Distance Tables Original'!F45+'Total Distance Tables Original'!F56+'Total Distance Tables Original'!F67+'Total Distance Tables Original'!F78+'Total Distance Tables Original'!F89+'Total Distance Tables Original'!F111+'Total Distance Tables Original'!F122+'Total Distance Tables Original'!F144+'Total Distance Tables Original'!F155</f>
        <v>287.63700387950001</v>
      </c>
      <c r="G188" s="4">
        <f ca="1">'Total Distance Tables Original'!G12+'Total Distance Tables Original'!G34+'Total Distance Tables Original'!G45+'Total Distance Tables Original'!G56+'Total Distance Tables Original'!G67+'Total Distance Tables Original'!G78+'Total Distance Tables Original'!G89+'Total Distance Tables Original'!G111+'Total Distance Tables Original'!G122+'Total Distance Tables Original'!G144+'Total Distance Tables Original'!G155</f>
        <v>283.98897740070004</v>
      </c>
      <c r="H188" s="4">
        <f ca="1">'Total Distance Tables Original'!H12+'Total Distance Tables Original'!H34+'Total Distance Tables Original'!H45+'Total Distance Tables Original'!H56+'Total Distance Tables Original'!H67+'Total Distance Tables Original'!H78+'Total Distance Tables Original'!H89+'Total Distance Tables Original'!H111+'Total Distance Tables Original'!H122+'Total Distance Tables Original'!H144+'Total Distance Tables Original'!H155</f>
        <v>280.85447321880002</v>
      </c>
      <c r="I188" s="1">
        <f ca="1">'Total Distance Tables Original'!I12+'Total Distance Tables Original'!I34+'Total Distance Tables Original'!I45+'Total Distance Tables Original'!I56+'Total Distance Tables Original'!I67+'Total Distance Tables Original'!I78+'Total Distance Tables Original'!I89+'Total Distance Tables Original'!I111+'Total Distance Tables Original'!I122+'Total Distance Tables Original'!I144+'Total Distance Tables Original'!I155</f>
        <v>287.05250713624554</v>
      </c>
      <c r="J188" s="1">
        <f ca="1">'Total Distance Tables Original'!J12+'Total Distance Tables Original'!J34+'Total Distance Tables Original'!J45+'Total Distance Tables Original'!J56+'Total Distance Tables Original'!J67+'Total Distance Tables Original'!J78+'Total Distance Tables Original'!J89+'Total Distance Tables Original'!J111+'Total Distance Tables Original'!J122+'Total Distance Tables Original'!J144+'Total Distance Tables Original'!J155</f>
        <v>294.56459460541055</v>
      </c>
      <c r="K188" s="1">
        <f ca="1">'Total Distance Tables Original'!K12+'Total Distance Tables Original'!K34+'Total Distance Tables Original'!K45+'Total Distance Tables Original'!K56+'Total Distance Tables Original'!K67+'Total Distance Tables Original'!K78+'Total Distance Tables Original'!K89+'Total Distance Tables Original'!K111+'Total Distance Tables Original'!K122+'Total Distance Tables Original'!K144+'Total Distance Tables Original'!K155</f>
        <v>302.09903591815095</v>
      </c>
    </row>
    <row r="189" spans="1:20" x14ac:dyDescent="0.2">
      <c r="A189" t="str">
        <f ca="1">A35</f>
        <v>Local Ferry</v>
      </c>
      <c r="B189" s="4">
        <f ca="1">'Total Distance Tables Original'!B167</f>
        <v>0</v>
      </c>
      <c r="C189" s="4">
        <f ca="1">'Total Distance Tables Original'!C167</f>
        <v>0</v>
      </c>
      <c r="D189" s="4">
        <f ca="1">'Total Distance Tables Original'!D167</f>
        <v>0</v>
      </c>
      <c r="E189" s="4">
        <f ca="1">'Total Distance Tables Original'!E167</f>
        <v>0</v>
      </c>
      <c r="F189" s="4">
        <f ca="1">'Total Distance Tables Original'!F167</f>
        <v>0</v>
      </c>
      <c r="G189" s="4">
        <f ca="1">'Total Distance Tables Original'!G167</f>
        <v>0</v>
      </c>
      <c r="H189" s="4">
        <f ca="1">'Total Distance Tables Original'!H167</f>
        <v>0</v>
      </c>
      <c r="I189" s="1">
        <f ca="1">'Total Distance Tables Original'!I167</f>
        <v>0</v>
      </c>
      <c r="J189" s="1">
        <f ca="1">'Total Distance Tables Original'!J167</f>
        <v>0</v>
      </c>
      <c r="K189" s="1">
        <f ca="1">'Total Distance Tables Original'!K167</f>
        <v>0</v>
      </c>
    </row>
    <row r="190" spans="1:20" x14ac:dyDescent="0.2">
      <c r="A190" t="str">
        <f ca="1">A36</f>
        <v>Other Household Travel</v>
      </c>
      <c r="B190" s="4">
        <f ca="1">'Total Distance Tables Original'!B168</f>
        <v>1.8241938706</v>
      </c>
      <c r="C190" s="4">
        <f ca="1">'Total Distance Tables Original'!C168</f>
        <v>1.8041545906000001</v>
      </c>
      <c r="D190" s="4">
        <f ca="1">'Total Distance Tables Original'!D168</f>
        <v>1.3832028404000001</v>
      </c>
      <c r="E190" s="4">
        <f ca="1">'Total Distance Tables Original'!E168</f>
        <v>1.5365870468</v>
      </c>
      <c r="F190" s="4">
        <f ca="1">'Total Distance Tables Original'!F168</f>
        <v>1.5698518249</v>
      </c>
      <c r="G190" s="4">
        <f ca="1">'Total Distance Tables Original'!G168</f>
        <v>1.4976773827000001</v>
      </c>
      <c r="H190" s="4">
        <f ca="1">'Total Distance Tables Original'!H168</f>
        <v>1.4005667673</v>
      </c>
      <c r="I190" s="1">
        <f ca="1">'Total Distance Tables Original'!I168</f>
        <v>1.4752288977808621</v>
      </c>
      <c r="J190" s="1">
        <f ca="1">'Total Distance Tables Original'!J168</f>
        <v>1.5700075360511989</v>
      </c>
      <c r="K190" s="1">
        <f ca="1">'Total Distance Tables Original'!K168</f>
        <v>1.6685381930643652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77:D177 E177:H1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Provenance</vt:lpstr>
      <vt:lpstr>Total Trip Tables</vt:lpstr>
      <vt:lpstr>Total Distance Tables</vt:lpstr>
      <vt:lpstr>Total Duration Tables</vt:lpstr>
      <vt:lpstr>Total Trip Tables Sup #2</vt:lpstr>
      <vt:lpstr>Total Trip Tables Sup #1</vt:lpstr>
      <vt:lpstr>Total Trip Tables Original</vt:lpstr>
      <vt:lpstr>Total Distance Tables Sup #2</vt:lpstr>
      <vt:lpstr>Total Distance Tables Sup #1</vt:lpstr>
      <vt:lpstr>Total Distance Tables Original</vt:lpstr>
      <vt:lpstr>Total Duration Tables Sup #2</vt:lpstr>
      <vt:lpstr>Total Duration Tables Sup #1</vt:lpstr>
      <vt:lpstr>Total Duration Tables Original</vt:lpstr>
      <vt:lpstr>Original Population</vt:lpstr>
      <vt:lpstr>Updated Population</vt:lpstr>
      <vt:lpstr>Formatted Trip Summary</vt:lpstr>
      <vt:lpstr>Unformatted Trip Summary</vt:lpstr>
      <vt:lpstr>Active Mode Assumptions</vt:lpstr>
      <vt:lpstr>PT Assumptions</vt:lpstr>
      <vt:lpstr>Other Assumptions</vt:lpstr>
      <vt:lpstr>Auckland_Reference</vt:lpstr>
      <vt:lpstr>BOP_Reference</vt:lpstr>
      <vt:lpstr>Canterbury_Reference</vt:lpstr>
      <vt:lpstr>Gisborne_Reference</vt:lpstr>
      <vt:lpstr>Hawkes_Bay_Reference</vt:lpstr>
      <vt:lpstr>Manawatu_Reference</vt:lpstr>
      <vt:lpstr>Nelson_Reference</vt:lpstr>
      <vt:lpstr>Northland_Reference</vt:lpstr>
      <vt:lpstr>Otago_Reference</vt:lpstr>
      <vt:lpstr>Southland_Reference</vt:lpstr>
      <vt:lpstr>Taranaki_Reference</vt:lpstr>
      <vt:lpstr>Waikato_Reference</vt:lpstr>
      <vt:lpstr>Wellington_Reference</vt:lpstr>
      <vt:lpstr>West_Coast_Reference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Eruera West</cp:lastModifiedBy>
  <cp:lastPrinted>2017-05-08T03:06:17Z</cp:lastPrinted>
  <dcterms:created xsi:type="dcterms:W3CDTF">2016-05-18T22:59:49Z</dcterms:created>
  <dcterms:modified xsi:type="dcterms:W3CDTF">2019-06-05T23:35:00Z</dcterms:modified>
</cp:coreProperties>
</file>